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8.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729"/>
  <workbookPr codeName="ThisWorkbook" defaultThemeVersion="124226"/>
  <mc:AlternateContent xmlns:mc="http://schemas.openxmlformats.org/markup-compatibility/2006">
    <mc:Choice Requires="x15">
      <x15ac:absPath xmlns:x15ac="http://schemas.microsoft.com/office/spreadsheetml/2010/11/ac" url="D:\APLICATIVO RENTA AÑO 2021\"/>
    </mc:Choice>
  </mc:AlternateContent>
  <bookViews>
    <workbookView xWindow="0" yWindow="0" windowWidth="24000" windowHeight="9735" tabRatio="798" firstSheet="15" activeTab="18"/>
  </bookViews>
  <sheets>
    <sheet name="VENCIMIENTO" sheetId="8" state="hidden" r:id="rId1"/>
    <sheet name="IMAS TRABAJADOR POR CTA PROPIA" sheetId="7" state="hidden" r:id="rId2"/>
    <sheet name="DEPURACION ORDINARIO 2017" sheetId="5" state="hidden" r:id="rId3"/>
    <sheet name="Num. 2 ART 241 E.T. 2021" sheetId="22" state="hidden" r:id="rId4"/>
    <sheet name="Num. 2 ART 241 E.T. 2019" sheetId="19" state="hidden" r:id="rId5"/>
    <sheet name="Num. 2 ART 241 E.T. 2018" sheetId="16" state="hidden" r:id="rId6"/>
    <sheet name="FORMULARIO 2019 RENTA CEDULA" sheetId="18" state="hidden" r:id="rId7"/>
    <sheet name="FORMULARIO 2021 RENTA" sheetId="20" r:id="rId8"/>
    <sheet name="PATRIMONIO BRUTO" sheetId="6" r:id="rId9"/>
    <sheet name="FORMULARIO 2018 RENTA CEDULAR" sheetId="13" state="hidden" r:id="rId10"/>
    <sheet name="DATOS PARA DEPURAR" sheetId="2" r:id="rId11"/>
    <sheet name="DEPURACION POR IMAS EMPLEADO" sheetId="3" state="hidden" r:id="rId12"/>
    <sheet name="IMPUESTO DIVIDENDOS" sheetId="23" state="hidden" r:id="rId13"/>
    <sheet name="RENTA GENERAL CAPITAL" sheetId="11" r:id="rId14"/>
    <sheet name="RENTA CEDULAR DIVIDENDOS" sheetId="17" r:id="rId15"/>
    <sheet name="RENTA GENERAL LABORAL" sheetId="9" r:id="rId16"/>
    <sheet name="RENTA GENERAL HONORARIOS" sheetId="21" r:id="rId17"/>
    <sheet name="RENTA GENERAL NO LABORAL" sheetId="12" r:id="rId18"/>
    <sheet name="RENTA CEDULAR PENSION" sheetId="10" r:id="rId19"/>
    <sheet name="Num. 1 ART 241 E.T." sheetId="14" state="hidden" r:id="rId20"/>
  </sheets>
  <externalReferences>
    <externalReference r:id="rId21"/>
  </externalReferences>
  <definedNames>
    <definedName name="_xlnm.Print_Area" localSheetId="10">'DATOS PARA DEPURAR'!$A$1:$F$318</definedName>
    <definedName name="_xlnm.Print_Area" localSheetId="9">'FORMULARIO 2018 RENTA CEDULAR'!$A$1:$K$43</definedName>
    <definedName name="_xlnm.Print_Area" localSheetId="6">'FORMULARIO 2019 RENTA CEDULA'!$A$1:$K$44</definedName>
    <definedName name="_xlnm.Print_Area" localSheetId="7">'FORMULARIO 2021 RENTA'!$A$1:$U$88</definedName>
    <definedName name="_xlnm.Print_Area" localSheetId="8">'PATRIMONIO BRUTO'!$A$1:$F$136</definedName>
    <definedName name="_xlnm.Print_Area" localSheetId="16">'RENTA GENERAL HONORARIOS'!$A$1:$H$31</definedName>
    <definedName name="_xlnm.Print_Area" localSheetId="15">'RENTA GENERAL LABORAL'!$A$1:$H$53</definedName>
  </definedNames>
  <calcPr calcId="162913"/>
</workbook>
</file>

<file path=xl/calcChain.xml><?xml version="1.0" encoding="utf-8"?>
<calcChain xmlns="http://schemas.openxmlformats.org/spreadsheetml/2006/main">
  <c r="S41" i="20" l="1"/>
  <c r="D18" i="11"/>
  <c r="V16" i="20" l="1"/>
  <c r="V18" i="20"/>
  <c r="G18" i="20" s="1"/>
  <c r="D219" i="2"/>
  <c r="D218" i="2"/>
  <c r="D127" i="2"/>
  <c r="F11" i="17" l="1"/>
  <c r="E2" i="23"/>
  <c r="C2" i="23"/>
  <c r="J152" i="20" l="1"/>
  <c r="G133" i="20"/>
  <c r="D37" i="9" l="1"/>
  <c r="G53" i="20"/>
  <c r="R66" i="20"/>
  <c r="R67" i="20" s="1"/>
  <c r="R68" i="20" s="1"/>
  <c r="R69" i="20" s="1"/>
  <c r="R70" i="20" s="1"/>
  <c r="R71" i="20" s="1"/>
  <c r="R72" i="20" s="1"/>
  <c r="R73" i="20" s="1"/>
  <c r="R74" i="20" s="1"/>
  <c r="R75" i="20" s="1"/>
  <c r="R76" i="20" s="1"/>
  <c r="R77" i="20" s="1"/>
  <c r="R78" i="20" s="1"/>
  <c r="R79" i="20" s="1"/>
  <c r="R80" i="20" s="1"/>
  <c r="R81" i="20" s="1"/>
  <c r="R82" i="20" s="1"/>
  <c r="R83" i="20" s="1"/>
  <c r="R84" i="20" s="1"/>
  <c r="R85" i="20" s="1"/>
  <c r="R86" i="20" s="1"/>
  <c r="R87" i="20" s="1"/>
  <c r="U75" i="20"/>
  <c r="U84" i="20"/>
  <c r="G86" i="20"/>
  <c r="U86" i="20"/>
  <c r="G87" i="20"/>
  <c r="U87" i="20"/>
  <c r="D190" i="2"/>
  <c r="E172" i="2"/>
  <c r="E219" i="2"/>
  <c r="D55" i="12" s="1"/>
  <c r="E218" i="2"/>
  <c r="E209" i="2"/>
  <c r="E210" i="2"/>
  <c r="E211" i="2"/>
  <c r="E212" i="2"/>
  <c r="E208" i="2"/>
  <c r="E159" i="2"/>
  <c r="E153" i="2"/>
  <c r="E145" i="2"/>
  <c r="D199" i="2"/>
  <c r="D196" i="2" s="1"/>
  <c r="E189" i="2" s="1"/>
  <c r="D19" i="11"/>
  <c r="H25" i="20" l="1"/>
  <c r="J21" i="20"/>
  <c r="E25" i="20"/>
  <c r="S11" i="20"/>
  <c r="D7" i="11"/>
  <c r="AB266" i="20"/>
  <c r="AK256" i="20"/>
  <c r="AM248" i="20"/>
  <c r="AN248" i="20" s="1"/>
  <c r="AM240" i="20"/>
  <c r="AK254" i="20" l="1"/>
  <c r="AB254" i="20"/>
  <c r="S39" i="20"/>
  <c r="E2" i="22"/>
  <c r="C2" i="22"/>
  <c r="S40" i="20" l="1"/>
  <c r="S37" i="20"/>
  <c r="C44" i="12" l="1"/>
  <c r="D18" i="21"/>
  <c r="J15" i="20" s="1"/>
  <c r="J13" i="20"/>
  <c r="E220" i="2"/>
  <c r="D64" i="12"/>
  <c r="S15" i="20" s="1"/>
  <c r="D19" i="21"/>
  <c r="E223" i="2"/>
  <c r="D6" i="21"/>
  <c r="F4" i="21" s="1"/>
  <c r="J6" i="20" s="1"/>
  <c r="D22" i="21"/>
  <c r="D21" i="21"/>
  <c r="D10" i="21"/>
  <c r="D9" i="21"/>
  <c r="E118" i="2"/>
  <c r="E115" i="2"/>
  <c r="E2" i="21"/>
  <c r="C2" i="21"/>
  <c r="D36" i="9"/>
  <c r="D70" i="12"/>
  <c r="D69" i="12"/>
  <c r="N12" i="20"/>
  <c r="N14" i="20" s="1"/>
  <c r="E24" i="12"/>
  <c r="E26" i="12" s="1"/>
  <c r="E35" i="12" s="1"/>
  <c r="E58" i="12" s="1"/>
  <c r="E60" i="12" s="1"/>
  <c r="E62" i="12" s="1"/>
  <c r="E75" i="12" s="1"/>
  <c r="E80" i="12" s="1"/>
  <c r="E81" i="12" s="1"/>
  <c r="E82" i="12" s="1"/>
  <c r="E83" i="12" s="1"/>
  <c r="D38" i="9" l="1"/>
  <c r="J12" i="20"/>
  <c r="J14" i="20" s="1"/>
  <c r="D23" i="21"/>
  <c r="D24" i="21" s="1"/>
  <c r="D17" i="21"/>
  <c r="J16" i="20" s="1"/>
  <c r="J17" i="20" s="1"/>
  <c r="F7" i="21"/>
  <c r="N11" i="20"/>
  <c r="E216" i="20"/>
  <c r="G215" i="20"/>
  <c r="E215" i="20"/>
  <c r="G214" i="20"/>
  <c r="E214" i="20"/>
  <c r="G213" i="20"/>
  <c r="E213" i="20"/>
  <c r="G212" i="20"/>
  <c r="E212" i="20"/>
  <c r="V390" i="20"/>
  <c r="V372" i="20"/>
  <c r="J180" i="20"/>
  <c r="V371" i="20"/>
  <c r="V370" i="20"/>
  <c r="V369" i="20"/>
  <c r="V368" i="20"/>
  <c r="V367" i="20"/>
  <c r="G175" i="20"/>
  <c r="J198" i="20" s="1"/>
  <c r="V366" i="20"/>
  <c r="G174" i="20"/>
  <c r="J197" i="20" s="1"/>
  <c r="V365" i="20"/>
  <c r="G173" i="20"/>
  <c r="J196" i="20" s="1"/>
  <c r="V364" i="20"/>
  <c r="V363" i="20"/>
  <c r="V362" i="20"/>
  <c r="V361" i="20"/>
  <c r="V360" i="20"/>
  <c r="V359" i="20"/>
  <c r="V358" i="20"/>
  <c r="V357" i="20"/>
  <c r="V356" i="20"/>
  <c r="V355" i="20"/>
  <c r="V354" i="20"/>
  <c r="V353" i="20"/>
  <c r="V352" i="20"/>
  <c r="V351" i="20"/>
  <c r="V350" i="20"/>
  <c r="V349" i="20"/>
  <c r="V348" i="20"/>
  <c r="V347" i="20"/>
  <c r="V346" i="20"/>
  <c r="V345" i="20"/>
  <c r="V344" i="20"/>
  <c r="V343" i="20"/>
  <c r="E151" i="20"/>
  <c r="V342" i="20"/>
  <c r="V341" i="20"/>
  <c r="V340" i="20"/>
  <c r="V339" i="20"/>
  <c r="V338" i="20"/>
  <c r="V337" i="20"/>
  <c r="V336" i="20"/>
  <c r="V335" i="20"/>
  <c r="F143" i="20"/>
  <c r="V334" i="20"/>
  <c r="J142" i="20"/>
  <c r="J143" i="20" s="1"/>
  <c r="G142" i="20"/>
  <c r="F142" i="20" s="1"/>
  <c r="V333" i="20"/>
  <c r="V332" i="20"/>
  <c r="V331" i="20"/>
  <c r="V330" i="20"/>
  <c r="V329" i="20"/>
  <c r="V328" i="20"/>
  <c r="V327" i="20"/>
  <c r="V326" i="20"/>
  <c r="V325" i="20"/>
  <c r="V324" i="20"/>
  <c r="V323" i="20"/>
  <c r="V322" i="20"/>
  <c r="V321" i="20"/>
  <c r="V320" i="20"/>
  <c r="V319" i="20"/>
  <c r="G127" i="20"/>
  <c r="V318" i="20"/>
  <c r="G126" i="20"/>
  <c r="V317" i="20"/>
  <c r="G125" i="20"/>
  <c r="V316" i="20"/>
  <c r="G124" i="20"/>
  <c r="J147" i="20" s="1"/>
  <c r="V315" i="20"/>
  <c r="G123" i="20"/>
  <c r="V314" i="20"/>
  <c r="G122" i="20"/>
  <c r="V313" i="20"/>
  <c r="V312" i="20"/>
  <c r="J120" i="20"/>
  <c r="V311" i="20"/>
  <c r="V310" i="20"/>
  <c r="V309" i="20"/>
  <c r="V308" i="20"/>
  <c r="V307" i="20"/>
  <c r="V306" i="20"/>
  <c r="E114" i="20"/>
  <c r="V305" i="20"/>
  <c r="V304" i="20"/>
  <c r="V303" i="20"/>
  <c r="V302" i="20"/>
  <c r="V301" i="20"/>
  <c r="V300" i="20"/>
  <c r="V299" i="20"/>
  <c r="E107" i="20"/>
  <c r="V298" i="20"/>
  <c r="E106" i="20"/>
  <c r="V297" i="20"/>
  <c r="V296" i="20"/>
  <c r="V295" i="20"/>
  <c r="V294" i="20"/>
  <c r="V293" i="20"/>
  <c r="V292" i="20"/>
  <c r="V291" i="20"/>
  <c r="V290" i="20"/>
  <c r="V289" i="20"/>
  <c r="G95" i="20"/>
  <c r="X285" i="20"/>
  <c r="X284" i="20"/>
  <c r="X283" i="20"/>
  <c r="X282" i="20"/>
  <c r="X281" i="20"/>
  <c r="X280" i="20"/>
  <c r="X279" i="20"/>
  <c r="Z279" i="20" s="1"/>
  <c r="Z278" i="20"/>
  <c r="X272" i="20"/>
  <c r="X273" i="20" s="1"/>
  <c r="AK267" i="20"/>
  <c r="AB267" i="20"/>
  <c r="V264" i="20"/>
  <c r="AA262" i="20"/>
  <c r="AA261" i="20"/>
  <c r="Z259" i="20"/>
  <c r="AB256" i="20"/>
  <c r="AL255" i="20"/>
  <c r="W255" i="20"/>
  <c r="W251" i="20"/>
  <c r="J36" i="20"/>
  <c r="G94" i="20" s="1"/>
  <c r="J117" i="20" s="1"/>
  <c r="AB257" i="20"/>
  <c r="AB243" i="20"/>
  <c r="I4" i="20"/>
  <c r="R4" i="20" s="1"/>
  <c r="F51" i="20" s="1"/>
  <c r="F52" i="20" s="1"/>
  <c r="F53" i="20" s="1"/>
  <c r="F54" i="20" s="1"/>
  <c r="F55" i="20" s="1"/>
  <c r="F56" i="20" s="1"/>
  <c r="F57" i="20" s="1"/>
  <c r="F58" i="20" s="1"/>
  <c r="F59" i="20" s="1"/>
  <c r="F60" i="20" s="1"/>
  <c r="F62" i="20" s="1"/>
  <c r="F63" i="20" s="1"/>
  <c r="F64" i="20" s="1"/>
  <c r="F65" i="20" s="1"/>
  <c r="F66" i="20" s="1"/>
  <c r="F67" i="20" s="1"/>
  <c r="F68" i="20" s="1"/>
  <c r="F69" i="20" s="1"/>
  <c r="F70" i="20" s="1"/>
  <c r="F71" i="20" s="1"/>
  <c r="F72" i="20" s="1"/>
  <c r="F73" i="20" s="1"/>
  <c r="F74" i="20" s="1"/>
  <c r="F75" i="20" s="1"/>
  <c r="F76" i="20" s="1"/>
  <c r="F77" i="20" s="1"/>
  <c r="F78" i="20" s="1"/>
  <c r="F79" i="20" s="1"/>
  <c r="F80" i="20" s="1"/>
  <c r="F81" i="20" s="1"/>
  <c r="F82" i="20" s="1"/>
  <c r="F83" i="20" s="1"/>
  <c r="F84" i="20" s="1"/>
  <c r="F85" i="20" s="1"/>
  <c r="F86" i="20" s="1"/>
  <c r="F87" i="20" s="1"/>
  <c r="F88" i="20" s="1"/>
  <c r="R48" i="20" s="1"/>
  <c r="B2" i="20"/>
  <c r="B1" i="20"/>
  <c r="J146" i="20" l="1"/>
  <c r="J145" i="20"/>
  <c r="AA280" i="20"/>
  <c r="AB258" i="20"/>
  <c r="D25" i="21"/>
  <c r="D30" i="21"/>
  <c r="J8" i="20"/>
  <c r="D29" i="21"/>
  <c r="F6" i="20"/>
  <c r="F8" i="20" s="1"/>
  <c r="F10" i="20" s="1"/>
  <c r="F12" i="20" s="1"/>
  <c r="F13" i="20" s="1"/>
  <c r="F14" i="20" s="1"/>
  <c r="F15" i="20" s="1"/>
  <c r="F16" i="20" s="1"/>
  <c r="F17" i="20" s="1"/>
  <c r="F18" i="20" s="1"/>
  <c r="F22" i="20" s="1"/>
  <c r="I6" i="20" s="1"/>
  <c r="I8" i="20" s="1"/>
  <c r="I9" i="20" s="1"/>
  <c r="I10" i="20" s="1"/>
  <c r="I12" i="20" s="1"/>
  <c r="I13" i="20" s="1"/>
  <c r="I14" i="20" s="1"/>
  <c r="I15" i="20" s="1"/>
  <c r="I16" i="20" s="1"/>
  <c r="I17" i="20" s="1"/>
  <c r="I18" i="20" s="1"/>
  <c r="I19" i="20" s="1"/>
  <c r="I20" i="20" s="1"/>
  <c r="I21" i="20" s="1"/>
  <c r="I22" i="20" s="1"/>
  <c r="M6" i="20" s="1"/>
  <c r="M8" i="20" s="1"/>
  <c r="M9" i="20" s="1"/>
  <c r="M10" i="20" s="1"/>
  <c r="M11" i="20" s="1"/>
  <c r="M12" i="20" s="1"/>
  <c r="M13" i="20" s="1"/>
  <c r="M14" i="20" s="1"/>
  <c r="M15" i="20" s="1"/>
  <c r="M16" i="20" s="1"/>
  <c r="M17" i="20" s="1"/>
  <c r="M18" i="20" s="1"/>
  <c r="M19" i="20" s="1"/>
  <c r="M20" i="20" s="1"/>
  <c r="M21" i="20" s="1"/>
  <c r="M22" i="20" s="1"/>
  <c r="R6" i="20" s="1"/>
  <c r="R7" i="20" s="1"/>
  <c r="R8" i="20" s="1"/>
  <c r="R9" i="20" s="1"/>
  <c r="R10" i="20" s="1"/>
  <c r="R11" i="20" s="1"/>
  <c r="R12" i="20" s="1"/>
  <c r="R13" i="20" s="1"/>
  <c r="R14" i="20" s="1"/>
  <c r="R15" i="20" s="1"/>
  <c r="R16" i="20" s="1"/>
  <c r="R17" i="20" s="1"/>
  <c r="R18" i="20" s="1"/>
  <c r="R19" i="20" s="1"/>
  <c r="R20" i="20" s="1"/>
  <c r="R21" i="20" s="1"/>
  <c r="R22" i="20" s="1"/>
  <c r="D24" i="20" s="1"/>
  <c r="F24" i="20" s="1"/>
  <c r="K24" i="20" s="1"/>
  <c r="R24" i="20" s="1"/>
  <c r="D25" i="20" s="1"/>
  <c r="F25" i="20" s="1"/>
  <c r="K25" i="20" s="1"/>
  <c r="R25" i="20" s="1"/>
  <c r="I26" i="20" s="1"/>
  <c r="I27" i="20" s="1"/>
  <c r="I28" i="20" s="1"/>
  <c r="I29" i="20" s="1"/>
  <c r="I30" i="20" s="1"/>
  <c r="I31" i="20" s="1"/>
  <c r="I32" i="20" s="1"/>
  <c r="J148" i="20"/>
  <c r="J222" i="20"/>
  <c r="V392" i="20" s="1"/>
  <c r="V399" i="20" s="1"/>
  <c r="U234" i="20" s="1"/>
  <c r="G90" i="20"/>
  <c r="AA263" i="20"/>
  <c r="AA264" i="20" s="1"/>
  <c r="AK257" i="20"/>
  <c r="AK258" i="20" s="1"/>
  <c r="J118" i="20"/>
  <c r="J122" i="20"/>
  <c r="G99" i="20" s="1"/>
  <c r="G96" i="20" s="1"/>
  <c r="J119" i="20" s="1"/>
  <c r="V259" i="20" s="1"/>
  <c r="E100" i="20"/>
  <c r="E101" i="20" s="1"/>
  <c r="E102" i="20" s="1"/>
  <c r="E108" i="20"/>
  <c r="E157" i="20"/>
  <c r="J151" i="20" l="1"/>
  <c r="I33" i="20"/>
  <c r="I34" i="20" s="1"/>
  <c r="I35" i="20" s="1"/>
  <c r="I36" i="20" s="1"/>
  <c r="I37" i="20" s="1"/>
  <c r="I38" i="20" s="1"/>
  <c r="I39" i="20" s="1"/>
  <c r="I40" i="20" s="1"/>
  <c r="I41" i="20" s="1"/>
  <c r="I42" i="20" s="1"/>
  <c r="R26" i="20" s="1"/>
  <c r="R27" i="20" s="1"/>
  <c r="R28" i="20" s="1"/>
  <c r="R29" i="20" s="1"/>
  <c r="R30" i="20" s="1"/>
  <c r="R31" i="20" s="1"/>
  <c r="R32" i="20" s="1"/>
  <c r="P33" i="20" s="1"/>
  <c r="V394" i="20"/>
  <c r="V393" i="20"/>
  <c r="V395" i="20"/>
  <c r="J185" i="20"/>
  <c r="J183" i="20"/>
  <c r="J182" i="20"/>
  <c r="E165" i="20" s="1"/>
  <c r="E171" i="20" s="1"/>
  <c r="G178" i="20" s="1"/>
  <c r="J184" i="20"/>
  <c r="D19" i="9"/>
  <c r="D48" i="9" s="1"/>
  <c r="E279" i="2"/>
  <c r="I98" i="18"/>
  <c r="I99" i="18" s="1"/>
  <c r="I108" i="18"/>
  <c r="F14" i="17"/>
  <c r="J37" i="20" s="1"/>
  <c r="F12" i="17"/>
  <c r="J35" i="20" s="1"/>
  <c r="F169" i="18"/>
  <c r="F170" i="18"/>
  <c r="F171" i="18"/>
  <c r="F168" i="18"/>
  <c r="D172" i="18"/>
  <c r="D169" i="18"/>
  <c r="D170" i="18"/>
  <c r="D171" i="18"/>
  <c r="D168" i="18"/>
  <c r="E316" i="2"/>
  <c r="D8" i="10"/>
  <c r="S25" i="20" l="1"/>
  <c r="E129" i="20"/>
  <c r="K16" i="18"/>
  <c r="G216" i="20"/>
  <c r="G176" i="20"/>
  <c r="F172" i="18"/>
  <c r="F173" i="18" s="1"/>
  <c r="G168" i="18" s="1"/>
  <c r="E317" i="2"/>
  <c r="E169" i="20"/>
  <c r="F42" i="18"/>
  <c r="F47" i="11"/>
  <c r="G68" i="20" s="1"/>
  <c r="D13" i="21"/>
  <c r="F89" i="18"/>
  <c r="F43" i="18"/>
  <c r="E2" i="19"/>
  <c r="C2" i="19"/>
  <c r="K189" i="18" l="1"/>
  <c r="U233" i="20"/>
  <c r="U235" i="20" s="1"/>
  <c r="J199" i="20"/>
  <c r="J200" i="20" s="1"/>
  <c r="G177" i="20" s="1"/>
  <c r="G180" i="20" s="1"/>
  <c r="G183" i="20" s="1"/>
  <c r="G217" i="20"/>
  <c r="H216" i="20" s="1"/>
  <c r="J156" i="20"/>
  <c r="N21" i="20"/>
  <c r="G172" i="18"/>
  <c r="G171" i="18"/>
  <c r="G169" i="18"/>
  <c r="G170" i="18"/>
  <c r="L154" i="18"/>
  <c r="L136" i="18"/>
  <c r="L135" i="18"/>
  <c r="L134" i="18"/>
  <c r="L133" i="18"/>
  <c r="L132" i="18"/>
  <c r="L131" i="18"/>
  <c r="F132" i="18"/>
  <c r="L130" i="18"/>
  <c r="F131" i="18"/>
  <c r="I154" i="18" s="1"/>
  <c r="L129" i="18"/>
  <c r="F130" i="18"/>
  <c r="I153" i="18" s="1"/>
  <c r="L128" i="18"/>
  <c r="F129" i="18"/>
  <c r="I152" i="18" s="1"/>
  <c r="L127" i="18"/>
  <c r="L126" i="18"/>
  <c r="L125" i="18"/>
  <c r="L124" i="18"/>
  <c r="L123" i="18"/>
  <c r="L122" i="18"/>
  <c r="L121" i="18"/>
  <c r="L120" i="18"/>
  <c r="L119" i="18"/>
  <c r="L118" i="18"/>
  <c r="L117" i="18"/>
  <c r="L116" i="18"/>
  <c r="L115" i="18"/>
  <c r="L114" i="18"/>
  <c r="L113" i="18"/>
  <c r="L112" i="18"/>
  <c r="I136" i="18"/>
  <c r="L111" i="18"/>
  <c r="L110" i="18"/>
  <c r="L109" i="18"/>
  <c r="L108" i="18"/>
  <c r="L107" i="18"/>
  <c r="L106" i="18"/>
  <c r="D107" i="18"/>
  <c r="L105" i="18"/>
  <c r="L104" i="18"/>
  <c r="L103" i="18"/>
  <c r="L102" i="18"/>
  <c r="L101" i="18"/>
  <c r="L100" i="18"/>
  <c r="L99" i="18"/>
  <c r="L98" i="18"/>
  <c r="E99" i="18"/>
  <c r="L97" i="18"/>
  <c r="F98" i="18"/>
  <c r="E98" i="18" s="1"/>
  <c r="L96" i="18"/>
  <c r="L95" i="18"/>
  <c r="L94" i="18"/>
  <c r="L93" i="18"/>
  <c r="L92" i="18"/>
  <c r="L91" i="18"/>
  <c r="L90" i="18"/>
  <c r="L89" i="18"/>
  <c r="L88" i="18"/>
  <c r="L87" i="18"/>
  <c r="L86" i="18"/>
  <c r="L85" i="18"/>
  <c r="L84" i="18"/>
  <c r="L83" i="18"/>
  <c r="L82" i="18"/>
  <c r="F83" i="18"/>
  <c r="L81" i="18"/>
  <c r="F82" i="18"/>
  <c r="L80" i="18"/>
  <c r="F81" i="18"/>
  <c r="L79" i="18"/>
  <c r="F80" i="18"/>
  <c r="I103" i="18" s="1"/>
  <c r="L78" i="18"/>
  <c r="F79" i="18"/>
  <c r="I102" i="18" s="1"/>
  <c r="L77" i="18"/>
  <c r="F78" i="18"/>
  <c r="I101" i="18" s="1"/>
  <c r="L76" i="18"/>
  <c r="L75" i="18"/>
  <c r="L74" i="18"/>
  <c r="L73" i="18"/>
  <c r="L72" i="18"/>
  <c r="L71" i="18"/>
  <c r="L70" i="18"/>
  <c r="L69" i="18"/>
  <c r="D70" i="18"/>
  <c r="L68" i="18"/>
  <c r="L67" i="18"/>
  <c r="L66" i="18"/>
  <c r="L65" i="18"/>
  <c r="L64" i="18"/>
  <c r="L63" i="18"/>
  <c r="L62" i="18"/>
  <c r="D63" i="18"/>
  <c r="L61" i="18"/>
  <c r="D62" i="18"/>
  <c r="L60" i="18"/>
  <c r="L59" i="18"/>
  <c r="L58" i="18"/>
  <c r="L57" i="18"/>
  <c r="L56" i="18"/>
  <c r="L55" i="18"/>
  <c r="L54" i="18"/>
  <c r="L53" i="18"/>
  <c r="I76" i="18"/>
  <c r="F51" i="18"/>
  <c r="I78" i="18" s="1"/>
  <c r="N49" i="18"/>
  <c r="N48" i="18"/>
  <c r="N47" i="18"/>
  <c r="N46" i="18"/>
  <c r="N45" i="18"/>
  <c r="N44" i="18"/>
  <c r="N43" i="18"/>
  <c r="P42" i="18"/>
  <c r="N36" i="18"/>
  <c r="N37" i="18" s="1"/>
  <c r="K37" i="18"/>
  <c r="K36" i="18"/>
  <c r="F31" i="18"/>
  <c r="K34" i="18"/>
  <c r="AA31" i="18"/>
  <c r="R31" i="18"/>
  <c r="R30" i="18"/>
  <c r="L28" i="18"/>
  <c r="F24" i="18"/>
  <c r="Q26" i="18"/>
  <c r="Q25" i="18"/>
  <c r="P23" i="18"/>
  <c r="F19" i="18"/>
  <c r="AA20" i="18"/>
  <c r="R20" i="18"/>
  <c r="AB19" i="18"/>
  <c r="M19" i="18"/>
  <c r="M15" i="18"/>
  <c r="AC12" i="18"/>
  <c r="AD12" i="18" s="1"/>
  <c r="AA21" i="18" s="1"/>
  <c r="K15" i="18"/>
  <c r="F50" i="18" s="1"/>
  <c r="I73" i="18" s="1"/>
  <c r="R7" i="18"/>
  <c r="E5" i="18"/>
  <c r="E6" i="18" s="1"/>
  <c r="E7" i="18" s="1"/>
  <c r="AC4" i="18"/>
  <c r="B2" i="18"/>
  <c r="B1" i="18"/>
  <c r="G182" i="20" l="1"/>
  <c r="H214" i="20"/>
  <c r="H212" i="20"/>
  <c r="H213" i="20"/>
  <c r="H215" i="20"/>
  <c r="G184" i="20"/>
  <c r="G185" i="20"/>
  <c r="AA22" i="18"/>
  <c r="E8" i="18"/>
  <c r="E9" i="18" s="1"/>
  <c r="E10" i="18" s="1"/>
  <c r="E11" i="18" s="1"/>
  <c r="E12" i="18" s="1"/>
  <c r="E13" i="18" s="1"/>
  <c r="I112" i="18"/>
  <c r="Q27" i="18"/>
  <c r="Q28" i="18" s="1"/>
  <c r="F55" i="18"/>
  <c r="F52" i="18" s="1"/>
  <c r="I75" i="18" s="1"/>
  <c r="L23" i="18" s="1"/>
  <c r="I104" i="18"/>
  <c r="I107" i="18" s="1"/>
  <c r="I74" i="18"/>
  <c r="D56" i="18"/>
  <c r="D57" i="18" s="1"/>
  <c r="D58" i="18" s="1"/>
  <c r="D64" i="18"/>
  <c r="R21" i="18"/>
  <c r="R22" i="18" s="1"/>
  <c r="AA18" i="18"/>
  <c r="R18" i="18"/>
  <c r="P43" i="18"/>
  <c r="Q44" i="18" s="1"/>
  <c r="D85" i="18" l="1"/>
  <c r="K4" i="18" s="1"/>
  <c r="E14" i="18"/>
  <c r="E15" i="18" s="1"/>
  <c r="E16" i="18" s="1"/>
  <c r="E18" i="18" s="1"/>
  <c r="E19" i="18" s="1"/>
  <c r="E20" i="18" s="1"/>
  <c r="E21" i="18" s="1"/>
  <c r="K22" i="2"/>
  <c r="E201" i="2"/>
  <c r="D14" i="21" l="1"/>
  <c r="F12" i="21" s="1"/>
  <c r="E22" i="18"/>
  <c r="E23" i="18" s="1"/>
  <c r="E24" i="18" s="1"/>
  <c r="E25" i="18" s="1"/>
  <c r="E26" i="18" s="1"/>
  <c r="E27" i="18" s="1"/>
  <c r="E28" i="18" s="1"/>
  <c r="E29" i="18" s="1"/>
  <c r="E30" i="18" s="1"/>
  <c r="E31" i="18" s="1"/>
  <c r="E32" i="18" s="1"/>
  <c r="E33" i="18" s="1"/>
  <c r="E34" i="18" s="1"/>
  <c r="E35" i="18" s="1"/>
  <c r="E36" i="18" s="1"/>
  <c r="J9" i="20" l="1"/>
  <c r="J10" i="20" s="1"/>
  <c r="F15" i="21"/>
  <c r="E37" i="18"/>
  <c r="E38" i="18" s="1"/>
  <c r="E39" i="18" s="1"/>
  <c r="E40" i="18" s="1"/>
  <c r="E41" i="18" s="1"/>
  <c r="E42" i="18" s="1"/>
  <c r="E43" i="18" s="1"/>
  <c r="E44" i="18" s="1"/>
  <c r="J4" i="18" s="1"/>
  <c r="J6" i="18" l="1"/>
  <c r="J7" i="18" s="1"/>
  <c r="J8" i="18" s="1"/>
  <c r="J9" i="18" s="1"/>
  <c r="J5" i="18"/>
  <c r="J20" i="20"/>
  <c r="J10" i="18"/>
  <c r="J11" i="18" s="1"/>
  <c r="J12" i="18" s="1"/>
  <c r="J13" i="18" s="1"/>
  <c r="J14" i="18" s="1"/>
  <c r="J15" i="18" s="1"/>
  <c r="J16" i="18" s="1"/>
  <c r="J18" i="18" s="1"/>
  <c r="D42" i="12"/>
  <c r="D14" i="12"/>
  <c r="B47" i="12"/>
  <c r="J19" i="18" l="1"/>
  <c r="J20" i="18" s="1"/>
  <c r="J21" i="18" s="1"/>
  <c r="J22" i="18" s="1"/>
  <c r="J23" i="18" s="1"/>
  <c r="J24" i="18" s="1"/>
  <c r="J25" i="18" s="1"/>
  <c r="B48" i="12"/>
  <c r="E265" i="2"/>
  <c r="D73" i="12" s="1"/>
  <c r="D22" i="12"/>
  <c r="E125" i="2"/>
  <c r="D33" i="12" s="1"/>
  <c r="D20" i="12"/>
  <c r="D19" i="12"/>
  <c r="D18" i="12"/>
  <c r="D17" i="12"/>
  <c r="D16" i="12"/>
  <c r="D15" i="12"/>
  <c r="J26" i="18" l="1"/>
  <c r="J27" i="18" s="1"/>
  <c r="J28" i="18" s="1"/>
  <c r="D262" i="2"/>
  <c r="D125" i="18" l="1"/>
  <c r="I155" i="18" s="1"/>
  <c r="I156" i="18" s="1"/>
  <c r="F133" i="18" s="1"/>
  <c r="J29" i="18"/>
  <c r="J30" i="18" s="1"/>
  <c r="J31" i="18" s="1"/>
  <c r="J32" i="18" s="1"/>
  <c r="D136" i="2"/>
  <c r="J33" i="18" l="1"/>
  <c r="J34" i="18" s="1"/>
  <c r="J35" i="18" s="1"/>
  <c r="E5" i="6"/>
  <c r="J36" i="18" l="1"/>
  <c r="J37" i="18" s="1"/>
  <c r="J38" i="18" s="1"/>
  <c r="J39" i="18" s="1"/>
  <c r="J40" i="18" s="1"/>
  <c r="J41" i="18" s="1"/>
  <c r="J42" i="18" s="1"/>
  <c r="J43" i="18" s="1"/>
  <c r="M36" i="5"/>
  <c r="M37" i="5" s="1"/>
  <c r="E127" i="2"/>
  <c r="D9" i="11" s="1"/>
  <c r="D31" i="9" l="1"/>
  <c r="L19" i="5"/>
  <c r="E262" i="2"/>
  <c r="D41" i="9" s="1"/>
  <c r="F82" i="12" l="1"/>
  <c r="J9" i="13"/>
  <c r="D8" i="17"/>
  <c r="F7" i="17" s="1"/>
  <c r="J32" i="20" s="1"/>
  <c r="V242" i="20" s="1"/>
  <c r="D5" i="17"/>
  <c r="E79" i="2"/>
  <c r="E128" i="2"/>
  <c r="J34" i="20" l="1"/>
  <c r="E3" i="23"/>
  <c r="E4" i="23" s="1"/>
  <c r="C10" i="23" s="1"/>
  <c r="S21" i="20"/>
  <c r="S24" i="20" s="1"/>
  <c r="G80" i="20"/>
  <c r="F36" i="18"/>
  <c r="J7" i="13"/>
  <c r="K13" i="18"/>
  <c r="J8" i="13"/>
  <c r="K14" i="18"/>
  <c r="J5" i="13"/>
  <c r="K11" i="18"/>
  <c r="L6" i="18" s="1"/>
  <c r="F4" i="17"/>
  <c r="E2" i="17"/>
  <c r="C2" i="17"/>
  <c r="F13" i="23" l="1"/>
  <c r="F12" i="23"/>
  <c r="K10" i="18"/>
  <c r="J31" i="20"/>
  <c r="F10" i="17"/>
  <c r="J33" i="20" s="1"/>
  <c r="J4" i="13"/>
  <c r="D13" i="12"/>
  <c r="D22" i="9"/>
  <c r="D43" i="12"/>
  <c r="M36" i="13"/>
  <c r="M37" i="13" s="1"/>
  <c r="D284" i="2"/>
  <c r="D282" i="2"/>
  <c r="D283" i="2"/>
  <c r="D281" i="2"/>
  <c r="E280" i="2"/>
  <c r="E281" i="2" l="1"/>
  <c r="C16" i="23"/>
  <c r="E5" i="23" s="1"/>
  <c r="S30" i="20" s="1"/>
  <c r="K12" i="18"/>
  <c r="E283" i="2"/>
  <c r="J11" i="13"/>
  <c r="J6" i="13"/>
  <c r="D12" i="12"/>
  <c r="E278" i="2"/>
  <c r="E277" i="2"/>
  <c r="AB12" i="13"/>
  <c r="Q7" i="13"/>
  <c r="J33" i="13"/>
  <c r="J35" i="13"/>
  <c r="J36" i="13"/>
  <c r="E41" i="13"/>
  <c r="E40" i="13"/>
  <c r="E35" i="13"/>
  <c r="E23" i="13"/>
  <c r="F13" i="16" l="1"/>
  <c r="F26" i="16" s="1"/>
  <c r="E2" i="16"/>
  <c r="C2" i="16"/>
  <c r="E2" i="14" l="1"/>
  <c r="C2" i="14"/>
  <c r="K154" i="13" l="1"/>
  <c r="K136" i="13"/>
  <c r="K135" i="13"/>
  <c r="K134" i="13"/>
  <c r="K133" i="13"/>
  <c r="K132" i="13"/>
  <c r="K131" i="13"/>
  <c r="E131" i="13"/>
  <c r="H131" i="13" s="1"/>
  <c r="K130" i="13"/>
  <c r="E130" i="13"/>
  <c r="H130" i="13" s="1"/>
  <c r="K129" i="13"/>
  <c r="E129" i="13"/>
  <c r="H129" i="13" s="1"/>
  <c r="K128" i="13"/>
  <c r="E128" i="13"/>
  <c r="H128" i="13" s="1"/>
  <c r="K127" i="13"/>
  <c r="K126" i="13"/>
  <c r="K125" i="13"/>
  <c r="K124" i="13"/>
  <c r="K123" i="13"/>
  <c r="K122" i="13"/>
  <c r="K121" i="13"/>
  <c r="K120" i="13"/>
  <c r="K119" i="13"/>
  <c r="K118" i="13"/>
  <c r="K117" i="13"/>
  <c r="K116" i="13"/>
  <c r="K115" i="13"/>
  <c r="K114" i="13"/>
  <c r="K113" i="13"/>
  <c r="K112" i="13"/>
  <c r="H112" i="13"/>
  <c r="K111" i="13"/>
  <c r="K110" i="13"/>
  <c r="K109" i="13"/>
  <c r="K108" i="13"/>
  <c r="K107" i="13"/>
  <c r="K106" i="13"/>
  <c r="K105" i="13"/>
  <c r="K104" i="13"/>
  <c r="K103" i="13"/>
  <c r="K102" i="13"/>
  <c r="K101" i="13"/>
  <c r="K100" i="13"/>
  <c r="K99" i="13"/>
  <c r="K98" i="13"/>
  <c r="D98" i="13"/>
  <c r="K97" i="13"/>
  <c r="E97" i="13"/>
  <c r="D97" i="13" s="1"/>
  <c r="K96" i="13"/>
  <c r="K95" i="13"/>
  <c r="K94" i="13"/>
  <c r="K93" i="13"/>
  <c r="K92" i="13"/>
  <c r="K91" i="13"/>
  <c r="K90" i="13"/>
  <c r="K89" i="13"/>
  <c r="K88" i="13"/>
  <c r="E88" i="13"/>
  <c r="K87" i="13"/>
  <c r="K86" i="13"/>
  <c r="K85" i="13"/>
  <c r="K84" i="13"/>
  <c r="H84" i="13"/>
  <c r="K83" i="13"/>
  <c r="K82" i="13"/>
  <c r="E82" i="13"/>
  <c r="K81" i="13"/>
  <c r="E81" i="13"/>
  <c r="K80" i="13"/>
  <c r="E80" i="13"/>
  <c r="K79" i="13"/>
  <c r="E79" i="13"/>
  <c r="H79" i="13" s="1"/>
  <c r="K78" i="13"/>
  <c r="E78" i="13"/>
  <c r="K77" i="13"/>
  <c r="E77" i="13"/>
  <c r="K76" i="13"/>
  <c r="K75" i="13"/>
  <c r="K74" i="13"/>
  <c r="H74" i="13"/>
  <c r="H75" i="13" s="1"/>
  <c r="K73" i="13"/>
  <c r="K72" i="13"/>
  <c r="K71" i="13"/>
  <c r="K70" i="13"/>
  <c r="K69" i="13"/>
  <c r="C69" i="13"/>
  <c r="K68" i="13"/>
  <c r="K67" i="13"/>
  <c r="K66" i="13"/>
  <c r="K65" i="13"/>
  <c r="K64" i="13"/>
  <c r="K63" i="13"/>
  <c r="K62" i="13"/>
  <c r="C62" i="13"/>
  <c r="K61" i="13"/>
  <c r="C61" i="13"/>
  <c r="K60" i="13"/>
  <c r="K59" i="13"/>
  <c r="K58" i="13"/>
  <c r="K57" i="13"/>
  <c r="K56" i="13"/>
  <c r="K55" i="13"/>
  <c r="K54" i="13"/>
  <c r="K53" i="13"/>
  <c r="H52" i="13"/>
  <c r="M49" i="13"/>
  <c r="M48" i="13"/>
  <c r="M47" i="13"/>
  <c r="M46" i="13"/>
  <c r="M45" i="13"/>
  <c r="M44" i="13"/>
  <c r="M43" i="13"/>
  <c r="O42" i="13"/>
  <c r="Z31" i="13"/>
  <c r="Q31" i="13"/>
  <c r="Q30" i="13"/>
  <c r="K28" i="13"/>
  <c r="P26" i="13"/>
  <c r="P25" i="13"/>
  <c r="O23" i="13"/>
  <c r="Z20" i="13"/>
  <c r="Q20" i="13"/>
  <c r="AA19" i="13"/>
  <c r="L19" i="13"/>
  <c r="L15" i="13"/>
  <c r="AC12" i="13"/>
  <c r="Z21" i="13" s="1"/>
  <c r="K6" i="13"/>
  <c r="D5" i="13"/>
  <c r="D6" i="13" s="1"/>
  <c r="D7" i="13" s="1"/>
  <c r="D8" i="13" s="1"/>
  <c r="D9" i="13" s="1"/>
  <c r="D10" i="13" s="1"/>
  <c r="D11" i="13" s="1"/>
  <c r="D12" i="13" s="1"/>
  <c r="D13" i="13" s="1"/>
  <c r="D14" i="13" s="1"/>
  <c r="D15" i="13" s="1"/>
  <c r="D16" i="13" s="1"/>
  <c r="D17" i="13" s="1"/>
  <c r="D18" i="13" s="1"/>
  <c r="D19" i="13" s="1"/>
  <c r="D20" i="13" s="1"/>
  <c r="D22" i="13" s="1"/>
  <c r="D23" i="13" s="1"/>
  <c r="D24" i="13" s="1"/>
  <c r="D25" i="13" s="1"/>
  <c r="D26" i="13" s="1"/>
  <c r="D27" i="13" s="1"/>
  <c r="D28" i="13" s="1"/>
  <c r="D29" i="13" s="1"/>
  <c r="D30" i="13" s="1"/>
  <c r="D31" i="13" s="1"/>
  <c r="D32" i="13" s="1"/>
  <c r="D33" i="13" s="1"/>
  <c r="D34" i="13" s="1"/>
  <c r="D35" i="13" s="1"/>
  <c r="D36" i="13" s="1"/>
  <c r="D37" i="13" s="1"/>
  <c r="D38" i="13" s="1"/>
  <c r="D39" i="13" s="1"/>
  <c r="D40" i="13" s="1"/>
  <c r="AB4" i="13"/>
  <c r="A2" i="13"/>
  <c r="A1" i="13"/>
  <c r="D32" i="11"/>
  <c r="D225" i="2"/>
  <c r="D35" i="11"/>
  <c r="N16" i="20" s="1"/>
  <c r="D67" i="12"/>
  <c r="S16" i="20" s="1"/>
  <c r="S17" i="20" s="1"/>
  <c r="D34" i="9"/>
  <c r="N15" i="20" l="1"/>
  <c r="N17" i="20" s="1"/>
  <c r="D31" i="11"/>
  <c r="H80" i="13"/>
  <c r="P27" i="13"/>
  <c r="P28" i="13" s="1"/>
  <c r="C63" i="13"/>
  <c r="H78" i="13"/>
  <c r="D41" i="13"/>
  <c r="D42" i="13" s="1"/>
  <c r="I4" i="13" s="1"/>
  <c r="I5" i="13" s="1"/>
  <c r="I6" i="13" s="1"/>
  <c r="I7" i="13" s="1"/>
  <c r="I8" i="13" s="1"/>
  <c r="I9" i="13" s="1"/>
  <c r="I10" i="13" s="1"/>
  <c r="I11" i="13" s="1"/>
  <c r="I12" i="13" s="1"/>
  <c r="I13" i="13" s="1"/>
  <c r="I14" i="13" s="1"/>
  <c r="Q18" i="13"/>
  <c r="H132" i="13"/>
  <c r="E132" i="13" s="1"/>
  <c r="Q21" i="13"/>
  <c r="Q22" i="13" s="1"/>
  <c r="Z18" i="13"/>
  <c r="Z22" i="13"/>
  <c r="O43" i="13"/>
  <c r="P44" i="13" s="1"/>
  <c r="H77" i="13"/>
  <c r="D25" i="12"/>
  <c r="F24" i="12" s="1"/>
  <c r="S7" i="20" s="1"/>
  <c r="D56" i="12"/>
  <c r="D54" i="12"/>
  <c r="D53" i="12"/>
  <c r="D52" i="12"/>
  <c r="D51" i="12"/>
  <c r="D50" i="12"/>
  <c r="C41" i="12"/>
  <c r="C40" i="12"/>
  <c r="C39" i="12"/>
  <c r="C37" i="12"/>
  <c r="D6" i="12"/>
  <c r="D7" i="12"/>
  <c r="D8" i="12"/>
  <c r="D9" i="12"/>
  <c r="D10" i="12"/>
  <c r="D5" i="12"/>
  <c r="C10" i="12"/>
  <c r="C9" i="12"/>
  <c r="C8" i="12"/>
  <c r="C7" i="12"/>
  <c r="C6" i="12"/>
  <c r="C5" i="12"/>
  <c r="E2" i="12"/>
  <c r="E48" i="12" s="1"/>
  <c r="C2" i="12"/>
  <c r="C48" i="12" s="1"/>
  <c r="E31" i="13" l="1"/>
  <c r="F27" i="18"/>
  <c r="H83" i="13"/>
  <c r="C84" i="13" s="1"/>
  <c r="I15" i="13"/>
  <c r="I16" i="13" s="1"/>
  <c r="I17" i="13" s="1"/>
  <c r="I18" i="13" s="1"/>
  <c r="I19" i="13" s="1"/>
  <c r="I20" i="13" s="1"/>
  <c r="I22" i="13" s="1"/>
  <c r="I23" i="13" s="1"/>
  <c r="I24" i="13" s="1"/>
  <c r="I25" i="13" s="1"/>
  <c r="I26" i="13" s="1"/>
  <c r="I27" i="13" s="1"/>
  <c r="I28" i="13" s="1"/>
  <c r="E28" i="13"/>
  <c r="I29" i="13" l="1"/>
  <c r="I30" i="13" s="1"/>
  <c r="I31" i="13" s="1"/>
  <c r="I32" i="13" s="1"/>
  <c r="I33" i="13" s="1"/>
  <c r="I34" i="13" s="1"/>
  <c r="I35" i="13" s="1"/>
  <c r="I36" i="13" s="1"/>
  <c r="I37" i="13" s="1"/>
  <c r="I38" i="13" s="1"/>
  <c r="I39" i="13" s="1"/>
  <c r="I40" i="13" s="1"/>
  <c r="I41" i="13" s="1"/>
  <c r="I42" i="13" s="1"/>
  <c r="E213" i="2"/>
  <c r="D20" i="11"/>
  <c r="D21" i="11"/>
  <c r="D22" i="11"/>
  <c r="D23" i="11"/>
  <c r="D24" i="11"/>
  <c r="D17" i="11"/>
  <c r="E206" i="2"/>
  <c r="D11" i="11"/>
  <c r="D10" i="11"/>
  <c r="D9" i="10"/>
  <c r="D26" i="9"/>
  <c r="D25" i="9"/>
  <c r="E180" i="2"/>
  <c r="D14" i="11" l="1"/>
  <c r="H88" i="13"/>
  <c r="F7" i="10"/>
  <c r="J27" i="20" s="1"/>
  <c r="W252" i="20" s="1"/>
  <c r="W253" i="20" s="1"/>
  <c r="V250" i="20" s="1"/>
  <c r="D33" i="9"/>
  <c r="D6" i="11"/>
  <c r="D5" i="11"/>
  <c r="E55" i="2"/>
  <c r="E2" i="11"/>
  <c r="C2" i="11"/>
  <c r="E270" i="2"/>
  <c r="D18" i="10" s="1"/>
  <c r="D17" i="10" s="1"/>
  <c r="D5" i="10"/>
  <c r="F12" i="11" l="1"/>
  <c r="N9" i="20" s="1"/>
  <c r="E14" i="13"/>
  <c r="L16" i="13" s="1"/>
  <c r="L17" i="13" s="1"/>
  <c r="K14" i="13" s="1"/>
  <c r="K6" i="18"/>
  <c r="M16" i="18" s="1"/>
  <c r="M17" i="18" s="1"/>
  <c r="L14" i="18" s="1"/>
  <c r="F4" i="11"/>
  <c r="F8" i="11"/>
  <c r="F4" i="10"/>
  <c r="K5" i="18" s="1"/>
  <c r="E2" i="10"/>
  <c r="C2" i="10"/>
  <c r="C12" i="9"/>
  <c r="D15" i="9"/>
  <c r="D16" i="9"/>
  <c r="D17" i="9"/>
  <c r="D18" i="9"/>
  <c r="D20" i="9"/>
  <c r="D14" i="9"/>
  <c r="D6" i="9"/>
  <c r="D7" i="9"/>
  <c r="D8" i="9"/>
  <c r="D9" i="9"/>
  <c r="D10" i="9"/>
  <c r="D11" i="9"/>
  <c r="D5" i="9"/>
  <c r="E2" i="9"/>
  <c r="C2" i="9"/>
  <c r="D38" i="11" l="1"/>
  <c r="D37" i="11"/>
  <c r="F16" i="18"/>
  <c r="E20" i="13"/>
  <c r="F4" i="9"/>
  <c r="F10" i="10"/>
  <c r="J26" i="20"/>
  <c r="F15" i="18"/>
  <c r="N8" i="20"/>
  <c r="N6" i="20"/>
  <c r="D42" i="11"/>
  <c r="D43" i="11"/>
  <c r="F26" i="11"/>
  <c r="F14" i="18"/>
  <c r="E13" i="13"/>
  <c r="E18" i="13"/>
  <c r="E19" i="13"/>
  <c r="D39" i="9" l="1"/>
  <c r="G6" i="20"/>
  <c r="F18" i="18"/>
  <c r="N10" i="20"/>
  <c r="F11" i="10"/>
  <c r="J29" i="20" s="1"/>
  <c r="J28" i="20"/>
  <c r="K7" i="18"/>
  <c r="E22" i="13"/>
  <c r="F7" i="18"/>
  <c r="E15" i="13"/>
  <c r="E7" i="13"/>
  <c r="E46" i="2"/>
  <c r="G15" i="20" l="1"/>
  <c r="E16" i="13"/>
  <c r="K8" i="18"/>
  <c r="F21" i="10"/>
  <c r="J30" i="20" s="1"/>
  <c r="C9" i="2"/>
  <c r="K9" i="18" l="1"/>
  <c r="E17" i="13"/>
  <c r="E4" i="14"/>
  <c r="C2" i="7"/>
  <c r="K153" i="5"/>
  <c r="I176" i="3"/>
  <c r="F37" i="3"/>
  <c r="K28" i="5"/>
  <c r="E129" i="5"/>
  <c r="H129" i="5" s="1"/>
  <c r="E128" i="5"/>
  <c r="H128" i="5" s="1"/>
  <c r="E127" i="5"/>
  <c r="H127" i="5" s="1"/>
  <c r="E130" i="5"/>
  <c r="H111" i="5"/>
  <c r="D102" i="2"/>
  <c r="C61" i="5"/>
  <c r="E34" i="5"/>
  <c r="D39" i="12"/>
  <c r="E78" i="2"/>
  <c r="D11" i="12" s="1"/>
  <c r="G9" i="7"/>
  <c r="F12" i="3"/>
  <c r="M42" i="5"/>
  <c r="O42" i="5" s="1"/>
  <c r="F27" i="6"/>
  <c r="L4" i="3"/>
  <c r="I4" i="3"/>
  <c r="H83" i="5"/>
  <c r="D97" i="5"/>
  <c r="C109" i="3"/>
  <c r="E96" i="5"/>
  <c r="D96" i="5" s="1"/>
  <c r="D108" i="3"/>
  <c r="C108" i="3" s="1"/>
  <c r="A14" i="3"/>
  <c r="A15" i="3" s="1"/>
  <c r="A16" i="3" s="1"/>
  <c r="A17" i="3" s="1"/>
  <c r="A18" i="3" s="1"/>
  <c r="A19" i="3" s="1"/>
  <c r="A20" i="3" s="1"/>
  <c r="A21" i="3" s="1"/>
  <c r="A22" i="3" s="1"/>
  <c r="A23" i="3" s="1"/>
  <c r="A24" i="3" s="1"/>
  <c r="A27" i="3"/>
  <c r="A28" i="3" s="1"/>
  <c r="A29" i="3" s="1"/>
  <c r="A30" i="3" s="1"/>
  <c r="A31" i="3" s="1"/>
  <c r="A32" i="3" s="1"/>
  <c r="A33" i="3" s="1"/>
  <c r="A34" i="3" s="1"/>
  <c r="A35" i="3" s="1"/>
  <c r="A36" i="3" s="1"/>
  <c r="A37" i="3" s="1"/>
  <c r="A38" i="3" s="1"/>
  <c r="A39" i="3" s="1"/>
  <c r="A40" i="3" s="1"/>
  <c r="A41" i="3" s="1"/>
  <c r="A42" i="3" s="1"/>
  <c r="A43" i="3" s="1"/>
  <c r="A44" i="3" s="1"/>
  <c r="A45" i="3" s="1"/>
  <c r="G42" i="7"/>
  <c r="C105" i="3"/>
  <c r="C106" i="3"/>
  <c r="H41" i="7"/>
  <c r="G41" i="7" s="1"/>
  <c r="G39" i="7"/>
  <c r="C88" i="3"/>
  <c r="G66" i="7"/>
  <c r="D87" i="3"/>
  <c r="D96" i="3" s="1"/>
  <c r="H66" i="7"/>
  <c r="H73" i="7"/>
  <c r="D102" i="3"/>
  <c r="B97" i="3"/>
  <c r="P26" i="5"/>
  <c r="F77" i="7"/>
  <c r="B96" i="3"/>
  <c r="Z31" i="5"/>
  <c r="H82" i="7"/>
  <c r="F76" i="7"/>
  <c r="Q76" i="7"/>
  <c r="P25" i="5"/>
  <c r="G38" i="7"/>
  <c r="H60" i="7"/>
  <c r="I60" i="7" s="1"/>
  <c r="D82" i="3"/>
  <c r="C91" i="3" s="1"/>
  <c r="N49" i="7"/>
  <c r="D147" i="2"/>
  <c r="D150" i="2" s="1"/>
  <c r="D44" i="12" s="1"/>
  <c r="I2" i="2"/>
  <c r="C11" i="2" s="1"/>
  <c r="H73" i="5"/>
  <c r="H74" i="5" s="1"/>
  <c r="AB12" i="5"/>
  <c r="AC12" i="5" s="1"/>
  <c r="E78" i="5"/>
  <c r="H78" i="5" s="1"/>
  <c r="E79" i="5"/>
  <c r="I21" i="2"/>
  <c r="I22" i="2" s="1"/>
  <c r="S6" i="5"/>
  <c r="Q6" i="5" s="1"/>
  <c r="AB4" i="5"/>
  <c r="Q3" i="5"/>
  <c r="Q2" i="5"/>
  <c r="J18" i="7"/>
  <c r="J19" i="7"/>
  <c r="E67" i="2"/>
  <c r="E65" i="2"/>
  <c r="A8" i="7"/>
  <c r="F13" i="7"/>
  <c r="F14" i="7"/>
  <c r="F18" i="7"/>
  <c r="F17" i="7"/>
  <c r="F20" i="7"/>
  <c r="F22" i="7"/>
  <c r="J14" i="7"/>
  <c r="J16" i="7"/>
  <c r="J17" i="7"/>
  <c r="J13" i="7"/>
  <c r="H14" i="7"/>
  <c r="H23" i="7" s="1"/>
  <c r="H16" i="7"/>
  <c r="H24" i="7" s="1"/>
  <c r="H17" i="7"/>
  <c r="H25" i="7" s="1"/>
  <c r="H13" i="7"/>
  <c r="H22" i="7" s="1"/>
  <c r="B211" i="7"/>
  <c r="B210" i="7"/>
  <c r="B209" i="7"/>
  <c r="B208" i="7"/>
  <c r="B207" i="7"/>
  <c r="B206" i="7"/>
  <c r="B205" i="7"/>
  <c r="B204" i="7"/>
  <c r="B203" i="7"/>
  <c r="B202" i="7"/>
  <c r="B201" i="7"/>
  <c r="B200" i="7"/>
  <c r="B199" i="7"/>
  <c r="B198" i="7"/>
  <c r="B197" i="7"/>
  <c r="B196" i="7"/>
  <c r="B195" i="7"/>
  <c r="B194" i="7"/>
  <c r="B193" i="7"/>
  <c r="B192" i="7"/>
  <c r="B191" i="7"/>
  <c r="B190" i="7"/>
  <c r="B189" i="7"/>
  <c r="B188" i="7"/>
  <c r="B187" i="7"/>
  <c r="B186" i="7"/>
  <c r="B185" i="7"/>
  <c r="B184" i="7"/>
  <c r="B183" i="7"/>
  <c r="B182" i="7"/>
  <c r="B181" i="7"/>
  <c r="B180" i="7"/>
  <c r="B179" i="7"/>
  <c r="B178" i="7"/>
  <c r="B177" i="7"/>
  <c r="B176" i="7"/>
  <c r="B175" i="7"/>
  <c r="B174" i="7"/>
  <c r="B173" i="7"/>
  <c r="B172" i="7"/>
  <c r="B171" i="7"/>
  <c r="B170" i="7"/>
  <c r="B169" i="7"/>
  <c r="B168" i="7"/>
  <c r="G167" i="7"/>
  <c r="B167" i="7"/>
  <c r="M166" i="7"/>
  <c r="G166" i="7"/>
  <c r="B166" i="7"/>
  <c r="G165" i="7"/>
  <c r="B165" i="7"/>
  <c r="G164" i="7"/>
  <c r="B164" i="7"/>
  <c r="G163" i="7"/>
  <c r="B163" i="7"/>
  <c r="G162" i="7"/>
  <c r="B162" i="7"/>
  <c r="G161" i="7"/>
  <c r="B161" i="7"/>
  <c r="G160" i="7"/>
  <c r="B160" i="7"/>
  <c r="G159" i="7"/>
  <c r="B159" i="7"/>
  <c r="G158" i="7"/>
  <c r="B158" i="7"/>
  <c r="G157" i="7"/>
  <c r="B157" i="7"/>
  <c r="G156" i="7"/>
  <c r="B156" i="7"/>
  <c r="G155" i="7"/>
  <c r="B155" i="7"/>
  <c r="G154" i="7"/>
  <c r="B154" i="7"/>
  <c r="G153" i="7"/>
  <c r="B153" i="7"/>
  <c r="G152" i="7"/>
  <c r="B152" i="7"/>
  <c r="G151" i="7"/>
  <c r="B151" i="7"/>
  <c r="G150" i="7"/>
  <c r="B150" i="7"/>
  <c r="G149" i="7"/>
  <c r="B149" i="7"/>
  <c r="G148" i="7"/>
  <c r="B148" i="7"/>
  <c r="G147" i="7"/>
  <c r="B147" i="7"/>
  <c r="G146" i="7"/>
  <c r="B146" i="7"/>
  <c r="G145" i="7"/>
  <c r="B145" i="7"/>
  <c r="G144" i="7"/>
  <c r="B144" i="7"/>
  <c r="G143" i="7"/>
  <c r="B143" i="7"/>
  <c r="G142" i="7"/>
  <c r="B142" i="7"/>
  <c r="G141" i="7"/>
  <c r="B141" i="7"/>
  <c r="G140" i="7"/>
  <c r="B140" i="7"/>
  <c r="G139" i="7"/>
  <c r="B139" i="7"/>
  <c r="G138" i="7"/>
  <c r="B138" i="7"/>
  <c r="G137" i="7"/>
  <c r="B137" i="7"/>
  <c r="G136" i="7"/>
  <c r="B136" i="7"/>
  <c r="G135" i="7"/>
  <c r="B135" i="7"/>
  <c r="G134" i="7"/>
  <c r="B134" i="7"/>
  <c r="G133" i="7"/>
  <c r="B133" i="7"/>
  <c r="G132" i="7"/>
  <c r="B132" i="7"/>
  <c r="G131" i="7"/>
  <c r="B131" i="7"/>
  <c r="G130" i="7"/>
  <c r="B130" i="7"/>
  <c r="G129" i="7"/>
  <c r="B129" i="7"/>
  <c r="G128" i="7"/>
  <c r="B128" i="7"/>
  <c r="G127" i="7"/>
  <c r="BA123" i="7"/>
  <c r="AY123" i="7"/>
  <c r="BA122" i="7"/>
  <c r="AY122" i="7"/>
  <c r="BA121" i="7"/>
  <c r="AY121" i="7"/>
  <c r="BA120" i="7"/>
  <c r="AY120" i="7"/>
  <c r="BA119" i="7"/>
  <c r="AY119" i="7"/>
  <c r="BA118" i="7"/>
  <c r="AY118" i="7"/>
  <c r="BA117" i="7"/>
  <c r="AY117" i="7"/>
  <c r="BA116" i="7"/>
  <c r="AY116" i="7"/>
  <c r="BA115" i="7"/>
  <c r="AY115" i="7"/>
  <c r="BA114" i="7"/>
  <c r="AY114" i="7"/>
  <c r="BA113" i="7"/>
  <c r="AY113" i="7"/>
  <c r="BA112" i="7"/>
  <c r="AY112" i="7"/>
  <c r="BA111" i="7"/>
  <c r="AY111" i="7"/>
  <c r="BA110" i="7"/>
  <c r="AY110" i="7"/>
  <c r="BA109" i="7"/>
  <c r="AY109" i="7"/>
  <c r="BA108" i="7"/>
  <c r="AY108" i="7"/>
  <c r="BA107" i="7"/>
  <c r="AY107" i="7"/>
  <c r="BA106" i="7"/>
  <c r="AY106" i="7"/>
  <c r="BA105" i="7"/>
  <c r="AY105" i="7"/>
  <c r="BA104" i="7"/>
  <c r="AY104" i="7"/>
  <c r="BA103" i="7"/>
  <c r="AY103" i="7"/>
  <c r="BA102" i="7"/>
  <c r="AY102" i="7"/>
  <c r="BA101" i="7"/>
  <c r="AY101" i="7"/>
  <c r="BA100" i="7"/>
  <c r="AY100" i="7"/>
  <c r="BA99" i="7"/>
  <c r="AY99" i="7"/>
  <c r="BA98" i="7"/>
  <c r="AY98" i="7"/>
  <c r="BA97" i="7"/>
  <c r="AY97" i="7"/>
  <c r="AK97" i="7"/>
  <c r="BA96" i="7"/>
  <c r="AY96" i="7"/>
  <c r="AM96" i="7"/>
  <c r="AL96" i="7"/>
  <c r="AK96" i="7"/>
  <c r="BA95" i="7"/>
  <c r="AY95" i="7"/>
  <c r="BA94" i="7"/>
  <c r="AY94" i="7"/>
  <c r="BA93" i="7"/>
  <c r="AY93" i="7"/>
  <c r="BA92" i="7"/>
  <c r="AY92" i="7"/>
  <c r="BA91" i="7"/>
  <c r="AY91" i="7"/>
  <c r="BA90" i="7"/>
  <c r="AY90" i="7"/>
  <c r="BA89" i="7"/>
  <c r="AY89" i="7"/>
  <c r="BA88" i="7"/>
  <c r="AY88" i="7"/>
  <c r="BA87" i="7"/>
  <c r="AY87" i="7"/>
  <c r="BA86" i="7"/>
  <c r="AY86" i="7"/>
  <c r="BA85" i="7"/>
  <c r="AY85" i="7"/>
  <c r="BA84" i="7"/>
  <c r="AY84" i="7"/>
  <c r="BA83" i="7"/>
  <c r="AY83" i="7"/>
  <c r="BA82" i="7"/>
  <c r="AY82" i="7"/>
  <c r="O87" i="7"/>
  <c r="BA81" i="7"/>
  <c r="AY81" i="7"/>
  <c r="BA80" i="7"/>
  <c r="AY80" i="7"/>
  <c r="BA79" i="7"/>
  <c r="AY79" i="7"/>
  <c r="BA78" i="7"/>
  <c r="AY78" i="7"/>
  <c r="BA77" i="7"/>
  <c r="AY77" i="7"/>
  <c r="BA76" i="7"/>
  <c r="AY76" i="7"/>
  <c r="BA75" i="7"/>
  <c r="AY75" i="7"/>
  <c r="S75" i="7"/>
  <c r="S76" i="7" s="1"/>
  <c r="BA74" i="7"/>
  <c r="AY74" i="7"/>
  <c r="BA73" i="7"/>
  <c r="AY73" i="7"/>
  <c r="BA72" i="7"/>
  <c r="AY72" i="7"/>
  <c r="S72" i="7"/>
  <c r="O72" i="7"/>
  <c r="M64" i="7" s="1"/>
  <c r="BA71" i="7"/>
  <c r="AY71" i="7"/>
  <c r="BA70" i="7"/>
  <c r="AY70" i="7"/>
  <c r="BA69" i="7"/>
  <c r="AY69" i="7"/>
  <c r="BA68" i="7"/>
  <c r="AY68" i="7"/>
  <c r="BA67" i="7"/>
  <c r="AY67" i="7"/>
  <c r="Y67" i="7"/>
  <c r="X67" i="7"/>
  <c r="T67" i="7"/>
  <c r="S67" i="7"/>
  <c r="P67" i="7"/>
  <c r="O67" i="7"/>
  <c r="BA66" i="7"/>
  <c r="AY66" i="7"/>
  <c r="M66" i="7"/>
  <c r="M65" i="7" s="1"/>
  <c r="BA65" i="7"/>
  <c r="AY65" i="7"/>
  <c r="BA64" i="7"/>
  <c r="AY64" i="7"/>
  <c r="BA63" i="7"/>
  <c r="AY63" i="7"/>
  <c r="BA62" i="7"/>
  <c r="AY62" i="7"/>
  <c r="BA61" i="7"/>
  <c r="AY61" i="7"/>
  <c r="BA60" i="7"/>
  <c r="AY60" i="7"/>
  <c r="BA59" i="7"/>
  <c r="AY59" i="7"/>
  <c r="N44" i="7"/>
  <c r="N45" i="7" s="1"/>
  <c r="BA35" i="7"/>
  <c r="AY35" i="7"/>
  <c r="M32" i="7"/>
  <c r="N32" i="7" s="1"/>
  <c r="N22" i="7"/>
  <c r="M23" i="7" s="1"/>
  <c r="G22" i="7"/>
  <c r="BA19" i="7"/>
  <c r="AY19" i="7"/>
  <c r="BA18" i="7"/>
  <c r="AY18" i="7"/>
  <c r="BA17" i="7"/>
  <c r="AY17" i="7"/>
  <c r="BA16" i="7"/>
  <c r="AY16" i="7"/>
  <c r="Q16" i="7"/>
  <c r="R78" i="7" s="1"/>
  <c r="BA14" i="7"/>
  <c r="AY14" i="7"/>
  <c r="BA13" i="7"/>
  <c r="AY13" i="7"/>
  <c r="Q13" i="7"/>
  <c r="O13" i="7"/>
  <c r="BA12" i="7"/>
  <c r="AY12" i="7"/>
  <c r="Q12" i="7"/>
  <c r="O12" i="7"/>
  <c r="BA8" i="7"/>
  <c r="AY8" i="7"/>
  <c r="O8" i="7"/>
  <c r="BA7" i="7"/>
  <c r="AY7" i="7"/>
  <c r="O7" i="7"/>
  <c r="BA5" i="7"/>
  <c r="AY5" i="7"/>
  <c r="O5" i="7"/>
  <c r="BA3" i="7"/>
  <c r="AY3" i="7"/>
  <c r="O3" i="7"/>
  <c r="B3" i="7"/>
  <c r="AY2" i="7"/>
  <c r="O2" i="7"/>
  <c r="B2" i="7"/>
  <c r="AX1" i="7"/>
  <c r="AZ124" i="7" s="1"/>
  <c r="BA124" i="7" s="1"/>
  <c r="O1" i="7"/>
  <c r="E122" i="2"/>
  <c r="D31" i="12" s="1"/>
  <c r="B122" i="2"/>
  <c r="E301" i="2"/>
  <c r="B167" i="2"/>
  <c r="B166" i="2"/>
  <c r="M48" i="5"/>
  <c r="M47" i="5"/>
  <c r="M46" i="5"/>
  <c r="M45" i="5"/>
  <c r="M44" i="5"/>
  <c r="M43" i="5"/>
  <c r="D62" i="2"/>
  <c r="L39" i="7" s="1"/>
  <c r="D60" i="2"/>
  <c r="E87" i="5"/>
  <c r="E36" i="6"/>
  <c r="F35" i="6" s="1"/>
  <c r="A2" i="5"/>
  <c r="A1" i="5"/>
  <c r="L15" i="5"/>
  <c r="J30" i="3"/>
  <c r="K30" i="3" s="1"/>
  <c r="F21" i="3"/>
  <c r="J31" i="5"/>
  <c r="E81" i="5"/>
  <c r="E80" i="5"/>
  <c r="E77" i="5"/>
  <c r="E76" i="5"/>
  <c r="E13" i="5"/>
  <c r="E26" i="5" s="1"/>
  <c r="J5" i="5"/>
  <c r="K6" i="5" s="1"/>
  <c r="E22" i="5"/>
  <c r="E285" i="2"/>
  <c r="I42" i="3" s="1"/>
  <c r="J42" i="20" s="1"/>
  <c r="E114" i="6"/>
  <c r="E108" i="6"/>
  <c r="E104" i="6"/>
  <c r="E98" i="6"/>
  <c r="F126" i="6"/>
  <c r="F119" i="6"/>
  <c r="C68" i="5"/>
  <c r="E273" i="2"/>
  <c r="D44" i="9" s="1"/>
  <c r="C60" i="5"/>
  <c r="E263" i="2"/>
  <c r="D74" i="12" s="1"/>
  <c r="H51" i="5"/>
  <c r="K135" i="5"/>
  <c r="K134" i="5"/>
  <c r="K133" i="5"/>
  <c r="K132" i="5"/>
  <c r="K131" i="5"/>
  <c r="K130" i="5"/>
  <c r="K129" i="5"/>
  <c r="K128" i="5"/>
  <c r="K127" i="5"/>
  <c r="K126" i="5"/>
  <c r="K125" i="5"/>
  <c r="K124" i="5"/>
  <c r="K123" i="5"/>
  <c r="K122" i="5"/>
  <c r="K121" i="5"/>
  <c r="K120" i="5"/>
  <c r="K119" i="5"/>
  <c r="K118" i="5"/>
  <c r="K117" i="5"/>
  <c r="K116" i="5"/>
  <c r="K115" i="5"/>
  <c r="K114" i="5"/>
  <c r="K113" i="5"/>
  <c r="K112" i="5"/>
  <c r="K111" i="5"/>
  <c r="K110" i="5"/>
  <c r="K109" i="5"/>
  <c r="K108" i="5"/>
  <c r="K107" i="5"/>
  <c r="K106" i="5"/>
  <c r="K105" i="5"/>
  <c r="K104" i="5"/>
  <c r="K103" i="5"/>
  <c r="K102" i="5"/>
  <c r="K101" i="5"/>
  <c r="K100" i="5"/>
  <c r="K99" i="5"/>
  <c r="K98" i="5"/>
  <c r="K97" i="5"/>
  <c r="K96" i="5"/>
  <c r="K95" i="5"/>
  <c r="K94" i="5"/>
  <c r="K93" i="5"/>
  <c r="K92" i="5"/>
  <c r="K91" i="5"/>
  <c r="K90" i="5"/>
  <c r="K89" i="5"/>
  <c r="K88" i="5"/>
  <c r="K87" i="5"/>
  <c r="K86" i="5"/>
  <c r="K85" i="5"/>
  <c r="K84" i="5"/>
  <c r="K83" i="5"/>
  <c r="K82" i="5"/>
  <c r="K81" i="5"/>
  <c r="K80" i="5"/>
  <c r="K79" i="5"/>
  <c r="K78" i="5"/>
  <c r="K77" i="5"/>
  <c r="K76" i="5"/>
  <c r="K75" i="5"/>
  <c r="K74" i="5"/>
  <c r="K73" i="5"/>
  <c r="K72" i="5"/>
  <c r="K71" i="5"/>
  <c r="K70" i="5"/>
  <c r="K69" i="5"/>
  <c r="K68" i="5"/>
  <c r="K67" i="5"/>
  <c r="K66" i="5"/>
  <c r="K65" i="5"/>
  <c r="K64" i="5"/>
  <c r="K63" i="5"/>
  <c r="K62" i="5"/>
  <c r="K61" i="5"/>
  <c r="K60" i="5"/>
  <c r="K59" i="5"/>
  <c r="K58" i="5"/>
  <c r="K57" i="5"/>
  <c r="K56" i="5"/>
  <c r="K55" i="5"/>
  <c r="K54" i="5"/>
  <c r="K53" i="5"/>
  <c r="K52" i="5"/>
  <c r="F84" i="6"/>
  <c r="F76" i="6"/>
  <c r="F67" i="6"/>
  <c r="F58" i="6"/>
  <c r="F49" i="6"/>
  <c r="E12" i="6"/>
  <c r="F3" i="6" s="1"/>
  <c r="E114" i="2"/>
  <c r="O41" i="5"/>
  <c r="E306" i="2"/>
  <c r="F38" i="3"/>
  <c r="K48" i="3"/>
  <c r="K43" i="3"/>
  <c r="K44" i="3" s="1"/>
  <c r="J34" i="5"/>
  <c r="J33" i="5"/>
  <c r="J165" i="3"/>
  <c r="E8" i="5"/>
  <c r="E60" i="2"/>
  <c r="D139" i="2"/>
  <c r="D142" i="2" s="1"/>
  <c r="L1" i="3"/>
  <c r="AU1" i="3"/>
  <c r="AW123" i="3" s="1"/>
  <c r="AX123" i="3" s="1"/>
  <c r="L2" i="3"/>
  <c r="AV2" i="3"/>
  <c r="L3" i="3"/>
  <c r="AV3" i="3"/>
  <c r="AX3" i="3"/>
  <c r="L6" i="3"/>
  <c r="AV6" i="3"/>
  <c r="AX6" i="3"/>
  <c r="E266" i="2"/>
  <c r="D43" i="9" s="1"/>
  <c r="E267" i="2"/>
  <c r="D46" i="9" s="1"/>
  <c r="E264" i="2"/>
  <c r="D42" i="9" s="1"/>
  <c r="E16" i="5"/>
  <c r="E9" i="5"/>
  <c r="E121" i="2"/>
  <c r="D30" i="12" s="1"/>
  <c r="E123" i="2"/>
  <c r="D32" i="12" s="1"/>
  <c r="E124" i="2"/>
  <c r="D34" i="12" s="1"/>
  <c r="O23" i="5"/>
  <c r="E10" i="5"/>
  <c r="E11" i="5"/>
  <c r="E15" i="5"/>
  <c r="D5" i="5"/>
  <c r="D6" i="5" s="1"/>
  <c r="D7" i="5" s="1"/>
  <c r="D8" i="5" s="1"/>
  <c r="D9" i="5" s="1"/>
  <c r="D10" i="5" s="1"/>
  <c r="D11" i="5" s="1"/>
  <c r="D12" i="5" s="1"/>
  <c r="D13" i="5" s="1"/>
  <c r="D14" i="5" s="1"/>
  <c r="D15" i="5" s="1"/>
  <c r="D16" i="5" s="1"/>
  <c r="D17" i="5" s="1"/>
  <c r="D18" i="5" s="1"/>
  <c r="D19" i="5" s="1"/>
  <c r="D20" i="5" s="1"/>
  <c r="D22" i="5" s="1"/>
  <c r="D23" i="5" s="1"/>
  <c r="D24" i="5" s="1"/>
  <c r="D25" i="5" s="1"/>
  <c r="D26" i="5" s="1"/>
  <c r="D27" i="5" s="1"/>
  <c r="D28" i="5" s="1"/>
  <c r="D29" i="5" s="1"/>
  <c r="D30" i="5" s="1"/>
  <c r="D31" i="5" s="1"/>
  <c r="D32" i="5" s="1"/>
  <c r="D33" i="5" s="1"/>
  <c r="D34" i="5" s="1"/>
  <c r="D35" i="5" s="1"/>
  <c r="D36" i="5" s="1"/>
  <c r="D37" i="5" s="1"/>
  <c r="D38" i="5" s="1"/>
  <c r="D39" i="5" s="1"/>
  <c r="D40" i="5" s="1"/>
  <c r="D41" i="5" s="1"/>
  <c r="I4" i="5" s="1"/>
  <c r="I5" i="5" s="1"/>
  <c r="I6" i="5" s="1"/>
  <c r="I7" i="5" s="1"/>
  <c r="I8" i="5" s="1"/>
  <c r="I9" i="5" s="1"/>
  <c r="I10" i="5" s="1"/>
  <c r="I11" i="5" s="1"/>
  <c r="I12" i="5" s="1"/>
  <c r="I13" i="5" s="1"/>
  <c r="I14" i="5" s="1"/>
  <c r="Q5" i="5" s="1"/>
  <c r="E83" i="2"/>
  <c r="D21" i="12" s="1"/>
  <c r="E62" i="2"/>
  <c r="K42" i="7" s="1"/>
  <c r="F126"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27" i="3"/>
  <c r="B210" i="3"/>
  <c r="B209" i="3"/>
  <c r="B208" i="3"/>
  <c r="B207" i="3"/>
  <c r="B206" i="3"/>
  <c r="B205" i="3"/>
  <c r="B204" i="3"/>
  <c r="B203" i="3"/>
  <c r="B202" i="3"/>
  <c r="B201" i="3"/>
  <c r="B200" i="3"/>
  <c r="B199" i="3"/>
  <c r="B198" i="3"/>
  <c r="B197" i="3"/>
  <c r="B196" i="3"/>
  <c r="B195" i="3"/>
  <c r="B194" i="3"/>
  <c r="B193" i="3"/>
  <c r="B192" i="3"/>
  <c r="B191" i="3"/>
  <c r="B190" i="3"/>
  <c r="B189" i="3"/>
  <c r="B188" i="3"/>
  <c r="B187" i="3"/>
  <c r="B186" i="3"/>
  <c r="B185" i="3"/>
  <c r="B184" i="3"/>
  <c r="B183" i="3"/>
  <c r="B182" i="3"/>
  <c r="B181" i="3"/>
  <c r="B180" i="3"/>
  <c r="B179" i="3"/>
  <c r="B178" i="3"/>
  <c r="B177" i="3"/>
  <c r="B176" i="3"/>
  <c r="B175" i="3"/>
  <c r="B174" i="3"/>
  <c r="B173" i="3"/>
  <c r="B172" i="3"/>
  <c r="B171" i="3"/>
  <c r="B170" i="3"/>
  <c r="B169" i="3"/>
  <c r="B168" i="3"/>
  <c r="B167" i="3"/>
  <c r="B166" i="3"/>
  <c r="B165" i="3"/>
  <c r="B164" i="3"/>
  <c r="B163" i="3"/>
  <c r="B162" i="3"/>
  <c r="B161" i="3"/>
  <c r="B160" i="3"/>
  <c r="B159" i="3"/>
  <c r="B158" i="3"/>
  <c r="B157" i="3"/>
  <c r="B156" i="3"/>
  <c r="B155" i="3"/>
  <c r="B154" i="3"/>
  <c r="B153" i="3"/>
  <c r="B152" i="3"/>
  <c r="B151" i="3"/>
  <c r="B150" i="3"/>
  <c r="B149" i="3"/>
  <c r="B148" i="3"/>
  <c r="B147" i="3"/>
  <c r="B146" i="3"/>
  <c r="B145" i="3"/>
  <c r="B144" i="3"/>
  <c r="B143" i="3"/>
  <c r="B142" i="3"/>
  <c r="B141" i="3"/>
  <c r="B140" i="3"/>
  <c r="B139" i="3"/>
  <c r="B138" i="3"/>
  <c r="B137" i="3"/>
  <c r="B136" i="3"/>
  <c r="B135" i="3"/>
  <c r="B134" i="3"/>
  <c r="B133" i="3"/>
  <c r="B132" i="3"/>
  <c r="B131" i="3"/>
  <c r="B130" i="3"/>
  <c r="B129" i="3"/>
  <c r="B128" i="3"/>
  <c r="B127" i="3"/>
  <c r="N12" i="3"/>
  <c r="AX122" i="3"/>
  <c r="AV122" i="3"/>
  <c r="AV7" i="3"/>
  <c r="AV8" i="3"/>
  <c r="AV9" i="3"/>
  <c r="AV10" i="3"/>
  <c r="AV11" i="3"/>
  <c r="AV12" i="3"/>
  <c r="AV13" i="3"/>
  <c r="AV14" i="3"/>
  <c r="AV15" i="3"/>
  <c r="AV16" i="3"/>
  <c r="AV17" i="3"/>
  <c r="AV18" i="3"/>
  <c r="AV33" i="3"/>
  <c r="AV58" i="3"/>
  <c r="AV59" i="3"/>
  <c r="AV60" i="3"/>
  <c r="AV61" i="3"/>
  <c r="AV62" i="3"/>
  <c r="AV63" i="3"/>
  <c r="AV64" i="3"/>
  <c r="AV65" i="3"/>
  <c r="AV66" i="3"/>
  <c r="AV67" i="3"/>
  <c r="AV68" i="3"/>
  <c r="AV69" i="3"/>
  <c r="AV70" i="3"/>
  <c r="AV71" i="3"/>
  <c r="AV72" i="3"/>
  <c r="AV73" i="3"/>
  <c r="AV74" i="3"/>
  <c r="AV75" i="3"/>
  <c r="AV76" i="3"/>
  <c r="AV77" i="3"/>
  <c r="AV78" i="3"/>
  <c r="AV79" i="3"/>
  <c r="AV80" i="3"/>
  <c r="AV81" i="3"/>
  <c r="AV82" i="3"/>
  <c r="AV83" i="3"/>
  <c r="AV84" i="3"/>
  <c r="AV85" i="3"/>
  <c r="AV86" i="3"/>
  <c r="AV87" i="3"/>
  <c r="AV88" i="3"/>
  <c r="AV89" i="3"/>
  <c r="AV90" i="3"/>
  <c r="AV91" i="3"/>
  <c r="AV92" i="3"/>
  <c r="AV93" i="3"/>
  <c r="AV94" i="3"/>
  <c r="AV95" i="3"/>
  <c r="AV96" i="3"/>
  <c r="AV97" i="3"/>
  <c r="AV98" i="3"/>
  <c r="AV99" i="3"/>
  <c r="AV100" i="3"/>
  <c r="AV101" i="3"/>
  <c r="AV102" i="3"/>
  <c r="AV103" i="3"/>
  <c r="AV104" i="3"/>
  <c r="AV105" i="3"/>
  <c r="AV106" i="3"/>
  <c r="AV107" i="3"/>
  <c r="AV108" i="3"/>
  <c r="AV109" i="3"/>
  <c r="AV110" i="3"/>
  <c r="AV111" i="3"/>
  <c r="AV112" i="3"/>
  <c r="AV113" i="3"/>
  <c r="AV114" i="3"/>
  <c r="AV115" i="3"/>
  <c r="AV116" i="3"/>
  <c r="AV117" i="3"/>
  <c r="AV118" i="3"/>
  <c r="AV119" i="3"/>
  <c r="AV120" i="3"/>
  <c r="AV121" i="3"/>
  <c r="AX104" i="3"/>
  <c r="AX7" i="3"/>
  <c r="AX8" i="3"/>
  <c r="AX9" i="3"/>
  <c r="AX10" i="3"/>
  <c r="AX11" i="3"/>
  <c r="AX12" i="3"/>
  <c r="AX13" i="3"/>
  <c r="AX14" i="3"/>
  <c r="AX15" i="3"/>
  <c r="AX16" i="3"/>
  <c r="AX17" i="3"/>
  <c r="AX18" i="3"/>
  <c r="AX33" i="3"/>
  <c r="AX58" i="3"/>
  <c r="AX59" i="3"/>
  <c r="AX60" i="3"/>
  <c r="AX61" i="3"/>
  <c r="AX62" i="3"/>
  <c r="AX63" i="3"/>
  <c r="AX64" i="3"/>
  <c r="AX65" i="3"/>
  <c r="AX66" i="3"/>
  <c r="AX67" i="3"/>
  <c r="AX68" i="3"/>
  <c r="AX69" i="3"/>
  <c r="AX70" i="3"/>
  <c r="AX71" i="3"/>
  <c r="AX72" i="3"/>
  <c r="AX73" i="3"/>
  <c r="AX74" i="3"/>
  <c r="AX75" i="3"/>
  <c r="AX76" i="3"/>
  <c r="AX77" i="3"/>
  <c r="AX78" i="3"/>
  <c r="AX79" i="3"/>
  <c r="AX80" i="3"/>
  <c r="AX81" i="3"/>
  <c r="AX82" i="3"/>
  <c r="AX83" i="3"/>
  <c r="AX84" i="3"/>
  <c r="AX85" i="3"/>
  <c r="AX86" i="3"/>
  <c r="AX87" i="3"/>
  <c r="AX88" i="3"/>
  <c r="AX89" i="3"/>
  <c r="AX90" i="3"/>
  <c r="AX91" i="3"/>
  <c r="AX92" i="3"/>
  <c r="AX93" i="3"/>
  <c r="AX94" i="3"/>
  <c r="AX95" i="3"/>
  <c r="AX96" i="3"/>
  <c r="AX97" i="3"/>
  <c r="AX98" i="3"/>
  <c r="AX99" i="3"/>
  <c r="AX100" i="3"/>
  <c r="AX101" i="3"/>
  <c r="AX102" i="3"/>
  <c r="AX103" i="3"/>
  <c r="AX105" i="3"/>
  <c r="AX106" i="3"/>
  <c r="AX107" i="3"/>
  <c r="AX108" i="3"/>
  <c r="AX109" i="3"/>
  <c r="AX110" i="3"/>
  <c r="AX111" i="3"/>
  <c r="AX112" i="3"/>
  <c r="AX113" i="3"/>
  <c r="AX114" i="3"/>
  <c r="AX115" i="3"/>
  <c r="AX116" i="3"/>
  <c r="AX117" i="3"/>
  <c r="AX118" i="3"/>
  <c r="AX119" i="3"/>
  <c r="AX120" i="3"/>
  <c r="AX121" i="3"/>
  <c r="AH96" i="3"/>
  <c r="AJ95" i="3"/>
  <c r="AI95" i="3"/>
  <c r="AH95" i="3"/>
  <c r="N15" i="3"/>
  <c r="O77" i="3" s="1"/>
  <c r="L81" i="3"/>
  <c r="I78" i="3"/>
  <c r="P74" i="3"/>
  <c r="P75" i="3" s="1"/>
  <c r="P71" i="3"/>
  <c r="L71" i="3"/>
  <c r="J63" i="3" s="1"/>
  <c r="V66" i="3"/>
  <c r="U66" i="3"/>
  <c r="Q66" i="3"/>
  <c r="P66" i="3"/>
  <c r="M66" i="3"/>
  <c r="L66" i="3"/>
  <c r="N13" i="3"/>
  <c r="K21" i="3"/>
  <c r="J22" i="3" s="1"/>
  <c r="L13" i="3"/>
  <c r="L12" i="3"/>
  <c r="L11" i="3"/>
  <c r="L10" i="3"/>
  <c r="L9" i="3"/>
  <c r="K9" i="3"/>
  <c r="B3" i="3"/>
  <c r="L8" i="3"/>
  <c r="C2" i="3"/>
  <c r="B2" i="3"/>
  <c r="L7" i="3"/>
  <c r="E126" i="2"/>
  <c r="O35" i="7" s="1"/>
  <c r="O36" i="7" s="1"/>
  <c r="J65" i="3"/>
  <c r="J64" i="3" s="1"/>
  <c r="I81" i="3"/>
  <c r="L86" i="3" s="1"/>
  <c r="O84" i="7"/>
  <c r="L90" i="7" s="1"/>
  <c r="O85" i="7"/>
  <c r="P85" i="7" s="1"/>
  <c r="O86" i="7"/>
  <c r="O14" i="7"/>
  <c r="L14" i="3"/>
  <c r="I29" i="3"/>
  <c r="I7" i="7"/>
  <c r="D90" i="3"/>
  <c r="E89" i="3"/>
  <c r="C90" i="3"/>
  <c r="C102" i="3"/>
  <c r="Z20" i="5"/>
  <c r="Q20" i="5"/>
  <c r="G68" i="7"/>
  <c r="AA19" i="5"/>
  <c r="Q30" i="5"/>
  <c r="Q31" i="5"/>
  <c r="H68" i="7"/>
  <c r="G82" i="7"/>
  <c r="I67" i="7"/>
  <c r="G81" i="7"/>
  <c r="A9" i="7"/>
  <c r="A10" i="7" s="1"/>
  <c r="A11" i="7" s="1"/>
  <c r="A12" i="7" s="1"/>
  <c r="A13" i="7" s="1"/>
  <c r="A14" i="7" s="1"/>
  <c r="A15" i="7" s="1"/>
  <c r="A16" i="7" s="1"/>
  <c r="A17" i="7" s="1"/>
  <c r="A18" i="7" s="1"/>
  <c r="A19" i="7" s="1"/>
  <c r="A20" i="7" s="1"/>
  <c r="A22" i="7" s="1"/>
  <c r="A23" i="7" s="1"/>
  <c r="A24" i="7" s="1"/>
  <c r="A25" i="7" s="1"/>
  <c r="A26" i="7" s="1"/>
  <c r="A27" i="7" s="1"/>
  <c r="A28" i="7" s="1"/>
  <c r="A29" i="7" s="1"/>
  <c r="A30" i="7" s="1"/>
  <c r="A31" i="7" s="1"/>
  <c r="A32" i="7" s="1"/>
  <c r="A33" i="7" s="1"/>
  <c r="A34" i="7" s="1"/>
  <c r="A35" i="7" s="1"/>
  <c r="A36" i="7" s="1"/>
  <c r="A37" i="7" s="1"/>
  <c r="A38" i="7" s="1"/>
  <c r="A39" i="7" s="1"/>
  <c r="A40" i="7" s="1"/>
  <c r="E7" i="5"/>
  <c r="E268" i="2" l="1"/>
  <c r="D45" i="9" s="1"/>
  <c r="E269" i="2"/>
  <c r="E95" i="2"/>
  <c r="L31" i="7"/>
  <c r="F16" i="3"/>
  <c r="L42" i="7"/>
  <c r="W274" i="20"/>
  <c r="W249" i="20"/>
  <c r="X249" i="20"/>
  <c r="N13" i="18"/>
  <c r="M13" i="18"/>
  <c r="M38" i="18"/>
  <c r="G17" i="7"/>
  <c r="M13" i="5"/>
  <c r="J7" i="7"/>
  <c r="X248" i="20"/>
  <c r="W248" i="20"/>
  <c r="W273" i="20"/>
  <c r="N12" i="18"/>
  <c r="M37" i="18"/>
  <c r="M12" i="18"/>
  <c r="H69" i="7"/>
  <c r="H70" i="7" s="1"/>
  <c r="L21" i="3"/>
  <c r="D27" i="9"/>
  <c r="F23" i="9" s="1"/>
  <c r="I37" i="3"/>
  <c r="D40" i="12"/>
  <c r="L37" i="5"/>
  <c r="I41" i="3"/>
  <c r="L40" i="7"/>
  <c r="L13" i="5"/>
  <c r="L38" i="5"/>
  <c r="I39" i="3"/>
  <c r="I38" i="3"/>
  <c r="L33" i="3"/>
  <c r="L35" i="3" s="1"/>
  <c r="O63" i="7"/>
  <c r="G69" i="7"/>
  <c r="G70" i="7" s="1"/>
  <c r="I28" i="3"/>
  <c r="L38" i="7"/>
  <c r="M33" i="7" s="1"/>
  <c r="L12" i="5"/>
  <c r="G16" i="7"/>
  <c r="I3" i="2"/>
  <c r="I4" i="2" s="1"/>
  <c r="I5" i="2" s="1"/>
  <c r="E11" i="2" s="1"/>
  <c r="O22" i="7"/>
  <c r="M12" i="5"/>
  <c r="F15" i="3"/>
  <c r="L30" i="7"/>
  <c r="F19" i="7" s="1"/>
  <c r="L62" i="3"/>
  <c r="D41" i="12"/>
  <c r="F4" i="12"/>
  <c r="E82" i="3"/>
  <c r="H79" i="5"/>
  <c r="C62" i="5"/>
  <c r="E255" i="2" s="1"/>
  <c r="D137" i="2"/>
  <c r="E135" i="2" s="1"/>
  <c r="E202" i="2" s="1"/>
  <c r="D88" i="3"/>
  <c r="D89" i="3" s="1"/>
  <c r="E93" i="3" s="1"/>
  <c r="D103" i="3" s="1"/>
  <c r="P12" i="7"/>
  <c r="H77" i="5"/>
  <c r="F48" i="6"/>
  <c r="F97" i="6"/>
  <c r="F133" i="6" s="1"/>
  <c r="D72" i="12"/>
  <c r="E308" i="2"/>
  <c r="O79" i="3"/>
  <c r="M12" i="3"/>
  <c r="E130" i="2"/>
  <c r="I40" i="3"/>
  <c r="L41" i="7"/>
  <c r="K41" i="7" s="1"/>
  <c r="E17" i="5"/>
  <c r="S2" i="5"/>
  <c r="P27" i="5"/>
  <c r="P28" i="5" s="1"/>
  <c r="L76" i="3"/>
  <c r="L38" i="13"/>
  <c r="M13" i="13"/>
  <c r="L13" i="13"/>
  <c r="L37" i="13"/>
  <c r="M12" i="13"/>
  <c r="L12" i="13"/>
  <c r="N11" i="3"/>
  <c r="L78" i="3"/>
  <c r="C92" i="3"/>
  <c r="N8" i="3"/>
  <c r="S69" i="7"/>
  <c r="D91" i="3"/>
  <c r="D92" i="3" s="1"/>
  <c r="O69" i="7"/>
  <c r="Z21" i="5"/>
  <c r="Z22" i="5" s="1"/>
  <c r="Q21" i="5"/>
  <c r="Q22" i="5" s="1"/>
  <c r="Z18" i="5"/>
  <c r="Q18" i="5"/>
  <c r="P43" i="5"/>
  <c r="R80" i="7"/>
  <c r="B98" i="3"/>
  <c r="B99" i="3" s="1"/>
  <c r="D97" i="3" s="1"/>
  <c r="D98" i="3" s="1"/>
  <c r="U23" i="2"/>
  <c r="S23" i="2"/>
  <c r="K23" i="2"/>
  <c r="I23" i="2"/>
  <c r="V23" i="2"/>
  <c r="AA23" i="2"/>
  <c r="I24" i="2" s="1"/>
  <c r="I25" i="2" s="1"/>
  <c r="P23" i="2"/>
  <c r="L23" i="2"/>
  <c r="X23" i="2"/>
  <c r="Z23" i="2"/>
  <c r="N23" i="2"/>
  <c r="Q23" i="2"/>
  <c r="D63" i="12"/>
  <c r="X69" i="7"/>
  <c r="H76" i="5"/>
  <c r="Q8" i="7"/>
  <c r="L68" i="3"/>
  <c r="U68" i="3"/>
  <c r="L43" i="7"/>
  <c r="K20" i="18"/>
  <c r="E33" i="5"/>
  <c r="F78" i="7"/>
  <c r="F79" i="7" s="1"/>
  <c r="Q77" i="7" s="1"/>
  <c r="Q78" i="7" s="1"/>
  <c r="I15" i="5"/>
  <c r="I16" i="5" s="1"/>
  <c r="I17" i="5" s="1"/>
  <c r="I18" i="5" s="1"/>
  <c r="I19" i="5" s="1"/>
  <c r="I20" i="5" s="1"/>
  <c r="I22" i="5" s="1"/>
  <c r="Q4" i="5"/>
  <c r="S4" i="5" s="1"/>
  <c r="E228" i="2"/>
  <c r="E24" i="5"/>
  <c r="M71" i="3"/>
  <c r="L73" i="3" s="1"/>
  <c r="P72" i="7"/>
  <c r="O74" i="7" s="1"/>
  <c r="L83" i="3"/>
  <c r="I89" i="3" s="1"/>
  <c r="L84" i="3"/>
  <c r="M84" i="3" s="1"/>
  <c r="L85" i="3"/>
  <c r="P68" i="3"/>
  <c r="F28" i="9" l="1"/>
  <c r="G54" i="20" s="1"/>
  <c r="G82" i="20" s="1"/>
  <c r="D51" i="9"/>
  <c r="D52" i="9"/>
  <c r="E5" i="5"/>
  <c r="J4" i="20"/>
  <c r="F5" i="18"/>
  <c r="J41" i="20"/>
  <c r="D37" i="12"/>
  <c r="F35" i="12" s="1"/>
  <c r="G8" i="20"/>
  <c r="S6" i="20"/>
  <c r="V6" i="20" s="1"/>
  <c r="E111" i="20"/>
  <c r="E113" i="20"/>
  <c r="E115" i="20" s="1"/>
  <c r="E117" i="20" s="1"/>
  <c r="J38" i="20"/>
  <c r="J14" i="13"/>
  <c r="J31" i="3"/>
  <c r="K31" i="3" s="1"/>
  <c r="S36" i="20" s="1"/>
  <c r="J37" i="13"/>
  <c r="K38" i="18"/>
  <c r="AA16" i="18" s="1"/>
  <c r="AA17" i="18" s="1"/>
  <c r="AA19" i="18" s="1"/>
  <c r="AB23" i="18" s="1"/>
  <c r="E25" i="5"/>
  <c r="F8" i="18"/>
  <c r="E8" i="13"/>
  <c r="J15" i="13"/>
  <c r="K19" i="18"/>
  <c r="D27" i="12"/>
  <c r="D28" i="12"/>
  <c r="K18" i="18"/>
  <c r="D69" i="18"/>
  <c r="D71" i="18" s="1"/>
  <c r="D73" i="18" s="1"/>
  <c r="D67" i="18"/>
  <c r="E30" i="13"/>
  <c r="Q5" i="13" s="1"/>
  <c r="F26" i="18"/>
  <c r="J4" i="5"/>
  <c r="E18" i="5"/>
  <c r="E19" i="5" s="1"/>
  <c r="D68" i="12"/>
  <c r="E229" i="2"/>
  <c r="H82" i="5"/>
  <c r="C83" i="5" s="1"/>
  <c r="J13" i="13" s="1"/>
  <c r="C26" i="22" s="1"/>
  <c r="J35" i="5"/>
  <c r="F5" i="3"/>
  <c r="E5" i="13"/>
  <c r="F4" i="7"/>
  <c r="J6" i="5"/>
  <c r="N33" i="7"/>
  <c r="H108" i="2"/>
  <c r="D108" i="2" s="1"/>
  <c r="I16" i="7" s="1"/>
  <c r="J24" i="7" s="1"/>
  <c r="H259" i="2"/>
  <c r="J7" i="5"/>
  <c r="J16" i="13"/>
  <c r="H107" i="2"/>
  <c r="D107" i="2" s="1"/>
  <c r="I14" i="7" s="1"/>
  <c r="K14" i="7" s="1"/>
  <c r="H7" i="7"/>
  <c r="H110" i="2"/>
  <c r="D110" i="2" s="1"/>
  <c r="I18" i="7" s="1"/>
  <c r="H103" i="2"/>
  <c r="D103" i="2" s="1"/>
  <c r="E103" i="2" s="1"/>
  <c r="H106" i="2"/>
  <c r="D106" i="2" s="1"/>
  <c r="E12" i="5"/>
  <c r="E14" i="5" s="1"/>
  <c r="L16" i="5" s="1"/>
  <c r="L17" i="5" s="1"/>
  <c r="K14" i="5" s="1"/>
  <c r="F16" i="7" s="1"/>
  <c r="H111" i="2"/>
  <c r="D111" i="2" s="1"/>
  <c r="I19" i="7" s="1"/>
  <c r="H109" i="2"/>
  <c r="D109" i="2" s="1"/>
  <c r="I17" i="7" s="1"/>
  <c r="I23" i="5"/>
  <c r="I24" i="5" s="1"/>
  <c r="I25" i="5" s="1"/>
  <c r="I26" i="5" s="1"/>
  <c r="I27" i="5" s="1"/>
  <c r="I28" i="5" s="1"/>
  <c r="I29" i="5" s="1"/>
  <c r="I30" i="5" s="1"/>
  <c r="I31" i="5" s="1"/>
  <c r="I32" i="5" s="1"/>
  <c r="I33" i="5" s="1"/>
  <c r="I34" i="5" s="1"/>
  <c r="I35" i="5" s="1"/>
  <c r="I36" i="5" s="1"/>
  <c r="I37" i="5" s="1"/>
  <c r="I38" i="5" s="1"/>
  <c r="I39" i="5" s="1"/>
  <c r="I40" i="5" s="1"/>
  <c r="S26" i="20" l="1"/>
  <c r="S9" i="20"/>
  <c r="E118" i="20"/>
  <c r="E119" i="20" s="1"/>
  <c r="D74" i="18"/>
  <c r="D75" i="18" s="1"/>
  <c r="F31" i="22"/>
  <c r="F29" i="22"/>
  <c r="F30" i="22"/>
  <c r="F34" i="22"/>
  <c r="F32" i="22"/>
  <c r="F28" i="22"/>
  <c r="F33" i="22"/>
  <c r="S12" i="20"/>
  <c r="Z240" i="20"/>
  <c r="AB241" i="20"/>
  <c r="AB240" i="20"/>
  <c r="S13" i="20"/>
  <c r="G10" i="20"/>
  <c r="G188" i="20"/>
  <c r="W272" i="20"/>
  <c r="X271" i="20" s="1"/>
  <c r="W271" i="20" s="1"/>
  <c r="V271" i="20" s="1"/>
  <c r="X256" i="20"/>
  <c r="W256" i="20" s="1"/>
  <c r="W257" i="20" s="1"/>
  <c r="J30" i="5"/>
  <c r="J17" i="13"/>
  <c r="K21" i="18"/>
  <c r="O4" i="13"/>
  <c r="F29" i="18"/>
  <c r="Q4" i="13"/>
  <c r="F10" i="18"/>
  <c r="E9" i="13"/>
  <c r="F26" i="12"/>
  <c r="F58" i="12" s="1"/>
  <c r="S10" i="20" s="1"/>
  <c r="E33" i="13"/>
  <c r="M36" i="18"/>
  <c r="N35" i="18" s="1"/>
  <c r="M35" i="18" s="1"/>
  <c r="L35" i="18" s="1"/>
  <c r="N20" i="18"/>
  <c r="M20" i="18" s="1"/>
  <c r="M21" i="18" s="1"/>
  <c r="F144" i="18"/>
  <c r="J32" i="13"/>
  <c r="AA4" i="13" s="1"/>
  <c r="K33" i="18"/>
  <c r="R4" i="18"/>
  <c r="P4" i="18"/>
  <c r="R5" i="18"/>
  <c r="E32" i="5"/>
  <c r="F176" i="3" s="1"/>
  <c r="I178" i="3" s="1"/>
  <c r="J8" i="5"/>
  <c r="F62" i="12"/>
  <c r="G76" i="20" s="1"/>
  <c r="K16" i="7"/>
  <c r="C67" i="5"/>
  <c r="C69" i="5" s="1"/>
  <c r="C71" i="5" s="1"/>
  <c r="C66" i="13"/>
  <c r="C68" i="13"/>
  <c r="C70" i="13" s="1"/>
  <c r="C73" i="13" s="1"/>
  <c r="C65" i="5"/>
  <c r="E36" i="5" s="1"/>
  <c r="F10" i="3"/>
  <c r="M20" i="13"/>
  <c r="L20" i="13" s="1"/>
  <c r="L21" i="13" s="1"/>
  <c r="E143" i="13"/>
  <c r="L36" i="13"/>
  <c r="M35" i="13" s="1"/>
  <c r="L35" i="13" s="1"/>
  <c r="K35" i="13" s="1"/>
  <c r="G8" i="7"/>
  <c r="J23" i="7"/>
  <c r="E142" i="5"/>
  <c r="E145" i="5" s="1"/>
  <c r="F11" i="3"/>
  <c r="H272" i="2"/>
  <c r="F8" i="3"/>
  <c r="L36" i="5"/>
  <c r="M20" i="5"/>
  <c r="L20" i="5" s="1"/>
  <c r="K18" i="7"/>
  <c r="K19" i="7"/>
  <c r="K17" i="7"/>
  <c r="J25" i="7"/>
  <c r="E108" i="2"/>
  <c r="I13" i="7"/>
  <c r="K13" i="7" s="1"/>
  <c r="E20" i="5"/>
  <c r="V10" i="20" l="1"/>
  <c r="S14" i="20"/>
  <c r="C37" i="22"/>
  <c r="E8" i="22" s="1"/>
  <c r="G190" i="20"/>
  <c r="G191" i="20"/>
  <c r="S8" i="20"/>
  <c r="V8" i="20" s="1"/>
  <c r="D77" i="12"/>
  <c r="F32" i="18"/>
  <c r="I181" i="3"/>
  <c r="E24" i="20"/>
  <c r="D78" i="12"/>
  <c r="AA11" i="13"/>
  <c r="I179" i="3"/>
  <c r="E32" i="13"/>
  <c r="F28" i="18"/>
  <c r="F147" i="18"/>
  <c r="F146" i="18"/>
  <c r="C111" i="5"/>
  <c r="H115" i="5" s="1"/>
  <c r="I180" i="3"/>
  <c r="H153" i="5"/>
  <c r="K158" i="5" s="1"/>
  <c r="AA5" i="13"/>
  <c r="AB7" i="18"/>
  <c r="AB4" i="18"/>
  <c r="AB5" i="18"/>
  <c r="AA9" i="13"/>
  <c r="E8" i="16"/>
  <c r="C26" i="16" s="1"/>
  <c r="E7" i="19"/>
  <c r="C26" i="19" s="1"/>
  <c r="F32" i="19" s="1"/>
  <c r="AB9" i="18"/>
  <c r="AB11" i="18"/>
  <c r="E36" i="13"/>
  <c r="D76" i="12"/>
  <c r="C72" i="5"/>
  <c r="C73" i="5" s="1"/>
  <c r="E35" i="5" s="1"/>
  <c r="E144" i="5"/>
  <c r="E146" i="5" s="1"/>
  <c r="E147" i="5" s="1"/>
  <c r="E146" i="13"/>
  <c r="E145" i="13"/>
  <c r="C72" i="13"/>
  <c r="C74" i="13" s="1"/>
  <c r="F13" i="3"/>
  <c r="F14" i="3" s="1"/>
  <c r="L21" i="5"/>
  <c r="K20" i="7"/>
  <c r="G4" i="7"/>
  <c r="G7" i="7" s="1"/>
  <c r="W19" i="20" l="1"/>
  <c r="W18" i="20"/>
  <c r="G192" i="20"/>
  <c r="G193" i="20" s="1"/>
  <c r="F30" i="18"/>
  <c r="F38" i="18" s="1"/>
  <c r="I185" i="3"/>
  <c r="G188" i="3" s="1"/>
  <c r="I178" i="18"/>
  <c r="D113" i="18"/>
  <c r="I138" i="18" s="1"/>
  <c r="H114" i="5"/>
  <c r="K157" i="5"/>
  <c r="H113" i="5"/>
  <c r="K155" i="5"/>
  <c r="E34" i="13"/>
  <c r="F75" i="12"/>
  <c r="F148" i="18"/>
  <c r="F149" i="18" s="1"/>
  <c r="H116" i="5"/>
  <c r="K156" i="5"/>
  <c r="C112" i="13"/>
  <c r="H154" i="13"/>
  <c r="F34" i="19"/>
  <c r="F29" i="19"/>
  <c r="F31" i="19"/>
  <c r="F33" i="19"/>
  <c r="F28" i="19"/>
  <c r="F30" i="19"/>
  <c r="F28" i="16"/>
  <c r="F33" i="16"/>
  <c r="F29" i="16"/>
  <c r="F31" i="16"/>
  <c r="F32" i="16"/>
  <c r="F30" i="16"/>
  <c r="E23" i="5"/>
  <c r="E147" i="13"/>
  <c r="E148" i="13" s="1"/>
  <c r="J9" i="5"/>
  <c r="J17" i="5" s="1"/>
  <c r="I16" i="3"/>
  <c r="F6" i="7"/>
  <c r="F7" i="7"/>
  <c r="G12" i="7"/>
  <c r="S18" i="20" l="1"/>
  <c r="G77" i="20"/>
  <c r="H22" i="21"/>
  <c r="D20" i="21" s="1"/>
  <c r="F33" i="18"/>
  <c r="C119" i="5"/>
  <c r="C125" i="5" s="1"/>
  <c r="E132" i="5" s="1"/>
  <c r="C37" i="19"/>
  <c r="E8" i="19" s="1"/>
  <c r="K162" i="5"/>
  <c r="J165" i="5" s="1"/>
  <c r="C36" i="16"/>
  <c r="E9" i="16" s="1"/>
  <c r="J25" i="13" s="1"/>
  <c r="F80" i="12"/>
  <c r="F81" i="12"/>
  <c r="E37" i="13"/>
  <c r="K157" i="13"/>
  <c r="K159" i="13"/>
  <c r="K156" i="13"/>
  <c r="K158" i="13"/>
  <c r="H114" i="13"/>
  <c r="H115" i="13"/>
  <c r="H116" i="13"/>
  <c r="H117" i="13"/>
  <c r="I139" i="18"/>
  <c r="I140" i="18"/>
  <c r="I141" i="18"/>
  <c r="L159" i="18"/>
  <c r="L158" i="18"/>
  <c r="L157" i="18"/>
  <c r="L156" i="18"/>
  <c r="E27" i="5"/>
  <c r="E29" i="5" s="1"/>
  <c r="M35" i="5"/>
  <c r="L35" i="5" s="1"/>
  <c r="K35" i="5" s="1"/>
  <c r="E38" i="5" s="1"/>
  <c r="D32" i="9"/>
  <c r="D30" i="9" s="1"/>
  <c r="G16" i="20" s="1"/>
  <c r="J15" i="5"/>
  <c r="E49" i="13"/>
  <c r="H49" i="13" s="1"/>
  <c r="J13" i="5"/>
  <c r="J18" i="5"/>
  <c r="J12" i="5"/>
  <c r="J10" i="5"/>
  <c r="J11" i="5"/>
  <c r="J14" i="5"/>
  <c r="E48" i="5"/>
  <c r="H48" i="5" s="1"/>
  <c r="J16" i="5"/>
  <c r="J19" i="5"/>
  <c r="F12" i="7"/>
  <c r="F15" i="7" s="1"/>
  <c r="F23" i="7" s="1"/>
  <c r="F10" i="7"/>
  <c r="I2" i="7" s="1"/>
  <c r="G17" i="20" l="1"/>
  <c r="S20" i="20"/>
  <c r="G79" i="20"/>
  <c r="S19" i="20"/>
  <c r="G78" i="20"/>
  <c r="D121" i="18"/>
  <c r="D127" i="18" s="1"/>
  <c r="F134" i="18" s="1"/>
  <c r="F136" i="18" s="1"/>
  <c r="F138" i="18" s="1"/>
  <c r="F16" i="21"/>
  <c r="D28" i="21" s="1"/>
  <c r="F27" i="21" s="1"/>
  <c r="J18" i="20" s="1"/>
  <c r="J19" i="20" s="1"/>
  <c r="J22" i="20" s="1"/>
  <c r="F34" i="18"/>
  <c r="E39" i="13"/>
  <c r="K163" i="13"/>
  <c r="J166" i="13" s="1"/>
  <c r="C120" i="13"/>
  <c r="C126" i="13" s="1"/>
  <c r="E133" i="13" s="1"/>
  <c r="E135" i="13" s="1"/>
  <c r="E140" i="13" s="1"/>
  <c r="L163" i="18"/>
  <c r="K190" i="18" s="1"/>
  <c r="E38" i="13"/>
  <c r="F83" i="12"/>
  <c r="F35" i="18"/>
  <c r="F46" i="18" s="1"/>
  <c r="E28" i="5"/>
  <c r="H87" i="5" s="1"/>
  <c r="E30" i="5" s="1"/>
  <c r="E31" i="5" s="1"/>
  <c r="E271" i="2"/>
  <c r="E275" i="2" s="1"/>
  <c r="E50" i="13"/>
  <c r="J20" i="5"/>
  <c r="E49" i="5" s="1"/>
  <c r="J2" i="7"/>
  <c r="I5" i="7" s="1"/>
  <c r="I4" i="7"/>
  <c r="D36" i="11"/>
  <c r="F30" i="11" s="1"/>
  <c r="G64" i="20" s="1"/>
  <c r="I3" i="7"/>
  <c r="F24" i="7"/>
  <c r="J27" i="7" s="1"/>
  <c r="F140" i="18" l="1"/>
  <c r="S22" i="20"/>
  <c r="G81" i="20"/>
  <c r="W259" i="20" s="1"/>
  <c r="F141" i="18"/>
  <c r="F139" i="18"/>
  <c r="F31" i="21"/>
  <c r="F20" i="18"/>
  <c r="F37" i="18"/>
  <c r="M23" i="18" s="1"/>
  <c r="P27" i="18" s="1"/>
  <c r="E137" i="13"/>
  <c r="E139" i="13"/>
  <c r="E138" i="13"/>
  <c r="K191" i="18"/>
  <c r="E3" i="16"/>
  <c r="E42" i="13"/>
  <c r="J22" i="7"/>
  <c r="J26" i="7"/>
  <c r="D41" i="11"/>
  <c r="F40" i="11" s="1"/>
  <c r="G65" i="20" s="1"/>
  <c r="E24" i="13"/>
  <c r="H49" i="5"/>
  <c r="C54" i="5"/>
  <c r="C55" i="5" s="1"/>
  <c r="C56" i="5" s="1"/>
  <c r="H53" i="5"/>
  <c r="E53" i="5" s="1"/>
  <c r="E50" i="5" s="1"/>
  <c r="H50" i="5" s="1"/>
  <c r="C55" i="13"/>
  <c r="C56" i="13" s="1"/>
  <c r="C57" i="13" s="1"/>
  <c r="H50" i="13"/>
  <c r="H54" i="13"/>
  <c r="E54" i="13" s="1"/>
  <c r="E51" i="13" s="1"/>
  <c r="H51" i="13" s="1"/>
  <c r="E37" i="5"/>
  <c r="E39" i="5" s="1"/>
  <c r="E44" i="5" s="1"/>
  <c r="E41" i="5" s="1"/>
  <c r="L23" i="5" s="1"/>
  <c r="O27" i="5" s="1"/>
  <c r="E45" i="13"/>
  <c r="J5" i="7"/>
  <c r="E7" i="7" s="1"/>
  <c r="N18" i="20" l="1"/>
  <c r="P26" i="18"/>
  <c r="P25" i="18"/>
  <c r="Z262" i="20"/>
  <c r="Z264" i="20"/>
  <c r="Z261" i="20"/>
  <c r="Z263" i="20"/>
  <c r="P28" i="18"/>
  <c r="L23" i="13"/>
  <c r="O27" i="13" s="1"/>
  <c r="E25" i="13"/>
  <c r="F21" i="18"/>
  <c r="J28" i="7"/>
  <c r="J30" i="7" s="1"/>
  <c r="F46" i="11"/>
  <c r="G67" i="20" s="1"/>
  <c r="F45" i="11"/>
  <c r="O25" i="5"/>
  <c r="O26" i="5"/>
  <c r="O28" i="5"/>
  <c r="K23" i="13"/>
  <c r="K23" i="5"/>
  <c r="J23" i="5"/>
  <c r="E9" i="7"/>
  <c r="E5" i="7"/>
  <c r="E8" i="7"/>
  <c r="E10" i="7" s="1"/>
  <c r="E11" i="7" s="1"/>
  <c r="E12" i="7" s="1"/>
  <c r="N19" i="20" l="1"/>
  <c r="G66" i="20"/>
  <c r="N20" i="20"/>
  <c r="M31" i="18"/>
  <c r="L22" i="18" s="1"/>
  <c r="L29" i="18" s="1"/>
  <c r="F48" i="11"/>
  <c r="G69" i="20" s="1"/>
  <c r="W267" i="20"/>
  <c r="V258" i="20" s="1"/>
  <c r="V265" i="20" s="1"/>
  <c r="O28" i="13"/>
  <c r="O26" i="13"/>
  <c r="O25" i="13"/>
  <c r="F22" i="18"/>
  <c r="E26" i="13"/>
  <c r="E27" i="13"/>
  <c r="F23" i="18"/>
  <c r="L31" i="5"/>
  <c r="K22" i="5" s="1"/>
  <c r="K29" i="5" s="1"/>
  <c r="E20" i="7"/>
  <c r="E24" i="7"/>
  <c r="L62" i="7"/>
  <c r="E13" i="7"/>
  <c r="M62" i="7"/>
  <c r="E16" i="7"/>
  <c r="E28" i="7"/>
  <c r="F28" i="7" s="1"/>
  <c r="E33" i="7"/>
  <c r="E26" i="7"/>
  <c r="E35" i="7"/>
  <c r="E18" i="7"/>
  <c r="E15" i="7"/>
  <c r="C57" i="7"/>
  <c r="E57" i="7" s="1"/>
  <c r="E34" i="7"/>
  <c r="E14" i="7"/>
  <c r="E19" i="7"/>
  <c r="E25" i="7"/>
  <c r="E17" i="7"/>
  <c r="E22" i="7"/>
  <c r="N22" i="20" l="1"/>
  <c r="F25" i="18"/>
  <c r="L31" i="13"/>
  <c r="K22" i="13" s="1"/>
  <c r="K29" i="13" s="1"/>
  <c r="E4" i="16"/>
  <c r="E5" i="16" s="1"/>
  <c r="C13" i="16" s="1"/>
  <c r="F15" i="16" s="1"/>
  <c r="E29" i="13"/>
  <c r="J22" i="5"/>
  <c r="J164" i="5" s="1"/>
  <c r="J166" i="5" s="1"/>
  <c r="J25" i="5" s="1"/>
  <c r="J165" i="13"/>
  <c r="J167" i="13" s="1"/>
  <c r="J28" i="13" s="1"/>
  <c r="C124" i="13"/>
  <c r="E23" i="7"/>
  <c r="C58" i="7" s="1"/>
  <c r="E27" i="7"/>
  <c r="E31" i="7" s="1"/>
  <c r="F16" i="16" l="1"/>
  <c r="F18" i="16"/>
  <c r="F19" i="16"/>
  <c r="F17" i="16"/>
  <c r="F20" i="16"/>
  <c r="J24" i="5"/>
  <c r="J27" i="5"/>
  <c r="J26" i="5"/>
  <c r="C123" i="5"/>
  <c r="H130" i="5" s="1"/>
  <c r="H131" i="5" s="1"/>
  <c r="E131" i="5" s="1"/>
  <c r="E134" i="5" s="1"/>
  <c r="J27" i="13"/>
  <c r="D62" i="7"/>
  <c r="C62" i="7" s="1"/>
  <c r="C59" i="7" s="1"/>
  <c r="E59" i="7" s="1"/>
  <c r="C60" i="7"/>
  <c r="E60" i="7" s="1"/>
  <c r="E58" i="7"/>
  <c r="F31" i="7" l="1"/>
  <c r="F32" i="7" s="1"/>
  <c r="E29" i="7" s="1"/>
  <c r="E30" i="7" s="1"/>
  <c r="E32" i="7" s="1"/>
  <c r="G51" i="7" s="1"/>
  <c r="E139" i="5"/>
  <c r="E136" i="5"/>
  <c r="E138" i="5"/>
  <c r="E137" i="5"/>
  <c r="C23" i="16"/>
  <c r="E6" i="16" s="1"/>
  <c r="J19" i="13" s="1"/>
  <c r="J28" i="5"/>
  <c r="J29" i="5" s="1"/>
  <c r="O37" i="5" s="1"/>
  <c r="J30" i="13"/>
  <c r="O93" i="7"/>
  <c r="O94" i="7" s="1"/>
  <c r="G55" i="7" l="1"/>
  <c r="G50" i="7"/>
  <c r="I50" i="7" s="1"/>
  <c r="L44" i="7"/>
  <c r="M43" i="7"/>
  <c r="M44" i="7" s="1"/>
  <c r="O44" i="7" s="1"/>
  <c r="G53" i="7"/>
  <c r="G59" i="7"/>
  <c r="G52" i="7"/>
  <c r="G57" i="7"/>
  <c r="G56" i="7"/>
  <c r="J32" i="5"/>
  <c r="AA2" i="5" s="1"/>
  <c r="AA7" i="13"/>
  <c r="AJ94" i="7"/>
  <c r="AN96" i="7" s="1"/>
  <c r="AF95" i="7"/>
  <c r="O95" i="7"/>
  <c r="AD95" i="7"/>
  <c r="W95" i="7"/>
  <c r="AB95" i="7"/>
  <c r="AA95" i="7"/>
  <c r="V95" i="7"/>
  <c r="R95" i="7"/>
  <c r="AI95" i="7"/>
  <c r="Y95" i="7"/>
  <c r="T95" i="7"/>
  <c r="Q95" i="7"/>
  <c r="AG95" i="7"/>
  <c r="O38" i="5"/>
  <c r="P39" i="5" s="1"/>
  <c r="O40" i="5"/>
  <c r="P40" i="5" s="1"/>
  <c r="M49" i="7" l="1"/>
  <c r="M45" i="7" s="1"/>
  <c r="O45" i="7" s="1"/>
  <c r="O47" i="7" s="1"/>
  <c r="E36" i="7" s="1"/>
  <c r="AA4" i="5"/>
  <c r="AA11" i="5"/>
  <c r="AA8" i="5"/>
  <c r="AA7" i="5"/>
  <c r="AA5" i="5"/>
  <c r="AA3" i="5"/>
  <c r="AC2" i="5" s="1"/>
  <c r="AA9" i="5"/>
  <c r="AG96" i="7"/>
  <c r="AG97" i="7"/>
  <c r="AH96" i="7"/>
  <c r="Q97" i="7"/>
  <c r="Q96" i="7"/>
  <c r="T96" i="7"/>
  <c r="U96" i="7"/>
  <c r="Y96" i="7"/>
  <c r="Z96" i="7"/>
  <c r="AI96" i="7"/>
  <c r="AJ96" i="7"/>
  <c r="R97" i="7"/>
  <c r="R96" i="7"/>
  <c r="S96" i="7"/>
  <c r="V97" i="7"/>
  <c r="V96" i="7"/>
  <c r="AA97" i="7"/>
  <c r="AA96" i="7"/>
  <c r="AB97" i="7"/>
  <c r="AC96" i="7"/>
  <c r="AB96" i="7"/>
  <c r="W96" i="7"/>
  <c r="X96" i="7"/>
  <c r="W97" i="7"/>
  <c r="AD96" i="7"/>
  <c r="AE96" i="7"/>
  <c r="O96" i="7"/>
  <c r="P96" i="7"/>
  <c r="AF96" i="7"/>
  <c r="AF97" i="7"/>
  <c r="P41" i="5"/>
  <c r="P42" i="5" s="1"/>
  <c r="J36" i="5" l="1"/>
  <c r="S15" i="5" s="1"/>
  <c r="Q16" i="5" s="1"/>
  <c r="Q17" i="5" s="1"/>
  <c r="Q19" i="5" s="1"/>
  <c r="S23" i="5" s="1"/>
  <c r="Z16" i="13"/>
  <c r="Z17" i="13" s="1"/>
  <c r="Z19" i="13" s="1"/>
  <c r="AA23" i="13" s="1"/>
  <c r="O98" i="7"/>
  <c r="B65" i="7" s="1"/>
  <c r="H54" i="7"/>
  <c r="G54" i="7" s="1"/>
  <c r="I51" i="7" s="1"/>
  <c r="I52" i="7" s="1"/>
  <c r="H58" i="7"/>
  <c r="G58" i="7" s="1"/>
  <c r="G63" i="7"/>
  <c r="H63" i="7"/>
  <c r="H65" i="7" s="1"/>
  <c r="H67" i="7" s="1"/>
  <c r="E37" i="7"/>
  <c r="AB10" i="5" l="1"/>
  <c r="AA10" i="5" s="1"/>
  <c r="AC7" i="5" s="1"/>
  <c r="AC8" i="5" s="1"/>
  <c r="AB6" i="5"/>
  <c r="AA6" i="5" s="1"/>
  <c r="AC3" i="5" s="1"/>
  <c r="J37" i="5"/>
  <c r="I136" i="6" s="1"/>
  <c r="C97" i="5"/>
  <c r="C101" i="5" s="1"/>
  <c r="I55" i="7"/>
  <c r="H56" i="7"/>
  <c r="H76" i="7"/>
  <c r="H77" i="7" s="1"/>
  <c r="H78" i="7" s="1"/>
  <c r="I71" i="7"/>
  <c r="H83" i="7" s="1"/>
  <c r="G65" i="7"/>
  <c r="G67" i="7" s="1"/>
  <c r="H71" i="7" s="1"/>
  <c r="Z16" i="5" l="1"/>
  <c r="Z17" i="5" s="1"/>
  <c r="Z19" i="5" s="1"/>
  <c r="AA23" i="5" s="1"/>
  <c r="Z24" i="5" s="1"/>
  <c r="AC4" i="5"/>
  <c r="AC13" i="5" s="1"/>
  <c r="AC14" i="5" s="1"/>
  <c r="Q29" i="5" s="1"/>
  <c r="Q32" i="5" s="1"/>
  <c r="K38" i="5" s="1"/>
  <c r="J38" i="5" s="1"/>
  <c r="I72" i="7"/>
  <c r="I56" i="7"/>
  <c r="I61" i="7" s="1"/>
  <c r="I62" i="7" s="1"/>
  <c r="G80" i="7" s="1"/>
  <c r="G83" i="7" s="1"/>
  <c r="E38" i="7" s="1"/>
  <c r="J40" i="5" l="1"/>
  <c r="C96" i="5" s="1"/>
  <c r="J39" i="5"/>
  <c r="AA25" i="5"/>
  <c r="AA26" i="5" s="1"/>
  <c r="AA27" i="5" s="1"/>
  <c r="Z32" i="5"/>
  <c r="E40" i="7"/>
  <c r="F41" i="7" s="1"/>
  <c r="F39" i="7"/>
  <c r="E39" i="7"/>
  <c r="F42" i="7" s="1"/>
  <c r="F46" i="7" s="1"/>
  <c r="C102" i="5" l="1"/>
  <c r="E101" i="5" s="1"/>
  <c r="C105" i="5" s="1"/>
  <c r="A42" i="5" s="1"/>
  <c r="C100" i="5"/>
  <c r="F45" i="7"/>
  <c r="F47" i="7" s="1"/>
  <c r="H46" i="7" s="1"/>
  <c r="F37" i="7" s="1"/>
  <c r="A41" i="7" s="1"/>
  <c r="D40" i="9" l="1"/>
  <c r="G12" i="20" s="1"/>
  <c r="H41" i="9" l="1"/>
  <c r="H37" i="9"/>
  <c r="D47" i="9" s="1"/>
  <c r="D35" i="9" l="1"/>
  <c r="F29" i="9" s="1"/>
  <c r="G55" i="20" s="1"/>
  <c r="G13" i="20"/>
  <c r="G14" i="20" l="1"/>
  <c r="V13" i="20"/>
  <c r="W17" i="20" s="1"/>
  <c r="F11" i="18"/>
  <c r="D50" i="9"/>
  <c r="E10" i="13"/>
  <c r="F49" i="9" l="1"/>
  <c r="H24" i="20" s="1"/>
  <c r="F53" i="9" l="1"/>
  <c r="F13" i="18" s="1"/>
  <c r="F12" i="18"/>
  <c r="F39" i="18" s="1"/>
  <c r="F40" i="18" s="1"/>
  <c r="F44" i="18" s="1"/>
  <c r="K23" i="18" s="1"/>
  <c r="F176" i="18" s="1"/>
  <c r="F178" i="18" s="1"/>
  <c r="E11" i="13"/>
  <c r="G56" i="20"/>
  <c r="G83" i="20" s="1"/>
  <c r="G84" i="20" s="1"/>
  <c r="G88" i="20" s="1"/>
  <c r="G22" i="20"/>
  <c r="L24" i="20" s="1"/>
  <c r="L25" i="20" s="1"/>
  <c r="G57" i="20"/>
  <c r="E3" i="14" l="1"/>
  <c r="E5" i="14" s="1"/>
  <c r="C12" i="14" s="1"/>
  <c r="F16" i="14" s="1"/>
  <c r="E12" i="13"/>
  <c r="J12" i="13" s="1"/>
  <c r="E3" i="19"/>
  <c r="E3" i="22"/>
  <c r="E4" i="22" s="1"/>
  <c r="C12" i="22" s="1"/>
  <c r="F20" i="22" s="1"/>
  <c r="I171" i="18"/>
  <c r="K30" i="18" s="1"/>
  <c r="I168" i="18"/>
  <c r="I172" i="18"/>
  <c r="K29" i="18" s="1"/>
  <c r="I170" i="18"/>
  <c r="I169" i="18"/>
  <c r="F17" i="14" l="1"/>
  <c r="F14" i="14"/>
  <c r="F15" i="14"/>
  <c r="F16" i="22"/>
  <c r="F15" i="22"/>
  <c r="F17" i="22"/>
  <c r="F14" i="22"/>
  <c r="F18" i="22"/>
  <c r="F19" i="22"/>
  <c r="K28" i="18"/>
  <c r="K31" i="18" s="1"/>
  <c r="C20" i="14" l="1"/>
  <c r="E6" i="14" s="1"/>
  <c r="J18" i="13" s="1"/>
  <c r="J24" i="13" s="1"/>
  <c r="J26" i="13" s="1"/>
  <c r="J31" i="13" s="1"/>
  <c r="O37" i="13" s="1"/>
  <c r="O38" i="13" s="1"/>
  <c r="P39" i="13" s="1"/>
  <c r="C23" i="22"/>
  <c r="E5" i="22" s="1"/>
  <c r="G209" i="20"/>
  <c r="G218" i="20" s="1"/>
  <c r="E143" i="20"/>
  <c r="E147" i="20" s="1"/>
  <c r="J34" i="13" l="1"/>
  <c r="AA2" i="13" s="1"/>
  <c r="O40" i="13"/>
  <c r="P40" i="13" s="1"/>
  <c r="S27" i="20"/>
  <c r="S28" i="20"/>
  <c r="G220" i="20" s="1"/>
  <c r="G222" i="20" s="1"/>
  <c r="J215" i="20" s="1"/>
  <c r="Q34" i="20" s="1"/>
  <c r="P42" i="13"/>
  <c r="P43" i="13" s="1"/>
  <c r="J38" i="13" s="1"/>
  <c r="E21" i="6" s="1"/>
  <c r="AA8" i="13"/>
  <c r="AA3" i="13"/>
  <c r="AC2" i="13" s="1"/>
  <c r="AB6" i="13"/>
  <c r="AA6" i="13" s="1"/>
  <c r="AC3" i="13" s="1"/>
  <c r="AC4" i="13" s="1"/>
  <c r="Q3" i="13"/>
  <c r="C98" i="13"/>
  <c r="C102" i="13" s="1"/>
  <c r="S15" i="13"/>
  <c r="Q16" i="13" s="1"/>
  <c r="Q17" i="13" s="1"/>
  <c r="Q19" i="13" s="1"/>
  <c r="S23" i="13" s="1"/>
  <c r="Z24" i="13" s="1"/>
  <c r="Z32" i="13" s="1"/>
  <c r="Q2" i="13"/>
  <c r="S32" i="20" l="1"/>
  <c r="J216" i="20"/>
  <c r="U33" i="20" s="1"/>
  <c r="J214" i="20"/>
  <c r="J212" i="20"/>
  <c r="J213" i="20"/>
  <c r="Q33" i="20"/>
  <c r="E142" i="20"/>
  <c r="E148" i="20" s="1"/>
  <c r="G147" i="20" s="1"/>
  <c r="AM246" i="20"/>
  <c r="J39" i="13"/>
  <c r="S2" i="13"/>
  <c r="AA25" i="13"/>
  <c r="AA26" i="13" s="1"/>
  <c r="AA27" i="13" s="1"/>
  <c r="I45" i="3"/>
  <c r="C101" i="3"/>
  <c r="C106" i="13"/>
  <c r="A43" i="13" s="1"/>
  <c r="E146" i="20" l="1"/>
  <c r="U34" i="20"/>
  <c r="S35" i="20" s="1"/>
  <c r="Z273" i="20" s="1"/>
  <c r="E4" i="19"/>
  <c r="C12" i="19" s="1"/>
  <c r="S38" i="20" l="1"/>
  <c r="AL238" i="20" s="1"/>
  <c r="Z274" i="20"/>
  <c r="AA275" i="20" s="1"/>
  <c r="Z276" i="20"/>
  <c r="AA276" i="20" s="1"/>
  <c r="F19" i="19"/>
  <c r="F18" i="19"/>
  <c r="F20" i="19"/>
  <c r="F15" i="19"/>
  <c r="F17" i="19"/>
  <c r="F16" i="19"/>
  <c r="F14" i="19"/>
  <c r="AL245" i="20" l="1"/>
  <c r="AL242" i="20"/>
  <c r="AL243" i="20"/>
  <c r="AL240" i="20"/>
  <c r="AB238" i="20"/>
  <c r="AL244" i="20"/>
  <c r="AB239" i="20"/>
  <c r="AL239" i="20" s="1"/>
  <c r="AN238" i="20" s="1"/>
  <c r="AL246" i="20"/>
  <c r="AL247" i="20"/>
  <c r="AL241" i="20"/>
  <c r="AA278" i="20"/>
  <c r="AA279" i="20" s="1"/>
  <c r="S42" i="20" s="1"/>
  <c r="AD242" i="20" s="1"/>
  <c r="AB242" i="20" s="1"/>
  <c r="AD240" i="20" s="1"/>
  <c r="C23" i="19"/>
  <c r="E5" i="19" s="1"/>
  <c r="K22" i="18" s="1"/>
  <c r="AN239" i="20" l="1"/>
  <c r="AN240" i="20" s="1"/>
  <c r="AN243" i="20"/>
  <c r="AN244" i="20" s="1"/>
  <c r="AD238" i="20"/>
  <c r="AD251" i="20"/>
  <c r="AB252" i="20" s="1"/>
  <c r="AB253" i="20" s="1"/>
  <c r="AB255" i="20" s="1"/>
  <c r="AD259" i="20" s="1"/>
  <c r="E43" i="20"/>
  <c r="AK252" i="20"/>
  <c r="AK253" i="20" s="1"/>
  <c r="AK255" i="20" s="1"/>
  <c r="AL259" i="20" s="1"/>
  <c r="K27" i="18"/>
  <c r="K32" i="18" s="1"/>
  <c r="K35" i="18" s="1"/>
  <c r="AN249" i="20" l="1"/>
  <c r="AN250" i="20" s="1"/>
  <c r="AB265" i="20" s="1"/>
  <c r="AB268" i="20" s="1"/>
  <c r="V274" i="20" s="1"/>
  <c r="J43" i="20" s="1"/>
  <c r="AK260" i="20"/>
  <c r="AL261" i="20" s="1"/>
  <c r="AL262" i="20" s="1"/>
  <c r="AL263" i="20" s="1"/>
  <c r="F165" i="18"/>
  <c r="F174" i="18" s="1"/>
  <c r="P37" i="18"/>
  <c r="P38" i="18" s="1"/>
  <c r="Q39" i="18" s="1"/>
  <c r="AB2" i="18"/>
  <c r="S43" i="20" l="1"/>
  <c r="N43" i="20"/>
  <c r="AK268" i="20"/>
  <c r="AB8" i="18"/>
  <c r="R2" i="18"/>
  <c r="R3" i="18"/>
  <c r="T15" i="18"/>
  <c r="R16" i="18" s="1"/>
  <c r="R17" i="18" s="1"/>
  <c r="R19" i="18" s="1"/>
  <c r="T23" i="18" s="1"/>
  <c r="AA24" i="18" s="1"/>
  <c r="AA32" i="18" s="1"/>
  <c r="D99" i="18"/>
  <c r="D103" i="18" s="1"/>
  <c r="P40" i="18"/>
  <c r="Q40" i="18" s="1"/>
  <c r="Q42" i="18" s="1"/>
  <c r="Q43" i="18" s="1"/>
  <c r="AC6" i="18"/>
  <c r="AB6" i="18" s="1"/>
  <c r="AD3" i="18" s="1"/>
  <c r="AD4" i="18" s="1"/>
  <c r="AB3" i="18"/>
  <c r="AD2" i="18" s="1"/>
  <c r="K39" i="18" l="1"/>
  <c r="K40" i="18" s="1"/>
  <c r="T2" i="18"/>
  <c r="AB25" i="18"/>
  <c r="AB26" i="18" s="1"/>
  <c r="AB27" i="18" s="1"/>
  <c r="Q6" i="13" l="1"/>
  <c r="S4" i="13" s="1"/>
  <c r="T33" i="20" l="1"/>
  <c r="P34" i="20" s="1"/>
  <c r="T34" i="20" s="1"/>
  <c r="R35" i="20" s="1"/>
  <c r="R36" i="20" s="1"/>
  <c r="R37" i="20" s="1"/>
  <c r="R38" i="20" s="1"/>
  <c r="R39" i="20" s="1"/>
  <c r="R40" i="20" s="1"/>
  <c r="R41" i="20" s="1"/>
  <c r="R42" i="20" s="1"/>
  <c r="D43" i="20" s="1"/>
  <c r="I43" i="20" s="1"/>
  <c r="M43" i="20" s="1"/>
  <c r="R43" i="20" s="1"/>
  <c r="E4" i="7" l="1"/>
  <c r="E6" i="7"/>
  <c r="R6" i="18"/>
  <c r="T4" i="18" s="1"/>
  <c r="AB10" i="18"/>
  <c r="AD7" i="18" s="1"/>
  <c r="AA10" i="13"/>
  <c r="AC7" i="13" s="1"/>
  <c r="AD8" i="18" l="1"/>
  <c r="AD13" i="18" s="1"/>
  <c r="AD14" i="18" s="1"/>
  <c r="R29" i="18" s="1"/>
  <c r="R32" i="18" s="1"/>
  <c r="L38" i="18" s="1"/>
  <c r="K41" i="18" s="1"/>
  <c r="AC8" i="13"/>
  <c r="AC13" i="13" s="1"/>
  <c r="AC14" i="13" s="1"/>
  <c r="Q29" i="13" s="1"/>
  <c r="Q32" i="13" s="1"/>
  <c r="K38" i="13" s="1"/>
  <c r="J40" i="13" s="1"/>
  <c r="S6" i="13" l="1"/>
  <c r="AB10" i="13"/>
  <c r="J41" i="13"/>
  <c r="C97" i="13"/>
  <c r="J42" i="13"/>
  <c r="E22" i="6" s="1"/>
  <c r="F20" i="6" s="1"/>
  <c r="F91" i="6" s="1"/>
  <c r="K42" i="18"/>
  <c r="D98" i="18"/>
  <c r="AC10" i="18"/>
  <c r="K43" i="18"/>
  <c r="T6" i="18"/>
  <c r="C103" i="13" l="1"/>
  <c r="E102" i="13" s="1"/>
  <c r="C101" i="13"/>
  <c r="D104" i="18"/>
  <c r="F103" i="18" s="1"/>
  <c r="D102" i="18"/>
  <c r="F4" i="3"/>
  <c r="F6" i="3" s="1"/>
  <c r="I15" i="3" s="1"/>
  <c r="I17" i="3" s="1"/>
  <c r="E13" i="3" s="1"/>
  <c r="E4" i="13"/>
  <c r="E6" i="13" s="1"/>
  <c r="E4" i="5"/>
  <c r="E6" i="5" s="1"/>
  <c r="I135" i="6" s="1"/>
  <c r="D135" i="6" s="1"/>
  <c r="G4" i="20"/>
  <c r="S4" i="20" s="1"/>
  <c r="F3" i="7"/>
  <c r="F5" i="7" s="1"/>
  <c r="F4" i="18"/>
  <c r="F6" i="18" s="1"/>
  <c r="E35" i="3" l="1"/>
  <c r="E10" i="3"/>
  <c r="E43" i="3"/>
  <c r="E5" i="3"/>
  <c r="J61" i="3"/>
  <c r="E34" i="3"/>
  <c r="F33" i="3"/>
  <c r="E16" i="3"/>
  <c r="E38" i="3"/>
  <c r="F34" i="3"/>
  <c r="E14" i="3"/>
  <c r="A46" i="3"/>
  <c r="E24" i="3"/>
  <c r="E11" i="3"/>
  <c r="E8" i="3"/>
  <c r="E20" i="3"/>
  <c r="E21" i="3"/>
  <c r="C56" i="3"/>
  <c r="E56" i="3" s="1"/>
  <c r="E31" i="3"/>
  <c r="E27" i="3"/>
  <c r="E18" i="3"/>
  <c r="E39" i="3"/>
  <c r="E25" i="3"/>
  <c r="E22" i="3"/>
  <c r="E30" i="3"/>
  <c r="E33" i="3"/>
  <c r="G187" i="3" s="1"/>
  <c r="G189" i="3" s="1"/>
  <c r="E4" i="3"/>
  <c r="E37" i="3"/>
  <c r="E17" i="3"/>
  <c r="E23" i="3"/>
  <c r="I61" i="3"/>
  <c r="E19" i="3"/>
  <c r="F35" i="3"/>
  <c r="E12" i="3"/>
  <c r="E15" i="3"/>
  <c r="E40" i="3"/>
  <c r="E29" i="3"/>
  <c r="E6" i="3" l="1"/>
  <c r="E28" i="3"/>
  <c r="C57" i="3" s="1"/>
  <c r="D61" i="3" s="1"/>
  <c r="C61" i="3" s="1"/>
  <c r="C58" i="3" s="1"/>
  <c r="E58" i="3" s="1"/>
  <c r="E32" i="3"/>
  <c r="F32" i="3" s="1"/>
  <c r="I43" i="3"/>
  <c r="C76" i="3"/>
  <c r="C78" i="3"/>
  <c r="J42" i="3"/>
  <c r="C73" i="3"/>
  <c r="C75" i="3"/>
  <c r="C74" i="3"/>
  <c r="C81" i="3"/>
  <c r="C79" i="3"/>
  <c r="C77" i="3"/>
  <c r="C72" i="3"/>
  <c r="C59" i="3" l="1"/>
  <c r="E59" i="3" s="1"/>
  <c r="L92" i="3" s="1"/>
  <c r="E36" i="3"/>
  <c r="E57" i="3"/>
  <c r="E72" i="3"/>
  <c r="E73" i="3"/>
  <c r="E74" i="3" s="1"/>
  <c r="J43" i="3"/>
  <c r="L43" i="3" s="1"/>
  <c r="J48" i="3"/>
  <c r="J44" i="3" s="1"/>
  <c r="L44" i="3" s="1"/>
  <c r="L93" i="3" l="1"/>
  <c r="S94" i="3" s="1"/>
  <c r="AG93" i="3"/>
  <c r="AK95" i="3" s="1"/>
  <c r="L46" i="3"/>
  <c r="E41" i="3" s="1"/>
  <c r="D86" i="3" s="1"/>
  <c r="E94" i="3" s="1"/>
  <c r="AA94" i="3" l="1"/>
  <c r="AA95" i="3" s="1"/>
  <c r="T94" i="3"/>
  <c r="T95" i="3" s="1"/>
  <c r="O94" i="3"/>
  <c r="O95" i="3" s="1"/>
  <c r="X94" i="3"/>
  <c r="X95" i="3" s="1"/>
  <c r="AC94" i="3"/>
  <c r="AC95" i="3" s="1"/>
  <c r="AD94" i="3"/>
  <c r="AD95" i="3" s="1"/>
  <c r="AF94" i="3"/>
  <c r="AF95" i="3" s="1"/>
  <c r="L94" i="3"/>
  <c r="L95" i="3" s="1"/>
  <c r="Y94" i="3"/>
  <c r="Y96" i="3" s="1"/>
  <c r="V94" i="3"/>
  <c r="V95" i="3" s="1"/>
  <c r="Q94" i="3"/>
  <c r="Q95" i="3" s="1"/>
  <c r="N94" i="3"/>
  <c r="B109" i="3"/>
  <c r="B113" i="3" s="1"/>
  <c r="C86" i="3"/>
  <c r="C87" i="3" s="1"/>
  <c r="C89" i="3" s="1"/>
  <c r="D93" i="3" s="1"/>
  <c r="E95" i="3" s="1"/>
  <c r="B106" i="3"/>
  <c r="E42" i="3"/>
  <c r="D80" i="3"/>
  <c r="C80" i="3" s="1"/>
  <c r="E77" i="3" s="1"/>
  <c r="D76" i="3"/>
  <c r="E45" i="3"/>
  <c r="B108" i="3" s="1"/>
  <c r="B114" i="3" s="1"/>
  <c r="D113" i="3" s="1"/>
  <c r="E44" i="3"/>
  <c r="S95" i="3"/>
  <c r="AD96" i="3" l="1"/>
  <c r="D78" i="3"/>
  <c r="Z95" i="3"/>
  <c r="O96" i="3"/>
  <c r="U95" i="3"/>
  <c r="T96" i="3"/>
  <c r="N96" i="3"/>
  <c r="Y95" i="3"/>
  <c r="X96" i="3"/>
  <c r="R95" i="3"/>
  <c r="AB95" i="3"/>
  <c r="S96" i="3"/>
  <c r="N95" i="3"/>
  <c r="AG95" i="3"/>
  <c r="P95" i="3"/>
  <c r="W95" i="3"/>
  <c r="AC96" i="3"/>
  <c r="M95" i="3"/>
  <c r="AE95" i="3"/>
  <c r="B112" i="3"/>
  <c r="E78" i="3"/>
  <c r="E83" i="3" s="1"/>
  <c r="E84" i="3" s="1"/>
  <c r="C100" i="3" s="1"/>
  <c r="C103" i="3" s="1"/>
  <c r="L97" i="3" l="1"/>
  <c r="B64" i="3" s="1"/>
</calcChain>
</file>

<file path=xl/comments1.xml><?xml version="1.0" encoding="utf-8"?>
<comments xmlns="http://schemas.openxmlformats.org/spreadsheetml/2006/main">
  <authors>
    <author>USS</author>
  </authors>
  <commentList>
    <comment ref="B3" authorId="0" shapeId="0">
      <text>
        <r>
          <rPr>
            <b/>
            <sz val="8"/>
            <color indexed="81"/>
            <rFont val="Tahoma"/>
            <family val="2"/>
          </rPr>
          <t xml:space="preserve">DECRETO 3032 DE 2013
Artículo 3. Trabajador por cuenta propia. Para los efectos del cálculo del Impuesto Mínimo Alternativo Simplificado (IMAS), de conformidad con lo establecido en los artículos 336 a 341 del Estatuto Tributario, ul1a persona natural residente en el país se clasifica como trabajador por cuenta propia si en el respectivo año gravable cumple la totalidad de las siguientes condiciones: 
*Sus ingresos provienen, en una proporción igual o superior a un ochenta por ciento (80%), de la. realización de solo una de las actividades económicas señaladas en el artículo 340 del Estatuto Tributario;
Presta el servicio por su cuenta y riesgo;
Su Renta Gravable Alternativa -RGA- es inferior a veintisiete mil (27.000) UVT.
El patrimonio líquido declarado en el periodo gravable anterior es inferior a doce mil (12.000) UVT.
</t>
        </r>
        <r>
          <rPr>
            <sz val="8"/>
            <color indexed="81"/>
            <rFont val="Tahoma"/>
            <family val="2"/>
          </rPr>
          <t xml:space="preserve">
</t>
        </r>
      </text>
    </comment>
    <comment ref="E10" authorId="0" shapeId="0">
      <text>
        <r>
          <rPr>
            <b/>
            <sz val="8"/>
            <color indexed="81"/>
            <rFont val="Tahoma"/>
            <family val="2"/>
          </rPr>
          <t>ARTÍCULO 339. Determinación de la Renta Gravable Alternativa. Para la determinación de la Renta Gravable Alternativa, según lo dispuesto en el artículo 337 de este Estatuto, las personas naturales clasificadas en la categoría de trabajadores por cuenta propia cuyos ingresos brutos en el respectivo año gravable sean iguales o superiores a 1.400 UVT, e inferiores a 27.000 UVT</t>
        </r>
        <r>
          <rPr>
            <sz val="8"/>
            <color indexed="81"/>
            <rFont val="Tahoma"/>
            <family val="2"/>
          </rPr>
          <t xml:space="preserve">
</t>
        </r>
      </text>
    </comment>
    <comment ref="B12" authorId="0" shapeId="0">
      <text>
        <r>
          <rPr>
            <b/>
            <sz val="16"/>
            <color indexed="81"/>
            <rFont val="Tahoma"/>
            <family val="2"/>
          </rPr>
          <t xml:space="preserve">PROVERBIOS
10:4 La mano negligente empobrece; 
Mas la mano de los diligentes enriquece. 
</t>
        </r>
        <r>
          <rPr>
            <sz val="16"/>
            <color indexed="81"/>
            <rFont val="Tahoma"/>
            <family val="2"/>
          </rPr>
          <t xml:space="preserve">
</t>
        </r>
      </text>
    </comment>
    <comment ref="E14" authorId="0" shapeId="0">
      <text>
        <r>
          <rPr>
            <b/>
            <sz val="8"/>
            <color indexed="81"/>
            <rFont val="Tahoma"/>
            <family val="2"/>
          </rPr>
          <t>Para obtener este tratamiento, el contribuyente deberá demostrar dentro del plazo que señale el reglamento(dentro del término que tiene para presentar la declaración de renta O deberá demostrar que con la indemnización recibida se constituyó un fondo destinado exclusivamente a la adquisición de los bienes mencionados., la inversión de la totalidad de la indemnización en la adquisición de bienes iguales o semejantes a los que eran objeto del seguro</t>
        </r>
        <r>
          <rPr>
            <sz val="8"/>
            <color indexed="81"/>
            <rFont val="Tahoma"/>
            <family val="2"/>
          </rPr>
          <t xml:space="preserve">
</t>
        </r>
      </text>
    </comment>
    <comment ref="E28" authorId="0" shapeId="0">
      <text>
        <r>
          <rPr>
            <b/>
            <sz val="8"/>
            <color indexed="81"/>
            <rFont val="Tahoma"/>
            <family val="2"/>
          </rPr>
          <t xml:space="preserve">ACTIVIDAD PARA RGA DESDE IMAS 
En
UVT En pesos con
UVT 2013 En pesos con
UVT 2014 
Actividades deportivas y otras actividades de esparcimiento 4.057 $108.894.000 $111.507.000 1,77% x (RGA en UVT - 4.057) 
Agropecuario, silvicultura y pesca 7.143 $191.725.000 $196.325.000 1,23% x (RGA en UVT - 7.143) 
Comercio al por mayor 4.057 $108.894.000 $111.507.000 0,82% x (RGA en UVT - 4.057) 
Comercio al por menor 5.409 $145.183.000 $148.666.000 0,82% x (RGA en UVT - 5.409) 
Comercio de vehículos automotores, accesorios y productos conexos 4.549 $122.100.000 $125.029.000 0,95% x (RGA en UVT - 4.549) 
Construcción 2.090 $56.098.000 $57.444.000 2,17% x (RGA en UVT - 2.090) 
Electricidad, gas y vapor 3.934 $105.592.000 $108.126.000 2,97% x (RGA en UVT - 3.934) 
Fabricación de productos minerales y otros 4.795 $128.703.000 $131.791.000 2,18% x (RGA en UVT - 4.795) 
Fabricación de sustancias químicas 4.549 $122.100.000 $125.029.000 2,77% x (RGA en UVT - 4.549) 
Industria de la madera, corcho y papel 4.549 $122.100.000 $125.029.000 2,3% x (RGA en UVT - 4.549) 
Manufactura alimentos 4.549 $122.100.000 $125.029.000 1,13% x (RGA en UVT - 4.549) 
Manufactura textiles, prendas de vestir y cuero 4.303 $115.497.000 $118.268.000 2,93% x (RGA en UVT - 4.303) 
Minería 4.057 $108.894.000 $111.507.000 4,96% x (RGA en UVT - 4.057) 
Servicio de transporte, almacenamiento y comunicaciones 4.795 $128.703.000 $131.791.000 2,79% x (RGA en UVT - 4.795) 
Servicios de hoteles, restaurantes y similares 3.934 $105.592.000 $108.126.000 1,55% x (RGA en UVT - 3.934) 
Servicios financieros 1.844 $49.495.000 $50.682.000 6,4% x (RGA en UVT - 1.844) 
</t>
        </r>
        <r>
          <rPr>
            <sz val="8"/>
            <color indexed="81"/>
            <rFont val="Tahoma"/>
            <family val="2"/>
          </rPr>
          <t xml:space="preserve">
</t>
        </r>
      </text>
    </comment>
    <comment ref="M43" authorId="0" shapeId="0">
      <text>
        <r>
          <rPr>
            <b/>
            <sz val="8"/>
            <color indexed="81"/>
            <rFont val="Tahoma"/>
            <family val="2"/>
          </rPr>
          <t>USS:</t>
        </r>
        <r>
          <rPr>
            <sz val="8"/>
            <color indexed="81"/>
            <rFont val="Tahoma"/>
            <family val="2"/>
          </rPr>
          <t xml:space="preserve">
IMPTO NETO
</t>
        </r>
      </text>
    </comment>
  </commentList>
</comments>
</file>

<file path=xl/comments10.xml><?xml version="1.0" encoding="utf-8"?>
<comments xmlns="http://schemas.openxmlformats.org/spreadsheetml/2006/main">
  <authors>
    <author>Administrador</author>
  </authors>
  <commentList>
    <comment ref="B4" authorId="0" shapeId="0">
      <text>
        <r>
          <rPr>
            <b/>
            <sz val="11"/>
            <color indexed="81"/>
            <rFont val="Tahoma"/>
            <family val="2"/>
          </rPr>
          <t>Art. 342. Ingresos de las rentas de dividendos y participaciones.
Son ingresos de esta cédula los recibidos por concepto de dividendos y participaciones, y constituyen renta gravable en cabeza de los socios, accionistas, comuneros, asociados, suscriptores y similares, que sean personas naturales residentes y sucesiones ilíquidas de causantes que al momento de su muerte eran residentes, recibidos de distribuciones provenientes de sociedades y entidades nacionales, y de sociedades y entidades extranjeras.</t>
        </r>
        <r>
          <rPr>
            <sz val="9"/>
            <color indexed="81"/>
            <rFont val="Tahoma"/>
            <family val="2"/>
          </rPr>
          <t xml:space="preserve">
</t>
        </r>
      </text>
    </comment>
    <comment ref="C6" authorId="0" shapeId="0">
      <text>
        <r>
          <rPr>
            <b/>
            <sz val="9"/>
            <color indexed="81"/>
            <rFont val="Tahoma"/>
            <family val="2"/>
          </rPr>
          <t>SALMO 55-22
Echa sobre Jehová tu carga, y él te sustentará;
No dejará para siempre caído al justo.</t>
        </r>
        <r>
          <rPr>
            <sz val="9"/>
            <color indexed="81"/>
            <rFont val="Tahoma"/>
            <family val="2"/>
          </rPr>
          <t xml:space="preserve">
</t>
        </r>
      </text>
    </comment>
  </commentList>
</comments>
</file>

<file path=xl/comments11.xml><?xml version="1.0" encoding="utf-8"?>
<comments xmlns="http://schemas.openxmlformats.org/spreadsheetml/2006/main">
  <authors>
    <author>Administrador</author>
    <author>USER</author>
  </authors>
  <commentList>
    <comment ref="E5" authorId="0" shapeId="0">
      <text>
        <r>
          <rPr>
            <b/>
            <sz val="9"/>
            <color indexed="81"/>
            <rFont val="Tahoma"/>
            <family val="2"/>
          </rPr>
          <t xml:space="preserve">JEREMIAS 33-3
</t>
        </r>
        <r>
          <rPr>
            <sz val="9"/>
            <color indexed="81"/>
            <rFont val="Tahoma"/>
            <family val="2"/>
          </rPr>
          <t xml:space="preserve">
</t>
        </r>
        <r>
          <rPr>
            <sz val="14"/>
            <color indexed="81"/>
            <rFont val="Tahoma"/>
            <family val="2"/>
          </rPr>
          <t>Clama a mí, y yo te responderé, y te enseñaré cosas grandes y ocultas que tú no conoces.</t>
        </r>
      </text>
    </comment>
    <comment ref="D32" authorId="1" shapeId="0">
      <text>
        <r>
          <rPr>
            <b/>
            <sz val="9"/>
            <color indexed="81"/>
            <rFont val="Tahoma"/>
            <family val="2"/>
          </rPr>
          <t>ARTICULO 387. DEDUCCIONES QUE SE RESTARÁN DE LA BASE DE RETENCIÓN.</t>
        </r>
        <r>
          <rPr>
            <sz val="9"/>
            <color indexed="81"/>
            <rFont val="Tahoma"/>
            <family val="2"/>
          </rPr>
          <t xml:space="preserve">
INCISO 2
El trabajador podrá disminuir de su base de retención lo dispuesto en el inciso anterior; los pagos por salud, siempre que el valor a disminuir mensualmente, en este último caso, no supere dieciséis (16) UVT mensuales; </t>
        </r>
        <r>
          <rPr>
            <b/>
            <u/>
            <sz val="9"/>
            <color indexed="81"/>
            <rFont val="Tahoma"/>
            <family val="2"/>
          </rPr>
          <t>y una deducción mensual de hasta el 10% del total de los ingresos brutos provenientes de la relación laboral o legal y reglamentaria del respectivo mes por concepto de dependientes, hasta un máximo de treinta y dos (32) UVT mensuales. Las deducciones establecidas en este artículo se tendrán en cuenta en la declaración ordinaria del Impuesto sobre la Renta</t>
        </r>
        <r>
          <rPr>
            <sz val="9"/>
            <color indexed="81"/>
            <rFont val="Tahoma"/>
            <family val="2"/>
          </rPr>
          <t xml:space="preserve">. Los pagos por salud deberán cumplir las condiciones de control que señale el Gobierno Nacional:
LIMITE AÑO ES 384 UVT EN $ 13.159.680
</t>
        </r>
      </text>
    </comment>
    <comment ref="D33" authorId="1" shapeId="0">
      <text>
        <r>
          <rPr>
            <b/>
            <sz val="9"/>
            <color indexed="81"/>
            <rFont val="Tahoma"/>
            <family val="2"/>
          </rPr>
          <t>ARTICULO 387. DEDUCCIONES QUE SE RESTARÁN DE LA BASE DE RETENCIÓN.</t>
        </r>
        <r>
          <rPr>
            <sz val="9"/>
            <color indexed="81"/>
            <rFont val="Tahoma"/>
            <family val="2"/>
          </rPr>
          <t xml:space="preserve">
INCISO 2
</t>
        </r>
        <r>
          <rPr>
            <b/>
            <u/>
            <sz val="9"/>
            <color indexed="81"/>
            <rFont val="Tahoma"/>
            <family val="2"/>
          </rPr>
          <t>El trabajador podrá disminuir de su base de retención lo dispuesto en el inciso anterior; los pagos por salud, siempre que el valor a disminuir mensualmente, en este último caso, no supere dieciséis (16) UVT mensuales;</t>
        </r>
        <r>
          <rPr>
            <sz val="9"/>
            <color indexed="81"/>
            <rFont val="Tahoma"/>
            <family val="2"/>
          </rPr>
          <t xml:space="preserve"> y una deducción mensual de hasta el 10% del total de los ingresos brutos provenientes de la relación laboral o legal y reglamentaria del respectivo mes por concepto de dependientes, hasta un máximo de treinta y dos (32) UVT mensuales. Las deducciones establecidas en este artículo se tendrán en cuenta en la declaración ordinaria del Impuesto sobre la Renta. Los pagos por salud deberán cumplir las condiciones de control que señale el Gobierno Nacional:
LIMITE ANUAL 192 UVT EN $ 6.579.840</t>
        </r>
      </text>
    </comment>
  </commentList>
</comments>
</file>

<file path=xl/comments12.xml><?xml version="1.0" encoding="utf-8"?>
<comments xmlns="http://schemas.openxmlformats.org/spreadsheetml/2006/main">
  <authors>
    <author>Administrador</author>
    <author>USER</author>
    <author>YOIBER OJEDA</author>
  </authors>
  <commentList>
    <comment ref="B4" authorId="0" shapeId="0">
      <text>
        <r>
          <rPr>
            <b/>
            <sz val="9"/>
            <color indexed="81"/>
            <rFont val="Tahoma"/>
            <family val="2"/>
          </rPr>
          <t xml:space="preserve">ARTÍCULO 335. INGRESOS DE LA CÉDULA GENERAL. 
Para los efectos de este título, son ingresos de la cédula general los siguientes:
1. Rentas de trabajo: las señaladas en el artículo 103 de este Estatuto.
2. Rentas de capital: las obtenidas por concepto de intereses, rendimientos financieros, arrendamientos, regalías y explotación de la propiedad intelectual.
</t>
        </r>
        <r>
          <rPr>
            <b/>
            <sz val="11"/>
            <color indexed="10"/>
            <rFont val="Tahoma"/>
            <family val="2"/>
          </rPr>
          <t>3. Rentas no laborales: se consideran ingresos de las rentas no laborales todos los que no se clasifiquen expresamente en ninguna otra cédula, con excepción de los dividendos y las ganancias ocasionales, que se rigen según sus reglas especiales.</t>
        </r>
        <r>
          <rPr>
            <sz val="9"/>
            <color indexed="81"/>
            <rFont val="Tahoma"/>
            <family val="2"/>
          </rPr>
          <t xml:space="preserve">
</t>
        </r>
      </text>
    </comment>
    <comment ref="D11" authorId="1" shapeId="0">
      <text>
        <r>
          <rPr>
            <b/>
            <sz val="9"/>
            <color indexed="81"/>
            <rFont val="Tahoma"/>
            <family val="2"/>
          </rPr>
          <t>SI NO CUMPLE CON LA PERMANENCIA</t>
        </r>
        <r>
          <rPr>
            <sz val="9"/>
            <color indexed="81"/>
            <rFont val="Tahoma"/>
            <family val="2"/>
          </rPr>
          <t xml:space="preserve">
</t>
        </r>
      </text>
    </comment>
    <comment ref="C65" authorId="0" shapeId="0">
      <text>
        <r>
          <rPr>
            <b/>
            <sz val="9"/>
            <color indexed="81"/>
            <rFont val="Tahoma"/>
            <family val="2"/>
          </rPr>
          <t>INC. 6 ART. 126- E.T. 
Los aportes a título de cesantía, realizados por los partícipes independientes, serán deducibles de la renta hasta la suma de dos mil quinientas (2.500) UVT, sin que excedan de un doceavo del ingreso gravable del respectivo año.</t>
        </r>
      </text>
    </comment>
    <comment ref="D76" authorId="2" shapeId="0">
      <text>
        <r>
          <rPr>
            <b/>
            <sz val="9"/>
            <color indexed="81"/>
            <rFont val="Tahoma"/>
            <family val="2"/>
          </rPr>
          <t>ARTÍCULO 336. RENTA LÍQUIDA GRAVABLE DE LA CÉDULA GENERAL. 
Para efectos de establecer la renta líquida de la cédula general, se seguirán las siguientes reglas:
1. Se sumarán los ingresos obtenidos por todo concepto excepto los correspondientes a dividendos y ganancias ocasionales.
2. A la suma anterior, se le restarán los ingresos no constitutivos de renta imputables a cada ingreso.
3.</t>
        </r>
        <r>
          <rPr>
            <b/>
            <sz val="11"/>
            <color indexed="10"/>
            <rFont val="Tahoma"/>
            <family val="2"/>
          </rPr>
          <t xml:space="preserve"> Al valor resultante podrán restarse todas las rentas exentas y las deducciones especiales imputables a esta cédula, siempre que no excedan el cuarenta (40%) del resultado del numeral anterior, que en todo caso no puede exceder de cinco mil cuarenta (5.040) UVT.</t>
        </r>
        <r>
          <rPr>
            <sz val="9"/>
            <color indexed="81"/>
            <rFont val="Tahoma"/>
            <family val="2"/>
          </rPr>
          <t xml:space="preserve">
</t>
        </r>
      </text>
    </comment>
  </commentList>
</comments>
</file>

<file path=xl/comments13.xml><?xml version="1.0" encoding="utf-8"?>
<comments xmlns="http://schemas.openxmlformats.org/spreadsheetml/2006/main">
  <authors>
    <author>Administrador</author>
  </authors>
  <commentList>
    <comment ref="B4" authorId="0" shapeId="0">
      <text>
        <r>
          <rPr>
            <b/>
            <sz val="9"/>
            <color indexed="81"/>
            <rFont val="Tahoma"/>
            <family val="2"/>
          </rPr>
          <t>Art. 337 E.T. Ingresos de las rentas de pensiones.
Son ingresos de esta cédula las pensiones de jubilación, invalidez, vejez, de sobrevivientes y sobre riesgos laborales, así como aquellas provenientes de indemnizaciones sustitutivas de las pensiones o las devoluciones de saldos de ahorro pensional.</t>
        </r>
        <r>
          <rPr>
            <sz val="9"/>
            <color indexed="81"/>
            <rFont val="Tahoma"/>
            <family val="2"/>
          </rPr>
          <t xml:space="preserve">
</t>
        </r>
      </text>
    </comment>
    <comment ref="C6" authorId="0" shapeId="0">
      <text>
        <r>
          <rPr>
            <b/>
            <sz val="9"/>
            <color indexed="81"/>
            <rFont val="Tahoma"/>
            <family val="2"/>
          </rPr>
          <t>SALMO 55-22
Echa sobre Jehová tu carga, y él te sustentará;
No dejará para siempre caído al justo.</t>
        </r>
        <r>
          <rPr>
            <sz val="9"/>
            <color indexed="81"/>
            <rFont val="Tahoma"/>
            <family val="2"/>
          </rPr>
          <t xml:space="preserve">
</t>
        </r>
      </text>
    </comment>
    <comment ref="D6" authorId="0" shapeId="0">
      <text>
        <r>
          <rPr>
            <b/>
            <sz val="9"/>
            <color indexed="81"/>
            <rFont val="Tahoma"/>
            <family val="2"/>
          </rPr>
          <t>INC. 2 NUM 2 ART 1.2.1.20.2 DUR 1625 DE 2016 SUSTITUIDO ART 6 DR 2250 DE 2017
Aquellos ingresos obtenidos por los conceptos mencionados  anteriormente y que correspondan a rentas de fuente extranjera, se reconocerán en esta cédula, pero no les será aplicable la limitación establecida en el numeral 5 del artículo 206 del Estatuto Tributario, de conformidad con el parágrafo 3 del artículo 206 del Estatuto tributario. Lo anterior, sin perjuicio de lo establecido en los Convenios para evitar la doble imposición suscritos por Colombia.</t>
        </r>
        <r>
          <rPr>
            <sz val="9"/>
            <color indexed="81"/>
            <rFont val="Tahoma"/>
            <family val="2"/>
          </rPr>
          <t xml:space="preserve">
</t>
        </r>
      </text>
    </comment>
    <comment ref="D17" authorId="0" shapeId="0">
      <text>
        <r>
          <rPr>
            <b/>
            <sz val="9"/>
            <color indexed="81"/>
            <rFont val="Tahoma"/>
            <family val="2"/>
          </rPr>
          <t>INC. 2 ART 337 E.T.
Para efectos de establecer la renta líquida cedular, del total de ingresos se restarán los ingresos no constitutivos de renta y las rentas exentas, considerando los límites previstos en este Estatuto, y especialmente las rentas exentas a las que se refiere el numeral 5del artículo 206.</t>
        </r>
        <r>
          <rPr>
            <sz val="9"/>
            <color indexed="81"/>
            <rFont val="Tahoma"/>
            <family val="2"/>
          </rPr>
          <t xml:space="preserve">
</t>
        </r>
      </text>
    </comment>
  </commentList>
</comments>
</file>

<file path=xl/comments2.xml><?xml version="1.0" encoding="utf-8"?>
<comments xmlns="http://schemas.openxmlformats.org/spreadsheetml/2006/main">
  <authors>
    <author>USS</author>
  </authors>
  <commentList>
    <comment ref="F4" authorId="0" shapeId="0">
      <text>
        <r>
          <rPr>
            <b/>
            <sz val="22"/>
            <color indexed="81"/>
            <rFont val="Tahoma"/>
            <family val="2"/>
          </rPr>
          <t>AGUACHICA, QUE LINDA ERES</t>
        </r>
        <r>
          <rPr>
            <sz val="8"/>
            <color indexed="81"/>
            <rFont val="Tahoma"/>
            <family val="2"/>
          </rPr>
          <t xml:space="preserve">
</t>
        </r>
      </text>
    </comment>
    <comment ref="J9" authorId="0" shapeId="0">
      <text>
        <r>
          <rPr>
            <b/>
            <sz val="8"/>
            <color indexed="81"/>
            <rFont val="Tahoma"/>
            <family val="2"/>
          </rPr>
          <t xml:space="preserve">INC 1 ART 331 E.T.
Las ganancias ocasionales contenidas en el Título III del Libro I de este Estatuto, no hacen parte de la base gravable del Impuesto Mínimo Alternativo Nacional (IMAN).
INC 2 ART 331 E.T.
Dentro de los ingresos brutos de que trata este artículo, se entienden incluidos los ingresos obtenidos por el empleado por la realización de actividades económicas y la prestación de servicios personales por su propia cuenta y riesgo, siempre que se cumpla con el porcentaje señalado en el artículo 329 de este Estatuto.
</t>
        </r>
        <r>
          <rPr>
            <sz val="8"/>
            <color indexed="81"/>
            <rFont val="Tahoma"/>
            <family val="2"/>
          </rPr>
          <t xml:space="preserve">
</t>
        </r>
      </text>
    </comment>
    <comment ref="F22" authorId="0" shapeId="0">
      <text>
        <r>
          <rPr>
            <b/>
            <sz val="16"/>
            <color indexed="81"/>
            <rFont val="Tahoma"/>
            <family val="2"/>
          </rPr>
          <t xml:space="preserve">PROVERBIOS
13:20 El que anda con sabios, sabio será; 
Mas el que se junta con necios será quebrantado.
</t>
        </r>
        <r>
          <rPr>
            <sz val="16"/>
            <color indexed="81"/>
            <rFont val="Tahoma"/>
            <family val="2"/>
          </rPr>
          <t xml:space="preserve">
</t>
        </r>
      </text>
    </comment>
    <comment ref="C88" authorId="0" shapeId="0">
      <text>
        <r>
          <rPr>
            <b/>
            <sz val="8"/>
            <color indexed="81"/>
            <rFont val="Tahoma"/>
            <family val="2"/>
          </rPr>
          <t xml:space="preserve">ARTÍCULO 150. Pérdidas sufridas por personas naturales en actividades agropecuarias. Pérdidas sufridas por personas naturales en actividades agropecuarias. Las pérdidas de personas naturales y sucesiones ilíquidas en empresas agropecuarias serán deducibles en los cinco años siguientes a su ocurrencia, siempre y cuando que se deduzcan exclusivamente de rentas de igual naturaleza y las operaciones de la empresa estén contabilizadas de conformidad con los principios de contabilidad generalmente aceptados. Esta deducción se aplicará sin perjuicio de la renta presuntiva.
</t>
        </r>
        <r>
          <rPr>
            <sz val="8"/>
            <color indexed="81"/>
            <rFont val="Tahoma"/>
            <family val="2"/>
          </rPr>
          <t xml:space="preserve">
</t>
        </r>
      </text>
    </comment>
  </commentList>
</comments>
</file>

<file path=xl/comments3.xml><?xml version="1.0" encoding="utf-8"?>
<comments xmlns="http://schemas.openxmlformats.org/spreadsheetml/2006/main">
  <authors>
    <author>Administrador</author>
    <author>YOIBER OJEDA</author>
    <author>usuario</author>
  </authors>
  <commentList>
    <comment ref="B2" authorId="0" shapeId="0">
      <text>
        <r>
          <rPr>
            <b/>
            <sz val="14"/>
            <color indexed="81"/>
            <rFont val="Tahoma"/>
            <family val="2"/>
          </rPr>
          <t>SALMO 104-3
Que establece sus aposentos entre las aguas,
El que pone las nubes por su carroza,
El que anda sobre las alas del viento;</t>
        </r>
        <r>
          <rPr>
            <b/>
            <sz val="9"/>
            <color indexed="81"/>
            <rFont val="Tahoma"/>
            <family val="2"/>
          </rPr>
          <t xml:space="preserve">
</t>
        </r>
      </text>
    </comment>
    <comment ref="F4" authorId="1" shapeId="0">
      <text>
        <r>
          <rPr>
            <b/>
            <sz val="9"/>
            <color indexed="81"/>
            <rFont val="Tahoma"/>
            <family val="2"/>
          </rPr>
          <t>SALMO 32:8</t>
        </r>
        <r>
          <rPr>
            <sz val="9"/>
            <color indexed="81"/>
            <rFont val="Tahoma"/>
            <family val="2"/>
          </rPr>
          <t xml:space="preserve">
</t>
        </r>
        <r>
          <rPr>
            <b/>
            <sz val="12"/>
            <color indexed="81"/>
            <rFont val="Tahoma"/>
            <family val="2"/>
          </rPr>
          <t>Te haré entender, y te enseñaré el camino en que debes andar;
Sobre ti fijaré mis ojos.</t>
        </r>
      </text>
    </comment>
    <comment ref="H12" authorId="2" shapeId="0">
      <text>
        <r>
          <rPr>
            <b/>
            <sz val="9"/>
            <color indexed="81"/>
            <rFont val="Tahoma"/>
            <family val="2"/>
          </rPr>
          <t>ISAIS 41
10 No temas, porque yo estoy contigo; no desmayes, porque yo soy tu Dios que te esfuerzo; siempre te ayudaré, siempre te sustentaré con la diestra de mi justicia.</t>
        </r>
        <r>
          <rPr>
            <sz val="9"/>
            <color indexed="81"/>
            <rFont val="Tahoma"/>
            <family val="2"/>
          </rPr>
          <t xml:space="preserve">
</t>
        </r>
      </text>
    </comment>
  </commentList>
</comments>
</file>

<file path=xl/comments4.xml><?xml version="1.0" encoding="utf-8"?>
<comments xmlns="http://schemas.openxmlformats.org/spreadsheetml/2006/main">
  <authors>
    <author>Administrador</author>
    <author>USER</author>
    <author>usuario</author>
    <author>YOIBER OJEDA</author>
  </authors>
  <commentList>
    <comment ref="B2" authorId="0" shapeId="0">
      <text>
        <r>
          <rPr>
            <b/>
            <sz val="14"/>
            <color indexed="81"/>
            <rFont val="Tahoma"/>
            <family val="2"/>
          </rPr>
          <t>SALMO 104-3
Que establece sus aposentos entre las aguas,
El que pone las nubes por su carroza,
El que anda sobre las alas del viento;</t>
        </r>
        <r>
          <rPr>
            <b/>
            <sz val="9"/>
            <color indexed="81"/>
            <rFont val="Tahoma"/>
            <family val="2"/>
          </rPr>
          <t xml:space="preserve">
</t>
        </r>
      </text>
    </comment>
    <comment ref="G4" authorId="1" shapeId="0">
      <text>
        <r>
          <rPr>
            <b/>
            <sz val="9"/>
            <color indexed="81"/>
            <rFont val="Tahoma"/>
            <family val="2"/>
          </rPr>
          <t>SALMO 32:8
Te haré entender, y te enseñaré el camino en que debes andar;
Sobre ti fijaré mis ojos.</t>
        </r>
      </text>
    </comment>
    <comment ref="B33" authorId="2" shapeId="0">
      <text>
        <r>
          <rPr>
            <b/>
            <sz val="9"/>
            <color indexed="81"/>
            <rFont val="Tahoma"/>
            <family val="2"/>
          </rPr>
          <t>ISAIS 41
10 No temas, porque yo estoy contigo; no desmayes, porque yo soy tu Dios que te esfuerzo; siempre te ayudaré, siempre te sustentaré con la diestra de mi justicia.</t>
        </r>
        <r>
          <rPr>
            <sz val="9"/>
            <color indexed="81"/>
            <rFont val="Tahoma"/>
            <family val="2"/>
          </rPr>
          <t xml:space="preserve">
</t>
        </r>
      </text>
    </comment>
    <comment ref="G48" authorId="3" shapeId="0">
      <text>
        <r>
          <rPr>
            <b/>
            <sz val="9"/>
            <color indexed="81"/>
            <rFont val="Tahoma"/>
            <family val="2"/>
          </rPr>
          <t>SALMO 32:8</t>
        </r>
        <r>
          <rPr>
            <sz val="9"/>
            <color indexed="81"/>
            <rFont val="Tahoma"/>
            <family val="2"/>
          </rPr>
          <t xml:space="preserve">
</t>
        </r>
        <r>
          <rPr>
            <b/>
            <sz val="12"/>
            <color indexed="81"/>
            <rFont val="Tahoma"/>
            <family val="2"/>
          </rPr>
          <t>Te haré entender, y te enseñaré el camino en que debes andar;
Sobre ti fijaré mis ojos.</t>
        </r>
      </text>
    </comment>
  </commentList>
</comments>
</file>

<file path=xl/comments5.xml><?xml version="1.0" encoding="utf-8"?>
<comments xmlns="http://schemas.openxmlformats.org/spreadsheetml/2006/main">
  <authors>
    <author>USS</author>
  </authors>
  <commentList>
    <comment ref="B4" authorId="0" shapeId="0">
      <text>
        <r>
          <rPr>
            <b/>
            <sz val="18"/>
            <color indexed="81"/>
            <rFont val="Tahoma"/>
            <family val="2"/>
          </rPr>
          <t xml:space="preserve">PROVERBIOS
22:16 El que oprime al pobre para aumentar sus ganancias,
O que da al rico, ciertamente se empobrecerá. 
Preceptos y amonestaciones
</t>
        </r>
        <r>
          <rPr>
            <sz val="18"/>
            <color indexed="81"/>
            <rFont val="Tahoma"/>
            <family val="2"/>
          </rPr>
          <t xml:space="preserve">
</t>
        </r>
      </text>
    </comment>
    <comment ref="B25" authorId="0" shapeId="0">
      <text>
        <r>
          <rPr>
            <b/>
            <sz val="8"/>
            <color indexed="81"/>
            <rFont val="Tahoma"/>
            <family val="2"/>
          </rPr>
          <t>SI DECIDE LLEVAR CONTABILIDAD NO ESTANDO OBLIGADO A ELLO</t>
        </r>
        <r>
          <rPr>
            <sz val="8"/>
            <color indexed="81"/>
            <rFont val="Tahoma"/>
            <family val="2"/>
          </rPr>
          <t xml:space="preserve">
</t>
        </r>
      </text>
    </comment>
    <comment ref="D28" authorId="0" shapeId="0">
      <text>
        <r>
          <rPr>
            <b/>
            <sz val="8"/>
            <color indexed="81"/>
            <rFont val="Tahoma"/>
            <family val="2"/>
          </rPr>
          <t>RESPONDA:  S
SI LAS POSEYO DURANTE EL AÑO 2019.
DE LO CONTRARIO N</t>
        </r>
        <r>
          <rPr>
            <sz val="8"/>
            <color indexed="81"/>
            <rFont val="Tahoma"/>
            <family val="2"/>
          </rPr>
          <t xml:space="preserve">
</t>
        </r>
      </text>
    </comment>
    <comment ref="D30" authorId="0" shapeId="0">
      <text>
        <r>
          <rPr>
            <b/>
            <sz val="8"/>
            <color indexed="81"/>
            <rFont val="Tahoma"/>
            <family val="2"/>
          </rPr>
          <t>RESPONDA:  S
SI LAS POSEYO DURANTE EL AÑO 2019.
DE LO CONTRARIO N</t>
        </r>
        <r>
          <rPr>
            <sz val="8"/>
            <color indexed="81"/>
            <rFont val="Tahoma"/>
            <family val="2"/>
          </rPr>
          <t xml:space="preserve">
</t>
        </r>
      </text>
    </comment>
    <comment ref="E50" authorId="0" shapeId="0">
      <text>
        <r>
          <rPr>
            <b/>
            <sz val="8"/>
            <color indexed="81"/>
            <rFont val="Tahoma"/>
            <family val="2"/>
          </rPr>
          <t xml:space="preserve">ARTÍCULO 277. Modificado. Ley 1111/2006, Art. 20. Valor patrimonial de los inmuebles. Los contribuyentes obligados a llevar libros de contabilidad deben declarar los inmuebles por el costo fiscal, determinado de acuerdo con lo dispuesto en los Capítulos I y III del Título II del Libro I de este Estatuto y en el artículo 65 de la Ley 75 de 1986.
</t>
        </r>
        <r>
          <rPr>
            <b/>
            <u/>
            <sz val="12"/>
            <color indexed="81"/>
            <rFont val="Tahoma"/>
            <family val="2"/>
          </rPr>
          <t>Los contribuyentes no obligados a llevar libros de contabilidad</t>
        </r>
        <r>
          <rPr>
            <b/>
            <sz val="8"/>
            <color indexed="81"/>
            <rFont val="Tahoma"/>
            <family val="2"/>
          </rPr>
          <t xml:space="preserve"> deben declarar los inmuebles por el mayor valor entre el costo de adquisición, el costo fiscal, el autoavalúo o el avalúo catastral actualizado al final del ejercicio, sin perjuicio de lo dispuesto en los artículos 72 y 73 de este Estatuto. Las construcciones o mejoras no incorporadas para efectos del avalúo o el costo fiscal del respectivo inmueble deben ser declaradas por separado
</t>
        </r>
        <r>
          <rPr>
            <sz val="8"/>
            <color indexed="81"/>
            <rFont val="Tahoma"/>
            <family val="2"/>
          </rPr>
          <t xml:space="preserve">
</t>
        </r>
      </text>
    </comment>
    <comment ref="E59" authorId="0" shapeId="0">
      <text>
        <r>
          <rPr>
            <b/>
            <sz val="8"/>
            <color indexed="81"/>
            <rFont val="Tahoma"/>
            <family val="2"/>
          </rPr>
          <t xml:space="preserve">ARTÍCULO 277. Modificado. Ley 1111/2006, Art. 20. Valor patrimonial de los inmuebles. Los contribuyentes obligados a llevar libros de contabilidad deben declarar los inmuebles por el costo fiscal, determinado de acuerdo con lo dispuesto en los Capítulos I y III del Título II del Libro I de este Estatuto y en el artículo 65 de la Ley 75 de 1986.
</t>
        </r>
        <r>
          <rPr>
            <b/>
            <u/>
            <sz val="12"/>
            <color indexed="81"/>
            <rFont val="Tahoma"/>
            <family val="2"/>
          </rPr>
          <t>Los contribuyentes no obligados a llevar libros de contabilidad</t>
        </r>
        <r>
          <rPr>
            <b/>
            <sz val="8"/>
            <color indexed="81"/>
            <rFont val="Tahoma"/>
            <family val="2"/>
          </rPr>
          <t xml:space="preserve"> deben declarar los inmuebles por el mayor valor entre el costo de adquisición, el costo fiscal, el autoavalúo o el avalúo catastral actualizado al final del ejercicio, sin perjuicio de lo dispuesto en los artículos 72 y 73 de este Estatuto. Las construcciones o mejoras no incorporadas para efectos del avalúo o el costo fiscal del respectivo inmueble deben ser declaradas por separado
</t>
        </r>
        <r>
          <rPr>
            <sz val="8"/>
            <color indexed="81"/>
            <rFont val="Tahoma"/>
            <family val="2"/>
          </rPr>
          <t xml:space="preserve">
</t>
        </r>
      </text>
    </comment>
    <comment ref="B126" authorId="0" shapeId="0">
      <text>
        <r>
          <rPr>
            <b/>
            <sz val="8"/>
            <color indexed="81"/>
            <rFont val="Tahoma"/>
            <family val="2"/>
          </rPr>
          <t xml:space="preserve">ARTÍCULO 283. Requisitos para su aceptación. Para que proceda el reconocimiento de las deudas, el contribuyente está obligado:
1. A conservar los documentos correspondientes a la cancelación de la deuda, por el término señalado en el artículo 632.
PARÁGRAFO. </t>
        </r>
        <r>
          <rPr>
            <b/>
            <u/>
            <sz val="8"/>
            <color indexed="81"/>
            <rFont val="Tahoma"/>
            <family val="2"/>
          </rPr>
          <t>Los contribuyentes que no estén obligados a llevar libros de contabilidad, sólo podrán solicitar los pasivos que estén debidamente respaldados por documentos de fecha cierta. En los demás casos, los pasivos deben estar respaldados por documentos idóneos y con el lleno de todas las formalidades exigidas para la contabilidad.</t>
        </r>
        <r>
          <rPr>
            <b/>
            <sz val="8"/>
            <color indexed="81"/>
            <rFont val="Tahoma"/>
            <family val="2"/>
          </rPr>
          <t xml:space="preserve">
</t>
        </r>
        <r>
          <rPr>
            <sz val="8"/>
            <color indexed="81"/>
            <rFont val="Tahoma"/>
            <family val="2"/>
          </rPr>
          <t xml:space="preserve">
ARTÍCULO 770. Prueba de pasivos. Los contribuyentes que no estén obligados a llevar libros de contabilidad, sólo podrán solicitar pasivos que estén debidamente respaldados por documentos de fecha cierta. En los demás casos, los pasivos deben estar respaldados por documentos idóneos y con el lleno de todas las formalidades exigidas para la contabilidad.
ARTÍCULO 767. Fecha cierta de los documentos privados. Un documento privado, cualquiera que sea su naturaleza, tiene fecha cierta o auténtica, desde cuando ha sido registrado o presentado ante un notario, juez o autoridad administrativa, siempre que lleve la constancia y fecha de tal registro o presentación.
</t>
        </r>
      </text>
    </comment>
    <comment ref="D135" authorId="0" shapeId="0">
      <text>
        <r>
          <rPr>
            <b/>
            <sz val="8"/>
            <color indexed="81"/>
            <rFont val="Tahoma"/>
            <family val="2"/>
          </rPr>
          <t xml:space="preserve">ARTÍCULO 236. Renta por comparación patrimonial. Cuando la suma de la renta gravable, las rentas exentas y la ganancia ocasional neta resultare inferior a la diferencia entre el patrimonio líquido del último período gravable y el patrimonio líquido del período inmediatamente anterior, dicha diferencia se considera renta gravable, a menos que el contribuyente demuestre que el aumento patrimonial obedece a causas justificativas.
ARTÍCULO 237. Ajustes para el cálculo. Para efectos de la determinación de la renta por comparación de patrimonios, a la renta gravable se adicionará el valor de la ganancia ocasional neta y las rentas exentas.
De esta suma, se sustrae el valor de los impuestos de renta y complementarios pagados durante el año gravable.
En lo concerniente al patrimonio se harán previamente los ajustes por valorizaciones y desvalorizaciones nominales.
</t>
        </r>
      </text>
    </comment>
  </commentList>
</comments>
</file>

<file path=xl/comments6.xml><?xml version="1.0" encoding="utf-8"?>
<comments xmlns="http://schemas.openxmlformats.org/spreadsheetml/2006/main">
  <authors>
    <author>Administrador</author>
  </authors>
  <commentList>
    <comment ref="A2" authorId="0" shapeId="0">
      <text>
        <r>
          <rPr>
            <b/>
            <sz val="14"/>
            <color indexed="81"/>
            <rFont val="Tahoma"/>
            <family val="2"/>
          </rPr>
          <t>SALMO 104-3
Que establece sus aposentos entre las aguas,
El que pone las nubes por su carroza,
El que anda sobre las alas del viento;</t>
        </r>
        <r>
          <rPr>
            <b/>
            <sz val="9"/>
            <color indexed="81"/>
            <rFont val="Tahoma"/>
            <family val="2"/>
          </rPr>
          <t xml:space="preserve">
</t>
        </r>
      </text>
    </comment>
    <comment ref="F4" authorId="0" shapeId="0">
      <text>
        <r>
          <rPr>
            <b/>
            <sz val="9"/>
            <color indexed="81"/>
            <rFont val="Tahoma"/>
            <family val="2"/>
          </rPr>
          <t>ISAIS 41
10 No temas, porque yo estoy contigo; no desmayes, porque yo soy tu Dios que te esfuerzo; siempre te ayudaré, siempre te sustentaré con la diestra de mi justicia.</t>
        </r>
        <r>
          <rPr>
            <sz val="9"/>
            <color indexed="81"/>
            <rFont val="Tahoma"/>
            <family val="2"/>
          </rPr>
          <t xml:space="preserve">
</t>
        </r>
      </text>
    </comment>
  </commentList>
</comments>
</file>

<file path=xl/comments7.xml><?xml version="1.0" encoding="utf-8"?>
<comments xmlns="http://schemas.openxmlformats.org/spreadsheetml/2006/main">
  <authors>
    <author>USS</author>
    <author>Equipo</author>
    <author>USER</author>
    <author>Usuario</author>
    <author>Administrador</author>
    <author>Colossus User</author>
    <author>YOIBER OJEDA</author>
  </authors>
  <commentList>
    <comment ref="C5" authorId="0" shapeId="0">
      <text>
        <r>
          <rPr>
            <b/>
            <sz val="20"/>
            <color indexed="81"/>
            <rFont val="Tahoma"/>
            <family val="2"/>
          </rPr>
          <t>ESTA HERRAMIENTA ES PARA HONRA Y GLORIA DE NUESTRO SEÑOR JESUS CRISTO</t>
        </r>
        <r>
          <rPr>
            <sz val="8"/>
            <color indexed="81"/>
            <rFont val="Tahoma"/>
            <family val="2"/>
          </rPr>
          <t xml:space="preserve">
</t>
        </r>
      </text>
    </comment>
    <comment ref="C7" authorId="1" shapeId="0">
      <text>
        <r>
          <rPr>
            <b/>
            <sz val="9"/>
            <color indexed="81"/>
            <rFont val="Tahoma"/>
            <family val="2"/>
          </rPr>
          <t xml:space="preserve">JUAN
8:31 Dijo entonces Jesús a los judíos que habían creído en él: Si vosotros permaneciereis en mi palabra, seréis verdaderamente mis discípulos; 
8:32 y conoceréis la verdad, y la verdad os hará libres. </t>
        </r>
        <r>
          <rPr>
            <sz val="9"/>
            <color indexed="81"/>
            <rFont val="Tahoma"/>
            <family val="2"/>
          </rPr>
          <t xml:space="preserve">
</t>
        </r>
      </text>
    </comment>
    <comment ref="E9" authorId="0" shapeId="0">
      <text>
        <r>
          <rPr>
            <b/>
            <sz val="12"/>
            <color indexed="81"/>
            <rFont val="Tahoma"/>
            <family val="2"/>
          </rPr>
          <t>FORMATO
D/M/A</t>
        </r>
        <r>
          <rPr>
            <sz val="8"/>
            <color indexed="81"/>
            <rFont val="Tahoma"/>
            <family val="2"/>
          </rPr>
          <t xml:space="preserve">
</t>
        </r>
      </text>
    </comment>
    <comment ref="C10" authorId="0" shapeId="0">
      <text>
        <r>
          <rPr>
            <b/>
            <sz val="16"/>
            <color indexed="81"/>
            <rFont val="Tahoma"/>
            <family val="2"/>
          </rPr>
          <t>DIGITE LA FECHA DE VENCIMIENTO
FORMATO
D/M/A</t>
        </r>
        <r>
          <rPr>
            <sz val="16"/>
            <color indexed="81"/>
            <rFont val="Tahoma"/>
            <family val="2"/>
          </rPr>
          <t xml:space="preserve">
</t>
        </r>
      </text>
    </comment>
    <comment ref="E13" authorId="0" shapeId="0">
      <text>
        <r>
          <rPr>
            <b/>
            <sz val="12"/>
            <color indexed="81"/>
            <rFont val="Tahoma"/>
            <family val="2"/>
          </rPr>
          <t>FORMATO
D/M/A</t>
        </r>
        <r>
          <rPr>
            <sz val="8"/>
            <color indexed="81"/>
            <rFont val="Tahoma"/>
            <family val="2"/>
          </rPr>
          <t xml:space="preserve">
</t>
        </r>
      </text>
    </comment>
    <comment ref="C14" authorId="2" shapeId="0">
      <text>
        <r>
          <rPr>
            <b/>
            <sz val="14"/>
            <color indexed="81"/>
            <rFont val="Tahoma"/>
            <family val="2"/>
          </rPr>
          <t>SI EL SALDO ES A FAVOR REGISTRELO NEGATIVAMENTE</t>
        </r>
        <r>
          <rPr>
            <sz val="9"/>
            <color indexed="81"/>
            <rFont val="Tahoma"/>
            <family val="2"/>
          </rPr>
          <t xml:space="preserve">
</t>
        </r>
      </text>
    </comment>
    <comment ref="C16" authorId="0" shapeId="0">
      <text>
        <r>
          <rPr>
            <b/>
            <sz val="8"/>
            <color indexed="81"/>
            <rFont val="Tahoma"/>
            <family val="2"/>
          </rPr>
          <t>FORMATO
D/M/A</t>
        </r>
        <r>
          <rPr>
            <sz val="8"/>
            <color indexed="81"/>
            <rFont val="Tahoma"/>
            <family val="2"/>
          </rPr>
          <t xml:space="preserve">
</t>
        </r>
      </text>
    </comment>
    <comment ref="C19" authorId="0" shapeId="0">
      <text>
        <r>
          <rPr>
            <b/>
            <sz val="8"/>
            <color indexed="81"/>
            <rFont val="Tahoma"/>
            <family val="2"/>
          </rPr>
          <t>SI ES EL PRIMER AÑO, NO COLOCAR VALOR, DEL SEGUNDO AÑO EN ADELANTE ES OBLIGATORIO COLOCAR VALOR PARA QUE NO RESULTE ERROR EN LA FORMULA</t>
        </r>
        <r>
          <rPr>
            <sz val="8"/>
            <color indexed="81"/>
            <rFont val="Tahoma"/>
            <family val="2"/>
          </rPr>
          <t xml:space="preserve">
</t>
        </r>
      </text>
    </comment>
    <comment ref="E19" authorId="0" shapeId="0">
      <text>
        <r>
          <rPr>
            <b/>
            <sz val="8"/>
            <color indexed="81"/>
            <rFont val="Tahoma"/>
            <family val="2"/>
          </rPr>
          <t>SI ES EL PRIMER AÑO, NO COLOCAR VALOR, DEL SEGUNDO AÑO EN ADELANTE ES OBLIGATORIO COLOCAR VALOR PARA QUE NO RESULTE ERROR EN LA FORMULA</t>
        </r>
        <r>
          <rPr>
            <sz val="8"/>
            <color indexed="81"/>
            <rFont val="Tahoma"/>
            <family val="2"/>
          </rPr>
          <t xml:space="preserve">
</t>
        </r>
      </text>
    </comment>
    <comment ref="E21" authorId="0" shapeId="0">
      <text>
        <r>
          <rPr>
            <b/>
            <sz val="8"/>
            <color indexed="81"/>
            <rFont val="Tahoma"/>
            <family val="2"/>
          </rPr>
          <t>SI ES LA INICIAL ANOTE 1
SI ES LA SEGUNDA ANOTE 2
SI ES LA TERCERA O MAS ANOTE 3</t>
        </r>
      </text>
    </comment>
    <comment ref="B27" authorId="0" shapeId="0">
      <text>
        <r>
          <rPr>
            <b/>
            <sz val="16"/>
            <color indexed="81"/>
            <rFont val="Tahoma"/>
            <family val="2"/>
          </rPr>
          <t xml:space="preserve">MATEO
7:7 Pedid, y se os dará; buscad, y hallaréis; llamad, y se os abrirá.
7:8 Porque todo aquel que pide, recibe; y el que busca, halla; y al que llama, se le abrirá.
</t>
        </r>
        <r>
          <rPr>
            <sz val="16"/>
            <color indexed="81"/>
            <rFont val="Tahoma"/>
            <family val="2"/>
          </rPr>
          <t xml:space="preserve">
</t>
        </r>
      </text>
    </comment>
    <comment ref="B28" authorId="0" shapeId="0">
      <text>
        <r>
          <rPr>
            <b/>
            <sz val="8"/>
            <color indexed="81"/>
            <rFont val="Tahoma"/>
            <family val="2"/>
          </rPr>
          <t xml:space="preserve">ARTÍCULO 103 E.T. Rentas de trabajo. Se consideran rentas exclusivas de trabajo, las obtenidas por personas naturales por concepto de salarios, comisiones, prestaciones sociales, viáticos, gastos de representación, honorarios, emolumentos eclesiásticos, compensaciones recibidas por el trabajo asociado cooperativo y en general, las compensaciones por servicios personales.
PARÁGRAFO 1. Para que sean consideradas como rentas de trabajo las compensaciones recibidas por el trabajo asociado cooperativo, la precooperativa o cooperativa de trabajo asociado, deberá tener registrados sus regímenes de trabajo y compensaciones en el Ministerio de Trabajo y Seguridad Social y los trabajadores asociados de aquellas deberán estar vinculados a regímenes de seguridad social en salud y pensiones aceptados por la Ley, o tener el carácter de pensionados o con asignación de retiro de acuerdo con los regímenes especiales establecidos por la Ley. Igualmente deberán estar vinculados al sistema general de riesgos profesionales.
PARÁGRAFO 2. Las compensaciones recibidas por el trabajo asociado cooperativo están gravadas con el impuesto a la renta y complementarios en los mismos términos, condiciones y excepciones establecidos en el Estatuto Tributario para las rentas exentas de trabajo provenientes de la relación laboral asalariada.
</t>
        </r>
        <r>
          <rPr>
            <sz val="8"/>
            <color indexed="81"/>
            <rFont val="Tahoma"/>
            <family val="2"/>
          </rPr>
          <t xml:space="preserve">
</t>
        </r>
      </text>
    </comment>
    <comment ref="B30" authorId="0" shapeId="0">
      <text>
        <r>
          <rPr>
            <b/>
            <sz val="14"/>
            <color indexed="81"/>
            <rFont val="Tahoma"/>
            <family val="2"/>
          </rPr>
          <t>PRESTACIONES LEGALES</t>
        </r>
        <r>
          <rPr>
            <sz val="14"/>
            <color indexed="81"/>
            <rFont val="Tahoma"/>
            <family val="2"/>
          </rPr>
          <t xml:space="preserve">
   PRIMAS DE SERVICIOS
   VACACIONES
   PRIMA DE NAVIDAD</t>
        </r>
        <r>
          <rPr>
            <sz val="8"/>
            <color indexed="81"/>
            <rFont val="Tahoma"/>
            <family val="2"/>
          </rPr>
          <t xml:space="preserve">
</t>
        </r>
        <r>
          <rPr>
            <b/>
            <sz val="14"/>
            <color indexed="81"/>
            <rFont val="Tahoma"/>
            <family val="2"/>
          </rPr>
          <t xml:space="preserve">PRESTACIONES CONVENCION COLECTIVA
   </t>
        </r>
        <r>
          <rPr>
            <sz val="14"/>
            <color indexed="81"/>
            <rFont val="Tahoma"/>
            <family val="2"/>
          </rPr>
          <t>PRIMA CONVENCIONAL
   PRIMA DE VACACIONES</t>
        </r>
      </text>
    </comment>
    <comment ref="B34" authorId="0" shapeId="0">
      <text>
        <r>
          <rPr>
            <sz val="8"/>
            <color indexed="81"/>
            <rFont val="Tahoma"/>
            <family val="2"/>
          </rPr>
          <t xml:space="preserve">Responda:
</t>
        </r>
        <r>
          <rPr>
            <b/>
            <sz val="10"/>
            <color indexed="81"/>
            <rFont val="Tahoma"/>
            <family val="2"/>
          </rPr>
          <t>S</t>
        </r>
        <r>
          <rPr>
            <sz val="8"/>
            <color indexed="81"/>
            <rFont val="Tahoma"/>
            <family val="2"/>
          </rPr>
          <t xml:space="preserve"> si es Magistrado y Fiscales, Juez de la Republica 
O Rector y Profesores de Universidad Publica.
</t>
        </r>
        <r>
          <rPr>
            <b/>
            <sz val="10"/>
            <color indexed="81"/>
            <rFont val="Tahoma"/>
            <family val="2"/>
          </rPr>
          <t>N</t>
        </r>
        <r>
          <rPr>
            <sz val="8"/>
            <color indexed="81"/>
            <rFont val="Tahoma"/>
            <family val="2"/>
          </rPr>
          <t xml:space="preserve"> si no es Magistrado y Fiscales, Juez de la Republica 
O Rector y Profesores de Universidad Publica.
</t>
        </r>
      </text>
    </comment>
    <comment ref="B37" authorId="3" shapeId="0">
      <text>
        <r>
          <rPr>
            <b/>
            <sz val="8"/>
            <color indexed="81"/>
            <rFont val="Tahoma"/>
            <family val="2"/>
          </rPr>
          <t>Usuario:</t>
        </r>
        <r>
          <rPr>
            <sz val="8"/>
            <color indexed="81"/>
            <rFont val="Tahoma"/>
            <family val="2"/>
          </rPr>
          <t xml:space="preserve">
para oficiales y suboficiales FFMM y de la POLINAL y los agentes de esta ultima</t>
        </r>
      </text>
    </comment>
    <comment ref="E42" authorId="0" shapeId="0">
      <text>
        <r>
          <rPr>
            <b/>
            <sz val="8"/>
            <color indexed="81"/>
            <rFont val="Tahoma"/>
            <family val="2"/>
          </rPr>
          <t xml:space="preserve">PARA DETERMINAR LA PARTE EXENTA DE ESTE CONCEPTO SE DEBE REGISTRAR UN VALOR EN LA CELDA C24 DE ESTE APLICATIVO DE LO CONTRARIO SE TOMARA TODO EXENTO
ARTÍCULO 207-1. Exención de cesantías pagadas por fondos de cesantías. Cuando el fondo pague las cesantías, éstas serán exentas de acuerdo con lo previsto en el numeral 4 del artículo 206.
</t>
        </r>
        <r>
          <rPr>
            <sz val="8"/>
            <color indexed="81"/>
            <rFont val="Tahoma"/>
            <family val="2"/>
          </rPr>
          <t xml:space="preserve">
</t>
        </r>
      </text>
    </comment>
    <comment ref="B49" authorId="4" shapeId="0">
      <text>
        <r>
          <rPr>
            <b/>
            <sz val="9"/>
            <color indexed="81"/>
            <rFont val="Tahoma"/>
            <family val="2"/>
          </rPr>
          <t xml:space="preserve">ART 206 E.T.
PARÁGRAFO 5o. 
 La exención prevista en el numeral 10 también procede en relación con los honorarios percibidos por personas naturales que presten servicios y que contraten o vinculen por un término inferior a noventa (90) días continuos o discontinuos menos de dos (2) trabajadores o contratistas asociados a la actividad.
ART 336 E.T.
INC 2
En estos mismos términos también se podrán restar los costos y los gastos asociados a rentas de trabajo provenientes de honorarios o compensaciones por servicios personales, en desarrollo de una actividad profesional independiente. Los contribuyentes a los que les resulte aplicable el parágrafo 5 del artículo 206 del Estatuto Tributario deberán optar entre restar los costos y gastos procedentes o la renta exenta prevista en el numeral 10 del mismo artículo.
</t>
        </r>
        <r>
          <rPr>
            <sz val="9"/>
            <color indexed="81"/>
            <rFont val="Tahoma"/>
            <family val="2"/>
          </rPr>
          <t xml:space="preserve">
</t>
        </r>
      </text>
    </comment>
    <comment ref="D59" authorId="5" shapeId="0">
      <text>
        <r>
          <rPr>
            <b/>
            <sz val="8"/>
            <color indexed="81"/>
            <rFont val="Tahoma"/>
            <family val="2"/>
          </rPr>
          <t>Colossus User:</t>
        </r>
        <r>
          <rPr>
            <sz val="8"/>
            <color indexed="81"/>
            <rFont val="Tahoma"/>
            <family val="2"/>
          </rPr>
          <t xml:space="preserve">
RESPONDA </t>
        </r>
        <r>
          <rPr>
            <b/>
            <sz val="8"/>
            <color indexed="81"/>
            <rFont val="Tahoma"/>
            <family val="2"/>
          </rPr>
          <t>S</t>
        </r>
        <r>
          <rPr>
            <sz val="8"/>
            <color indexed="81"/>
            <rFont val="Tahoma"/>
            <family val="2"/>
          </rPr>
          <t xml:space="preserve"> SI CONSTITUYE GANANCIA OCASIONAL
RESPONDA </t>
        </r>
        <r>
          <rPr>
            <b/>
            <sz val="8"/>
            <color indexed="81"/>
            <rFont val="Tahoma"/>
            <family val="2"/>
          </rPr>
          <t>N</t>
        </r>
        <r>
          <rPr>
            <sz val="8"/>
            <color indexed="81"/>
            <rFont val="Tahoma"/>
            <family val="2"/>
          </rPr>
          <t xml:space="preserve"> NO CONSTITUYE GANANCIA OCASIONAL</t>
        </r>
      </text>
    </comment>
    <comment ref="B65" authorId="4" shapeId="0">
      <text>
        <r>
          <rPr>
            <b/>
            <sz val="9"/>
            <color indexed="81"/>
            <rFont val="Tahoma"/>
            <family val="2"/>
          </rPr>
          <t>ARTICULO 307. GANANCIAS OCASIONALES EXENTAS. Las ganancias ocasionales que se enumeran a continuación están exentas del impuesto a las ganancias ocasionales:
1. El equivalente a las primeras siete mil setecientas (7.700) UVT del valor de un inmueble de vivienda urbana de propiedad del causante.</t>
        </r>
        <r>
          <rPr>
            <sz val="9"/>
            <color indexed="81"/>
            <rFont val="Tahoma"/>
            <family val="2"/>
          </rPr>
          <t xml:space="preserve">
</t>
        </r>
        <r>
          <rPr>
            <b/>
            <sz val="9"/>
            <color indexed="81"/>
            <rFont val="Tahoma"/>
            <family val="2"/>
          </rPr>
          <t xml:space="preserve">NOTA:
SI LOS HEREDEROS Y/O LEGATARIOS QUE RECIBAN VARIOS INMUEBLES DE VIIENDA URBANA DEBEN DETERMINAR CUAL ES EL QUE SE LE APLICA LA EXENCION, YA QUE LOS OTROS INMUEBLES SE LES APLICA:
 . EL NUMERAL 3 SI SON HEREDEROS
 . EL NUMERAL 4 SI SON LEGATARIOS </t>
        </r>
      </text>
    </comment>
    <comment ref="B67" authorId="4" shapeId="0">
      <text>
        <r>
          <rPr>
            <b/>
            <sz val="9"/>
            <color indexed="81"/>
            <rFont val="Tahoma"/>
            <family val="2"/>
          </rPr>
          <t xml:space="preserve">ARTICULO 307. GANANCIAS OCASIONALES EXENTAS. Las ganancias ocasionales que se enumeran a continuación están exentas del impuesto a las ganancias ocasionales:
2. El equivalente a las primeras siete mil setecientas (7.700) UVT de un inmueble rural de propiedad del causante, independientemente de que dicho inmueble haya estado destinado a vivienda o a explotación económica. Esta exención no es aplicable a las casas, quintas o fincas de recreo.
NOTA:
SI LOS HEREDEROS Y/O LEGATARIOS QUE RECIBAN VARIOS INMUEBLES RURALES DEBEN DETERMINAR CUAL ES EL QUE SE LE APLICA LA EXENCION, YA QUE LOS OTROS INMUEBLES SE LES APLICA:
 . EL NUMERAL 3 SI SON HEREDEROS
 . EL NUMERAL 4 SI SON LEGATARIOS </t>
        </r>
        <r>
          <rPr>
            <sz val="9"/>
            <color indexed="81"/>
            <rFont val="Tahoma"/>
            <family val="2"/>
          </rPr>
          <t xml:space="preserve">
</t>
        </r>
      </text>
    </comment>
    <comment ref="B70" authorId="0" shapeId="0">
      <text>
        <r>
          <rPr>
            <b/>
            <sz val="8"/>
            <color indexed="81"/>
            <rFont val="Tahoma"/>
            <family val="2"/>
          </rPr>
          <t xml:space="preserve">Parágrafo 2 del artículo 67 de la ley 388 de 1997:
Artículo 67º.- Indemnización y forma de pago
Parágrafo 2º.- El ingreso obtenido por la enajenación de inmuebles a los cuales se refiere el presente Capítulo no constituye, para fines tributarios, renta gravable ni ganancia ocasional, siempre y cuando la negociación se realice por la vía de la enajenación voluntaria.
En el concepto # 070056 de 18 agosto de 2006, emitido por la división jurídica de la DIAN, ratifica lo anterior al establecer la vigencia del parágrafo 2 del artículo 67 de la ley 388 de 1997.
</t>
        </r>
        <r>
          <rPr>
            <sz val="8"/>
            <color indexed="81"/>
            <rFont val="Tahoma"/>
            <family val="2"/>
          </rPr>
          <t xml:space="preserve">
</t>
        </r>
      </text>
    </comment>
    <comment ref="E77" authorId="2" shapeId="0">
      <text>
        <r>
          <rPr>
            <b/>
            <sz val="9"/>
            <color indexed="81"/>
            <rFont val="Tahoma"/>
            <family val="2"/>
          </rPr>
          <t>PARA DETERMINAR LA PARTE EXENTA DE ESTE CONCEPTO DEBE REGISTRAR UN VALOR EN LA CELDA C24 DE ESTE APLICATIVO DE LO CONTRARIO SE TOMARA TODO EXENTO</t>
        </r>
      </text>
    </comment>
    <comment ref="D78" authorId="0" shapeId="0">
      <text>
        <r>
          <rPr>
            <b/>
            <sz val="14"/>
            <color indexed="81"/>
            <rFont val="Tahoma"/>
            <family val="2"/>
          </rPr>
          <t>RESPONDA
PERMANECIO POR MAS DE 10 AÑOS EN EL FONDO</t>
        </r>
        <r>
          <rPr>
            <sz val="14"/>
            <color indexed="81"/>
            <rFont val="Tahoma"/>
            <family val="2"/>
          </rPr>
          <t xml:space="preserve">
</t>
        </r>
      </text>
    </comment>
    <comment ref="D102" authorId="0" shapeId="0">
      <text>
        <r>
          <rPr>
            <b/>
            <sz val="9"/>
            <color indexed="81"/>
            <rFont val="Tahoma"/>
            <family val="2"/>
          </rPr>
          <t>Art. 2 Decreto 3032 de 2013</t>
        </r>
        <r>
          <rPr>
            <b/>
            <sz val="7"/>
            <color indexed="81"/>
            <rFont val="Tahoma"/>
            <family val="2"/>
          </rPr>
          <t xml:space="preserve">
Parágrafo 1.  Para establecer el  monto del Ochenta  por ciento  80%  a que se  refieren  los numerales  precedentes,  deben  computarse  y  sumarse  tanto  los  ingresos  provenientes de  la  relación  laboral  o  legal  y reglamentaria,  los  ingresos provenientes del  ejercicio  de profesiones  liberales  como  también  los  provenientes  de  la  prestación  de  servicios técnicos,  en  el  evento en  que se  perciban por un  mismo contribuyente.
Artículo 4°. Ingresos a considerar para la clasificación. Para efectos de calcular los límites porcentuales establecidos en el artículo 329 del Estatuto Tributario y efectuar la clasificación en las categorías de contribuyentes a las que se refiere el presente decreto, no se tendrán en cuenta las rentas sometidas al régimen del impuesto complementario de ganancias ocasionales, ni las provenientes de enajenación de activos fijos poseídos por menos de dos (2) años.
Tampoco se tendrán en cuenta para establecer los límites de dichos montos los retiros parciales o totales de los aportes voluntarios a Fondos de Pensiones y de ahorros en las cuentas para el fomento de la construcción “AFC”, siempre y cuando correspondan a ingresos que se hayan percibido y destinado en un periodo o periodos fiscales distintos al periodo fiscal en el cual se efectúa el retiro del Fondo o cuenta, según corresponda.
Parágrafo 1°. De conformidad con lo previsto en el artículo 329 del Estatuto Tributario, los ingresos provenientes de pensiones de jubilación, invalidez, vejez, de sobrevivientes y sobre riesgos laborales, no se incluyen en la determinación de la renta gravable alternativa del IMAN y el IMAS, y se tendrán en cuenta, únicamente, para efectos de calcular los límites porcentuales establecidos en dicho artículo.
Parágrafo 2°. A los ingresos de que trata el parágrafo anterior, provenientes de pensiones de jubilación, invalidez, vejez, de sobrevivientes y sobre riesgos laborales, seguirán sujetas al régimen ordinario de determinación del impuesto sobre la renta y complementarios, previsto en el numeral 5 del artículo 206 del Estatuto Tributario.</t>
        </r>
      </text>
    </comment>
    <comment ref="D103" authorId="0" shapeId="0">
      <text>
        <r>
          <rPr>
            <b/>
            <sz val="8"/>
            <color indexed="81"/>
            <rFont val="Tahoma"/>
            <family val="2"/>
          </rPr>
          <t>E79 LO DIVIDIMOS ENTRE
(E33+E72+E42-SUMA(E46:E54)-SUMA(E58:E62)</t>
        </r>
      </text>
    </comment>
    <comment ref="D106" authorId="0" shapeId="0">
      <text>
        <r>
          <rPr>
            <b/>
            <sz val="9"/>
            <color indexed="81"/>
            <rFont val="Tahoma"/>
            <family val="2"/>
          </rPr>
          <t>Art. 2 Decreto 3032 de 2013</t>
        </r>
        <r>
          <rPr>
            <b/>
            <sz val="7"/>
            <color indexed="81"/>
            <rFont val="Tahoma"/>
            <family val="2"/>
          </rPr>
          <t xml:space="preserve">
Parágrafo 1.  Para establecer el  monto del Ochenta  por ciento  80%  a que se  refieren  los numerales  precedentes,  deben  computarse  y  sumarse  tanto  los  ingresos  provenientes de  la  relación  laboral  o  legal  y reglamentaria,  los  ingresos provenientes del  ejercicio  de profesiones  liberales  como  también  los  provenientes  de  la  prestación  de  servicios técnicos,  en  el  evento en  que se  perciban por un  mismo contribuyente.
Artículo 4°. Ingresos a considerar para la clasificación. Para efectos de calcular los límites porcentuales establecidos en el artículo 329 del Estatuto Tributario y efectuar la clasificación en las categorías de contribuyentes a las que se refiere el presente decreto, no se tendrán en cuenta las rentas sometidas al régimen del impuesto complementario de ganancias ocasionales, ni las provenientes de enajenación de activos fijos poseídos por menos de dos (2) años.
Tampoco se tendrán en cuenta para establecer los límites de dichos montos los retiros parciales o totales de los aportes voluntarios a Fondos de Pensiones y de ahorros en las cuentas para el fomento de la construcción “AFC”, siempre y cuando correspondan a ingresos que se hayan percibido y destinado en un periodo o periodos fiscales distintos al periodo fiscal en el cual se efectúa el retiro del Fondo o cuenta, según corresponda.
Parágrafo 1°. De conformidad con lo previsto en el artículo 329 del Estatuto Tributario, los ingresos provenientes de pensiones de jubilación, invalidez, vejez, de sobrevivientes y sobre riesgos laborales, no se incluyen en la determinación de la renta gravable alternativa del IMAN y el IMAS, y se tendrán en cuenta, únicamente, para efectos de calcular los límites porcentuales establecidos en dicho artículo.
Parágrafo 2°. A los ingresos de que trata el parágrafo anterior, provenientes de pensiones de jubilación, invalidez, vejez, de sobrevivientes y sobre riesgos laborales, seguirán sujetas al régimen ordinario de determinación del impuesto sobre la renta y complementarios, previsto en el numeral 5 del artículo 206 del Estatuto Tributario.</t>
        </r>
      </text>
    </comment>
    <comment ref="D108" authorId="0" shapeId="0">
      <text>
        <r>
          <rPr>
            <b/>
            <sz val="8"/>
            <color indexed="81"/>
            <rFont val="Tahoma"/>
            <family val="2"/>
          </rPr>
          <t>E79 LO DIVIDIMOS ENTRE
(E33+E72+E42-SUMA(E46:E54)-SUMA(E58:E62)</t>
        </r>
      </text>
    </comment>
    <comment ref="D114" authorId="5" shapeId="0">
      <text>
        <r>
          <rPr>
            <sz val="8"/>
            <color indexed="81"/>
            <rFont val="Tahoma"/>
            <family val="2"/>
          </rPr>
          <t>RESPONDA S PARA DECIR SI
RESPONDA N PARA DECIR NO</t>
        </r>
      </text>
    </comment>
    <comment ref="B115" authorId="4" shapeId="0">
      <text>
        <r>
          <rPr>
            <b/>
            <sz val="9"/>
            <color indexed="81"/>
            <rFont val="Tahoma"/>
            <family val="2"/>
          </rPr>
          <t>SE DEBE DISCRIMINAR EL APORTE OBLIGATORIO EN SALUD DEPENDIENDO DE LA RENTA</t>
        </r>
        <r>
          <rPr>
            <sz val="9"/>
            <color indexed="81"/>
            <rFont val="Tahoma"/>
            <family val="2"/>
          </rPr>
          <t xml:space="preserve">
</t>
        </r>
      </text>
    </comment>
    <comment ref="B118" authorId="4" shapeId="0">
      <text>
        <r>
          <rPr>
            <b/>
            <sz val="9"/>
            <color indexed="81"/>
            <rFont val="Tahoma"/>
            <family val="2"/>
          </rPr>
          <t>SE DEBE DISCRIMINAR EL APORTE OBLIGATORIO EN PENSION DEPENDIENDO DE LA RENTA</t>
        </r>
        <r>
          <rPr>
            <sz val="9"/>
            <color indexed="81"/>
            <rFont val="Tahoma"/>
            <family val="2"/>
          </rPr>
          <t xml:space="preserve">
</t>
        </r>
      </text>
    </comment>
    <comment ref="B121" authorId="0" shapeId="0">
      <text>
        <r>
          <rPr>
            <b/>
            <sz val="8"/>
            <color indexed="81"/>
            <rFont val="Tahoma"/>
            <family val="2"/>
          </rPr>
          <t xml:space="preserve">ARTÍCULO 57-1. Adicionado. Ley 1111/2006, Art. 58. Ingresos no constitutivos de renta o ganancia ocasional. Son ingresos no constitutivos de renta o ganancia ocasional los subsidios y ayudas otorgadas por el Gobierno Nacional en el programa Agro Ingreso Seguro (AIS) y los provenientes del incentivo al almacenamiento y el incentivo a la capitalización rural previstos en la Ley 101 de 1993 y las normas que lo modifican o adicionan.
</t>
        </r>
        <r>
          <rPr>
            <sz val="8"/>
            <color indexed="81"/>
            <rFont val="Tahoma"/>
            <family val="2"/>
          </rPr>
          <t xml:space="preserve">
</t>
        </r>
      </text>
    </comment>
    <comment ref="B123" authorId="0" shapeId="0">
      <text>
        <r>
          <rPr>
            <b/>
            <sz val="8"/>
            <color indexed="81"/>
            <rFont val="Tahoma"/>
            <family val="2"/>
          </rPr>
          <t xml:space="preserve">ARTÍCULO 47-1. Adicionado. Ley 223/1995, Art. 248. Donaciones para partidos, movimientos y campañas políticas. Las sumas que las personas naturales reciban de terceros, sean éstos personas naturales o jurídicas, destinadas en forma exclusiva a financiar el funcionamiento de partidos, movimientos políticos y grupos sociales que postulen candidatos y las que con el mismo fin reciban los candidatos cabezas de listas para la financiación de las campañas políticas para las elecciones populares previstas en la Constitución Nacional, no constituyen renta ni ganancia ocasional para el beneficiario si se demuestra que han sido utilizadas en estas actividades.
</t>
        </r>
        <r>
          <rPr>
            <sz val="8"/>
            <color indexed="81"/>
            <rFont val="Tahoma"/>
            <family val="2"/>
          </rPr>
          <t xml:space="preserve">
</t>
        </r>
      </text>
    </comment>
    <comment ref="B124" authorId="0" shapeId="0">
      <text>
        <r>
          <rPr>
            <b/>
            <sz val="8"/>
            <color indexed="81"/>
            <rFont val="Tahoma"/>
            <family val="2"/>
          </rPr>
          <t xml:space="preserve">ARTÍCULO 47. Los gananciales. No constituye ganancia ocasional lo que se recibiere por concepto de gananciales, pero sí lo percibido como porción conyugal.
</t>
        </r>
        <r>
          <rPr>
            <sz val="8"/>
            <color indexed="81"/>
            <rFont val="Tahoma"/>
            <family val="2"/>
          </rPr>
          <t xml:space="preserve">
</t>
        </r>
      </text>
    </comment>
    <comment ref="D125" authorId="2" shapeId="0">
      <text>
        <r>
          <rPr>
            <b/>
            <sz val="9"/>
            <color indexed="81"/>
            <rFont val="Tahoma"/>
            <family val="2"/>
          </rPr>
          <t>RESPONDA:
"S" SI CUMPLIO CON EL ART 45 E.T.</t>
        </r>
        <r>
          <rPr>
            <sz val="9"/>
            <color indexed="81"/>
            <rFont val="Tahoma"/>
            <family val="2"/>
          </rPr>
          <t xml:space="preserve">
"N" NO CUMPLIO CON EL ART 45 E.T.</t>
        </r>
      </text>
    </comment>
    <comment ref="B127" authorId="0" shapeId="0">
      <text>
        <r>
          <rPr>
            <b/>
            <sz val="8"/>
            <color indexed="81"/>
            <rFont val="Tahoma"/>
            <family val="2"/>
          </rPr>
          <t xml:space="preserve">ARTÍCULO 38. El componente inflacionario de los rendimientos financieros percibidos por personas naturales y sucesiones ilíquidas. No constituye renta ni ganancia ocasional la parte que corresponda al componente inflacionario de los rendimientos financieros percibidos por personas naturales y sucesiones ilíquidas, que provengan de:
a. Entidades que estando sometidas a inspección y vigilancia de la Superintendencia Bancaria (Hoy Superintendencia Financiera de Colombia. Decreto 4327/2005, Art. 1) tengan por objeto propio intermediar en el mercado de recursos financieros
Inciso. Adicionado Ley 223/1995, Art. 262. Entidades vigiladas por el Departamento Administrativo Nacional de Cooperativas (Hoy Superintendencia de la Economía Solidaria. Ley 454/1998, Art. 33);
b. Títulos de deuda pública, y
c. Bonos y papeles comerciales de sociedades anónimas cuya emisión u oferta haya sido autorizada por la Comisión Nacional de Valores (Hoy Superintendencia Financiera de Colombia. Decreto 4327/2005, Art. 1).
</t>
        </r>
      </text>
    </comment>
    <comment ref="E127" authorId="4" shapeId="0">
      <text>
        <r>
          <rPr>
            <b/>
            <sz val="9"/>
            <color indexed="81"/>
            <rFont val="Tahoma"/>
            <family val="2"/>
          </rPr>
          <t xml:space="preserve">DECRETO 569 DE 2018 MINHACIENDA
ARTíCULO 20. Sustituir el artículo 1.2.1.12.7. del Libro 1 Parte 2 Título 1 Capítulo 12 del
Decreto 1625 de 2016, Único Reglamentario en Materia Tributaria, así:
"Artículo. 1.2.1.12.7. Componente inflacionario de los rendimientos financieros que distribuyan los fondos de inversión, mutuos de inversión y de valores. Para el año gravable 2017, las utilidades que los fondos mutuos de inversión, fondos de inversión y fondos de valores distribuyan o abonen en cuenta a sus afiliados, personas naturales y sucesiones ilíquidas, </t>
        </r>
        <r>
          <rPr>
            <b/>
            <u/>
            <sz val="12"/>
            <color indexed="81"/>
            <rFont val="Tahoma"/>
            <family val="2"/>
          </rPr>
          <t>no obligadas a llevar contabilidad</t>
        </r>
        <r>
          <rPr>
            <b/>
            <sz val="9"/>
            <color indexed="81"/>
            <rFont val="Tahoma"/>
            <family val="2"/>
          </rPr>
          <t xml:space="preserve">, no constituye renta ni ganancia ocasional el sesenta y cuatro punto veintiuno por ciento (64.21 %), del valor de los rendimientos financieros recibidos por el fondo, correspondiente al componente inflacionario, de acuerdo con lo dispuesto en los artículos 39, 40-1 Y 41 del Estatuto Tributario."
</t>
        </r>
        <r>
          <rPr>
            <b/>
            <sz val="12"/>
            <color indexed="81"/>
            <rFont val="Tahoma"/>
            <family val="2"/>
          </rPr>
          <t xml:space="preserve">
SE DEBE CONTESTAR LA CASILLA E5 </t>
        </r>
      </text>
    </comment>
    <comment ref="B135" authorId="0" shapeId="0">
      <text>
        <r>
          <rPr>
            <sz val="8"/>
            <color indexed="81"/>
            <rFont val="Tahoma"/>
            <family val="2"/>
          </rPr>
          <t xml:space="preserve">ARTÍCULO 62. Sistema para establecer el costo de los activos movibles enajenados. El costo de la enajenación de los activos movibles debe establecerse con base en alguno de los siguientes sistemas:
1. El juego de inventarios.
</t>
        </r>
      </text>
    </comment>
    <comment ref="D135" authorId="2" shapeId="0">
      <text>
        <r>
          <rPr>
            <b/>
            <sz val="9"/>
            <color indexed="81"/>
            <rFont val="Tahoma"/>
            <family val="2"/>
          </rPr>
          <t>RESPONDER:
"S"
SISTEMA PERMANENTE
"N"
JUEGO DE INVENTARIO</t>
        </r>
        <r>
          <rPr>
            <sz val="9"/>
            <color indexed="81"/>
            <rFont val="Tahoma"/>
            <family val="2"/>
          </rPr>
          <t xml:space="preserve">
</t>
        </r>
      </text>
    </comment>
    <comment ref="B145" authorId="0" shapeId="0">
      <text>
        <r>
          <rPr>
            <sz val="8"/>
            <color indexed="81"/>
            <rFont val="Tahoma"/>
            <family val="2"/>
          </rPr>
          <t xml:space="preserve">ARTÍCULO 62. Sistema para establecer el costo de los activos movibles enajenados. El costo de la enajenación de los activos movibles debe establecerse con base en alguno de los siguientes sistemas:
1. El juego de inventarios.
</t>
        </r>
      </text>
    </comment>
    <comment ref="B153" authorId="0" shapeId="0">
      <text>
        <r>
          <rPr>
            <sz val="8"/>
            <color indexed="81"/>
            <rFont val="Tahoma"/>
            <family val="2"/>
          </rPr>
          <t xml:space="preserve">ARTÍCULO 66. Determinación del costo de los bienes muebles. El costo de los bienes muebles que forman parte de las existencias se determina al elaborar los inventarios, con base en las siguientes normas:
4. El de los frutos o productos agrícolas: sumando al valor de los costos de siembra, los de cultivo, recolección y los efectuados para poner los productos en el lugar de su expendio, utilización o beneficio.
</t>
        </r>
      </text>
    </comment>
    <comment ref="B159" authorId="0" shapeId="0">
      <text>
        <r>
          <rPr>
            <b/>
            <sz val="8"/>
            <color indexed="81"/>
            <rFont val="Tahoma"/>
            <family val="2"/>
          </rPr>
          <t xml:space="preserve">ARTÍCULO 94. Costo del ganado vendido. El costo del ganado vendido está conformado por el de adquisición si el ganado enajenado se adquirió durante el año gravable o por el valor que figure en el inventario a 31 de diciembre del año inmediatamente anterior, si el ganado enajenado se adquirió en año diferente al de la venta. En este último caso el costo no puede ser inferior al del precio comercial del ganado en 31 de diciembre del año inmediatamente anterior, </t>
        </r>
        <r>
          <rPr>
            <b/>
            <u/>
            <sz val="8"/>
            <color indexed="81"/>
            <rFont val="Tahoma"/>
            <family val="2"/>
          </rPr>
          <t>que en el caso de ganado bovino se determina conforme a lo dispuesto en el artículo 276</t>
        </r>
      </text>
    </comment>
    <comment ref="D160" authorId="0" shapeId="0">
      <text>
        <r>
          <rPr>
            <b/>
            <sz val="8"/>
            <color indexed="81"/>
            <rFont val="Tahoma"/>
            <family val="2"/>
          </rPr>
          <t>ARTÍCULO 276. Valor de los semovientes. En el negocio de ganadería el valor de los semovientes es el del costo, el cual no podrá ser inferior al precio comercial en 31 de diciembre del respectivo ejercicio fiscal.
En el caso del ganado bovino, este último valor será determinado anualmente por el gobierno, por intermedio del Ministerio de Agricultura, teniendo en cuenta los precios de los mercados regionales.</t>
        </r>
      </text>
    </comment>
    <comment ref="C199" authorId="2" shapeId="0">
      <text>
        <r>
          <rPr>
            <b/>
            <sz val="9"/>
            <color indexed="81"/>
            <rFont val="Tahoma"/>
            <family val="2"/>
          </rPr>
          <t>DEBE REGISTRAR EL VALOR AQUÍ PARA DETERMINAR EL COMPONENTE INFLACIONARIO EN LA CASILLA D199</t>
        </r>
        <r>
          <rPr>
            <sz val="9"/>
            <color indexed="81"/>
            <rFont val="Tahoma"/>
            <family val="2"/>
          </rPr>
          <t xml:space="preserve">
</t>
        </r>
      </text>
    </comment>
    <comment ref="B208" authorId="0" shapeId="0">
      <text>
        <r>
          <rPr>
            <b/>
            <sz val="8"/>
            <color indexed="81"/>
            <rFont val="Tahoma"/>
            <family val="2"/>
          </rPr>
          <t xml:space="preserve">ARTÍCULO 115. Deducción de impuestos pagados. Es deducible el cien por ciento (100%) de los impuestos de industria y comercio, avisos y tableros y predial, que efectivamente se hayan pagado durante el año o período gravable siempre y cuando tengan relación de causalidad con la actividad económica del contribuyente. La deducción de que trata el presente artículo en ningún caso podrá tratarse simultáneamente como costo y gasto de la respectiva empresa.
</t>
        </r>
        <r>
          <rPr>
            <sz val="8"/>
            <color indexed="81"/>
            <rFont val="Tahoma"/>
            <family val="2"/>
          </rPr>
          <t xml:space="preserve">
</t>
        </r>
      </text>
    </comment>
    <comment ref="B215" authorId="0" shapeId="0">
      <text>
        <r>
          <rPr>
            <b/>
            <sz val="8"/>
            <color indexed="81"/>
            <rFont val="Tahoma"/>
            <family val="2"/>
          </rPr>
          <t>ART 332 E.T.
e. Los pagos catastróficos en salud efectivamente certificados, no cubiertos por el plan obligatorio de salud POS, de cualquier régimen, o por los planes complementarios y de medicina prepagada, siempre que superen el 30% del ingreso bruto del contribuyente en el respectivo año o período gravable. La deducción anual de los pagos está limitada al menor valor entre el 60% del ingreso bruto del contribuyente en el respectivo período o 2.300 UVT*.
Es deduccible Para las persona que calsifican como empleado, no aplica Para Depuracion Ordinaria</t>
        </r>
        <r>
          <rPr>
            <sz val="8"/>
            <color indexed="81"/>
            <rFont val="Tahoma"/>
            <family val="2"/>
          </rPr>
          <t xml:space="preserve">
</t>
        </r>
      </text>
    </comment>
    <comment ref="D218" authorId="0" shapeId="0">
      <text>
        <r>
          <rPr>
            <sz val="8"/>
            <color indexed="81"/>
            <rFont val="Tahoma"/>
            <family val="2"/>
          </rPr>
          <t xml:space="preserve">ART 3 DECRETO 728 DE 2022 No constituye  costo  ni  deducción  para  el  año  gravable 2021,  según  lo  señalado  en  los artículos 41,  81,  81-1  Y 118  del  Estatuto Tributario,  el  once  punto cero  cinco  por ciento (37,57%)  de  los  intereses y demás costos  y gastos financieros  en  que  hayan  incurrido durante  el  año  o  período  gravable  las  personas  naturales  y  sucesiones  ¡liquidas,  </t>
        </r>
        <r>
          <rPr>
            <b/>
            <u/>
            <sz val="16"/>
            <color indexed="81"/>
            <rFont val="Tahoma"/>
            <family val="2"/>
          </rPr>
          <t xml:space="preserve">no obligadas a llevar libros de contabilidad. 
</t>
        </r>
        <r>
          <rPr>
            <b/>
            <sz val="16"/>
            <color indexed="81"/>
            <rFont val="Tahoma"/>
            <family val="2"/>
          </rPr>
          <t>SE DEBE CONTESTAR LA PREGUNTA CASILLA E5</t>
        </r>
      </text>
    </comment>
    <comment ref="D219" authorId="0" shapeId="0">
      <text>
        <r>
          <rPr>
            <sz val="8"/>
            <color indexed="81"/>
            <rFont val="Tahoma"/>
            <family val="2"/>
          </rPr>
          <t xml:space="preserve">ART 3 DECRETO 0569 DE 2018
No constituye  costo  ni  deducción  para  el  año  gravable 2016,  según  lo  señalado  en  los artículos 41,  81,  81-1  Y 118  del  Estatuto Tributario,  el  once  punto cero  cinco  por ciento (10,54%)  de  los  intereses y demás costos  y gastos financieros  en  que  hayan  incurrido durante  el  año  o  período  gravable  las  personas  naturales  y  sucesiones  ¡liquidas,  </t>
        </r>
        <r>
          <rPr>
            <b/>
            <u/>
            <sz val="16"/>
            <color indexed="81"/>
            <rFont val="Tahoma"/>
            <family val="2"/>
          </rPr>
          <t xml:space="preserve">no obligadas a llevar libros de contabilidad. 
</t>
        </r>
        <r>
          <rPr>
            <b/>
            <sz val="16"/>
            <color indexed="81"/>
            <rFont val="Tahoma"/>
            <family val="2"/>
          </rPr>
          <t>SE DEBE CONTESTAR LA PREGUNTA CASILLA E5</t>
        </r>
      </text>
    </comment>
    <comment ref="B220" authorId="0" shapeId="0">
      <text>
        <r>
          <rPr>
            <b/>
            <sz val="8"/>
            <color indexed="81"/>
            <rFont val="Tahoma"/>
            <family val="2"/>
          </rPr>
          <t>ART 8 DECRETO 3750 DE 1986
La  deducción  prevista  en  el  artículo  anterior  en  el  caso  de  que  el crédito  haya  sido  otorgado  a  varias  personas,  se  aplicará  proporcionalmente  a cada  una  de  ellas.  Cuando  el  crédito  fuere  otorgado  a  ambos  cónyuges,  la deducción podrá ser solicitada en su totalidad en cabeza de uno de ellos siempre y cuando manifieste en su solicitud que el otro cónyuge no la ha solicitado. En el caso de los trabajadores que laboren para más de un patrono esta deducción sólo podrá ser solicitada ante uno de ellos.</t>
        </r>
        <r>
          <rPr>
            <sz val="8"/>
            <color indexed="81"/>
            <rFont val="Tahoma"/>
            <family val="2"/>
          </rPr>
          <t xml:space="preserve">
LIMITE DE 1,200 UVT SEGUN DECRETO 4711 DE 2005, ACTUALIZADO ART 51 DE LA LEY 1111 DE 2006</t>
        </r>
      </text>
    </comment>
    <comment ref="C222" authorId="0" shapeId="0">
      <text>
        <r>
          <rPr>
            <b/>
            <sz val="8"/>
            <color indexed="81"/>
            <rFont val="Tahoma"/>
            <family val="2"/>
          </rPr>
          <t>ART. 387 E.T.
El trabajador podrá disminuir de su base de retención lo dispuesto en el inciso anterior; los pagos por salud, siempre que el valor a disminuir mensualmente, en este último caso, no supere 16 UVT* mensuales; y una deducción mensual de hasta el 10% del total de los ingresos brutos provenientes de la relación laboral o legal y reglamentaria del respectivo mes por concepto de dependientes, hasta un máximo de 32 UVT* mensuales. Las deducciones establecidas en este artículo se tendrán en cuenta en la declaración ordinaria del Impuesto sobre la Renta.</t>
        </r>
        <r>
          <rPr>
            <sz val="8"/>
            <color indexed="81"/>
            <rFont val="Tahoma"/>
            <family val="2"/>
          </rPr>
          <t xml:space="preserve">
</t>
        </r>
      </text>
    </comment>
    <comment ref="E222" authorId="0" shapeId="0">
      <text>
        <r>
          <rPr>
            <sz val="14"/>
            <color indexed="81"/>
            <rFont val="Tahoma"/>
            <family val="2"/>
          </rPr>
          <t>RESPONDA:
S si Tiene Dependientes
N noTiene Dependientes</t>
        </r>
        <r>
          <rPr>
            <sz val="8"/>
            <color indexed="81"/>
            <rFont val="Tahoma"/>
            <family val="2"/>
          </rPr>
          <t xml:space="preserve">
</t>
        </r>
      </text>
    </comment>
    <comment ref="E255" authorId="0" shapeId="0">
      <text>
        <r>
          <rPr>
            <b/>
            <sz val="7"/>
            <color indexed="81"/>
            <rFont val="Tahoma"/>
            <family val="2"/>
          </rPr>
          <t>Este despacho mediante Concepto No. 017651 del 2000, señaló respecto del inciso 3 del artículo 126-1 del Estatuto Tributario lo siguiente: (…) 
La norma citada señala como ingreso no gravado el 30% del ingreso laboral o ingreso tributario según el caso, es de entender que se distingue cuando se trata de aportes voluntarios efectuados por asalariados y trabajadores independientes. Para      los asalariados constituye ingreso no gravado el 30% del ingreso laboral, decir, el cómputo se realiza sobre los ingresos derivados de un contrato laboral o de una relación legal o reglamentaria. Para los profesionales independientes el mencionado porcentaje se calcula sobre los ingresos tributarios del año.</t>
        </r>
        <r>
          <rPr>
            <b/>
            <sz val="8"/>
            <color indexed="81"/>
            <rFont val="Tahoma"/>
            <family val="2"/>
          </rPr>
          <t xml:space="preserve">
</t>
        </r>
        <r>
          <rPr>
            <sz val="8"/>
            <color indexed="81"/>
            <rFont val="Tahoma"/>
            <family val="2"/>
          </rPr>
          <t xml:space="preserve">
Así las cosas, no se pueden sumar los ingresos laborales e ingresos por otros conceptos como base para determinar el cálculo del 30% como ingreso no constitutivo de renta ni de ganancia ocasional cuando se realizan aportes voluntarios por asalariados a los fondos de pensiones de jubilación e invalidez, a los fondos de pensiones de que trata el D. 2513 de 1987, a los seguros privados de pensiones y a los fondos privados de pensiones en general. Se deben tomar, únicamente, los ingresos generados en la relación laboral.</t>
        </r>
      </text>
    </comment>
    <comment ref="B263" authorId="0" shapeId="0">
      <text>
        <r>
          <rPr>
            <b/>
            <sz val="8"/>
            <color indexed="81"/>
            <rFont val="Tahoma"/>
            <family val="2"/>
          </rPr>
          <t xml:space="preserve">ARTÍCULO 223. Indemnizaciones por seguros de vida. Las indemnizaciones por concepto de seguros de vida percibidos durante el año o período gravable, estarán exentas del impuesto de renta y ganancias ocasionales.
</t>
        </r>
        <r>
          <rPr>
            <sz val="8"/>
            <color indexed="81"/>
            <rFont val="Tahoma"/>
            <family val="2"/>
          </rPr>
          <t xml:space="preserve">
</t>
        </r>
      </text>
    </comment>
    <comment ref="B264" authorId="0" shapeId="0">
      <text>
        <r>
          <rPr>
            <b/>
            <sz val="8"/>
            <color indexed="81"/>
            <rFont val="Tahoma"/>
            <family val="2"/>
          </rPr>
          <t xml:space="preserve">ARTÍCULO 206. Rentas de trabajo exentas. Están gravados con el impuesto sobre la renta y complementarios la totalidad de los pagos o abonos en cuenta provenientes de la relación laboral o legal y reglamentaria, con excepción de los siguientes:
1. Las indemnizaciones por accidente de trabajo o enfermedad.
2. Las indemnizaciones que impliquen protección a la maternidad.
3. Lo recibido por gastos de entierro del trabajador.
</t>
        </r>
      </text>
    </comment>
    <comment ref="B268" authorId="0" shapeId="0">
      <text>
        <r>
          <rPr>
            <b/>
            <sz val="7"/>
            <color indexed="81"/>
            <rFont val="Tahoma"/>
            <family val="2"/>
          </rPr>
          <t>ARTÍCULO 206. Rentas de trabajo exentas. Están gravados con el impuesto sobre la renta y complementarios la totalidad de los pagos o abonos en cuenta provenientes de la relación laboral o legal y reglamentaria, con excepción de los siguientes:
4. El auxilio de cesantía y los intereses sobre cesantías, siempre y cuando sean recibidas por trabajadores cuyo ingreso mensual promedio en los seis (6) últimos meses de vinculación laboral no exceda de 350 UVT*. Cuando el salario mensual promedio a que se refiere este numeral exceda de 350 UVT*, la parte no gravada se determinará así:</t>
        </r>
        <r>
          <rPr>
            <b/>
            <sz val="8"/>
            <color indexed="81"/>
            <rFont val="Tahoma"/>
            <family val="2"/>
          </rPr>
          <t xml:space="preserve">
SALARIO MENSUAL PROMEDIO
 PARTE NO GRAVADA
Entre 350 UVT* y 410 UVT*
UVT 2019, entre $11.994.500 y $14.050.700  el 90%
Entre 410 UVT* y 470 UVT*
UVT 2019, etre $14.050.700 y $16.106.900  el 80%
Entre 470 UVT* y 530 UVT*
UVT 2019, entre $16.106.900 y $18.163.100 el 60%
Entre 530 UVT* y 590 UVT*
UVT 2019, entre $18.163.100 y $20.219.300 el 40%
Entre 590 UVT* y 650 UVT*
UVT 2019, entre $20.219.300 y $22.275.500 el 20%
De 650 UVT* en adelante
UVT 2019, de $22.275.500 en adelante el 0%
</t>
        </r>
      </text>
    </comment>
    <comment ref="B270" authorId="0" shapeId="0">
      <text>
        <r>
          <rPr>
            <b/>
            <sz val="8"/>
            <color indexed="81"/>
            <rFont val="Tahoma"/>
            <family val="2"/>
          </rPr>
          <t xml:space="preserve">ARTÍCULO 206. Rentas de trabajo exentas. Están gravados con el impuesto sobre la renta y complementarios la totalidad de los pagos o abonos en cuenta provenientes de la relación laboral o legal y reglamentaria, con excepción de los siguientes:
</t>
        </r>
        <r>
          <rPr>
            <sz val="8"/>
            <color indexed="81"/>
            <rFont val="Tahoma"/>
            <family val="2"/>
          </rPr>
          <t xml:space="preserve">
5. Sustituido. Ley 223/1995, Art. 96. Las pensiones de jubilación, invalidez, vejez, de sobrevivientes y sobre riesgos profesionales, hasta el año gravable de 1997. A partir del 1º de enero de 1998 estarán gravadas sólo en la parte del pago mensual que exceda de 1.000 UVT*.
</t>
        </r>
      </text>
    </comment>
    <comment ref="B271" authorId="0" shapeId="0">
      <text>
        <r>
          <rPr>
            <sz val="8"/>
            <color indexed="81"/>
            <rFont val="Tahoma"/>
            <family val="2"/>
          </rPr>
          <t xml:space="preserve">ARTÍCULO 206. Rentas de trabajo exentas. Están gravados con el impuesto sobre la renta y complementarios la totalidad de los pagos o abonos en cuenta provenientes de la relación laboral o legal y reglamentaria, con excepción de los siguientes:
10. Modificado. Ley 1607/2012, Art. 6. El veinticinco por ciento (25%) del valor total de los pagos laborales, limitada mensualmente a 240 UVT*. El cálculo de esta renta exenta se efectuará una vez se detraiga del valor total de los pagos laborales recibidos por el trabajador, los ingresos no constitutivos de renta, las deducciones y las demás rentas exentas diferentes a la establecida en el presente numeral.
</t>
        </r>
      </text>
    </comment>
    <comment ref="B272" authorId="2" shapeId="0">
      <text>
        <r>
          <rPr>
            <sz val="9"/>
            <color indexed="81"/>
            <rFont val="Tahoma"/>
            <family val="2"/>
          </rPr>
          <t xml:space="preserve">ART. 206 E.T.
Parágrafo 4°. La exención prevista en el numeral 10 procede también para las personas naturales clasificadas en la categoría de empleados cuyos pagos o abonos en cuenta no provengan de una relación laboral, o legal y reglamentaria, de conformidad con lo previsto en los artículos 329 y 383 del Estatuto Tributario. </t>
        </r>
        <r>
          <rPr>
            <u/>
            <sz val="9"/>
            <color indexed="81"/>
            <rFont val="Tahoma"/>
            <family val="2"/>
          </rPr>
          <t>Estos contribuyentes no podrán solicitar el reconocimiento fiscal de costos y gastos distintos de los permitidos a los trabajadores asalariados involucrados en la prestación de servicios personales o de la realización de actividades económicas por cuenta y riesgo del contratante</t>
        </r>
        <r>
          <rPr>
            <sz val="9"/>
            <color indexed="81"/>
            <rFont val="Tahoma"/>
            <family val="2"/>
          </rPr>
          <t xml:space="preserve">. Lo anterior no modificará el régimen del impuesto sobre las ventas aplicable a las personas naturales de que trata el presente parágrafo, ni afectará el derecho al descuento del impuesto sobre las ventas pagado en la adquisición de bienes corporales muebles y servicios, en los términos del artículo 488 del Estatuto Tributario, siempre y cuando se destinen a las operaciones gravadas con el impuesto sobre las ventas".
NOTA: La expresión subrayada fue declarada INEXEQUIBLE por la Corte Constitucional mediante sentencia C-668 de 2015.
</t>
        </r>
      </text>
    </comment>
    <comment ref="B277" authorId="0" shapeId="0">
      <text>
        <r>
          <rPr>
            <b/>
            <sz val="8"/>
            <color indexed="81"/>
            <rFont val="Tahoma"/>
            <family val="2"/>
          </rPr>
          <t xml:space="preserve">ARTÍCULO 307. Sustituido. Ley 1607/2012, Art. 104. Ganancias ocasionales exentas. Las ganancias ocasionales que se enumeran a continuación están exentas del impuesto a las ganancias ocasionales:
1. El equivalente a las primeras 7.700 UVT* del valor de un inmueble de vivienda urbana de propiedad del causante.
</t>
        </r>
        <r>
          <rPr>
            <sz val="8"/>
            <color indexed="81"/>
            <rFont val="Tahoma"/>
            <family val="2"/>
          </rPr>
          <t xml:space="preserve">
</t>
        </r>
      </text>
    </comment>
    <comment ref="B278" authorId="0" shapeId="0">
      <text>
        <r>
          <rPr>
            <b/>
            <sz val="8"/>
            <color indexed="81"/>
            <rFont val="Tahoma"/>
            <family val="2"/>
          </rPr>
          <t xml:space="preserve">ARTÍCULO 307. Sustituido. Ley 1607/2012, Art. 104. Ganancias ocasionales exentas. Las ganancias ocasionales que se enumeran a continuación están exentas del impuesto a las ganancias ocasionales:
2. El equivalente a las primeras 7.700 UVT* de un inmueble rural de propiedad del causante, independientemente de que dicho inmueble haya estado destinado a vivienda o a explotación económica. Esta exención no es aplicable a las casas, quintas o fincas de recreo.
</t>
        </r>
      </text>
    </comment>
    <comment ref="B279" authorId="0" shapeId="0">
      <text>
        <r>
          <rPr>
            <b/>
            <sz val="8"/>
            <color indexed="81"/>
            <rFont val="Tahoma"/>
            <family val="2"/>
          </rPr>
          <t xml:space="preserve">ARTÍCULO 307. Sustituido. Ley 1607/2012, Art. 104. Ganancias ocasionales exentas. Las ganancias ocasionales que se enumeran a continuación están exentas del impuesto a las ganancias ocasionales:
3. El equivalente a las primeras 3.490 UVT* del valor de las asignaciones que por concepto de porción conyugal o de herencia o legado reciban el cónyuge supérstite y cada uno de los herederos o legatarios, según el caso.
</t>
        </r>
        <r>
          <rPr>
            <sz val="8"/>
            <color indexed="81"/>
            <rFont val="Tahoma"/>
            <family val="2"/>
          </rPr>
          <t xml:space="preserve">
</t>
        </r>
      </text>
    </comment>
    <comment ref="B283" authorId="0" shapeId="0">
      <text>
        <r>
          <rPr>
            <b/>
            <sz val="8"/>
            <color indexed="81"/>
            <rFont val="Tahoma"/>
            <family val="2"/>
          </rPr>
          <t xml:space="preserve">ARTÍCULO 307. Sustituido. Ley 1607/2012, Art. 104. Ganancias ocasionales exentas. Las ganancias ocasionales que se enumeran a continuación están exentas del impuesto a las ganancias ocasionales:
4. El 20% del valor de los bienes y derechos recibidos por personas diferentes de los legitimarios y/o el cónyuge supérstite por concepto de herencias y legados, y el 20% de los bienes y derechos recibidos por concepto de donaciones y de otros actos jurídicos inter vivos celebrados a título gratuito, sin que dicha suma supere el equivalente a 2.290 UVT*.
</t>
        </r>
        <r>
          <rPr>
            <sz val="8"/>
            <color indexed="81"/>
            <rFont val="Tahoma"/>
            <family val="2"/>
          </rPr>
          <t xml:space="preserve">
</t>
        </r>
      </text>
    </comment>
    <comment ref="B296" authorId="0" shapeId="0">
      <text>
        <r>
          <rPr>
            <b/>
            <sz val="14"/>
            <color indexed="81"/>
            <rFont val="Tahoma"/>
            <family val="2"/>
          </rPr>
          <t>BUSCAR EL CONCEPTO</t>
        </r>
        <r>
          <rPr>
            <sz val="8"/>
            <color indexed="81"/>
            <rFont val="Tahoma"/>
            <family val="2"/>
          </rPr>
          <t xml:space="preserve">
</t>
        </r>
      </text>
    </comment>
    <comment ref="B312" authorId="0" shapeId="0">
      <text>
        <r>
          <rPr>
            <b/>
            <sz val="14"/>
            <color indexed="81"/>
            <rFont val="Tahoma"/>
            <family val="2"/>
          </rPr>
          <t>BUSCAR EL CONCEPTO</t>
        </r>
        <r>
          <rPr>
            <sz val="8"/>
            <color indexed="81"/>
            <rFont val="Tahoma"/>
            <family val="2"/>
          </rPr>
          <t xml:space="preserve">
</t>
        </r>
      </text>
    </comment>
    <comment ref="E312" authorId="0" shapeId="0">
      <text>
        <r>
          <rPr>
            <sz val="8"/>
            <color indexed="81"/>
            <rFont val="Tahoma"/>
            <family val="2"/>
          </rPr>
          <t>Art. 254. Descuento por impuestos pagados en el exterior.
Artículo 254. Descuento por impuestos pagados en el exterior. Las personas naturales residentes en el país y las sociedades y entidades nacionales, que sean contribuyentes del impuesto sobre la renta y complementarios y que perciban rentas de fuente extranjera sujetas al impuesto sobre la renta en el país de origen, tienen derecho a descontar del monto del impuesto colombiano de renta y complementarios, el impuesto sobre la renta pagado en el país de origen, cualquiera sea su denominación, liquidado sobre esas mismas rentas el siguiente valor:
Descuento =         _______TRyC__ ______    * ImpExt
                            TRyC + TCREE + STCREE
Dónde:
- TRyC es la tarifa del impuesto sobre la renta y complementarios aplicable al
contribuyente por la renta de fuente extranjera.
- TCREE es la tarifa del impuesto sobre la renta para la equidad CREE
aplicable al contribuyente por la renta de fuente extranjera.
- STCREE es la tarifa de la sobretasa al impuesto sobre la renta para la
Equidad CREE aplicable al contribuyente por la renta de fuente extranjera.
- ImpExt es el impuesto sobre la renta pagado en el extranjero, cualquiera sea
su denominación, liquidado sobre esas mismas rentas.
El valor del descuento en ningún caso podrá exceder el monto del impuesto sobre la renta complementarios que deba pagar el contribuyente en Colombia por esas mismas rentas.
Cuando se trate de dividendos o participaciones provenientes de sociedades domicíliadas en el exterior, habrá lugar a un descuento tributario en el impuesto sobre la renta y complementarios por los impuestos sobre la renta pagados en el exterior, de la siguiente forma:
a. El valor del descuento equivale al resultado de multiplicar el monto de lo.:. dividendos o participaciones por la tarifa del impuesto sobre la renta a la que hayar estado sometidas las utilidades que los generaron multiplicado por la proporción de que trata el literal h) de este inciso.
b. Cuando la sociedad que reparte los dividendos o participaciones gravados er Colombia haya recibido a su vez dividendos o participaciones de otras sociedades ubicadas en la misma o en otras jurisdicciones, el valor del descuento equivale a resultado de multiplicar el monto de los dividendos o participaciones percibidos po el contribuyente nacional, por la tarifa a la que hayan estado sometidas las utilidades que los generaron multiplicado por la proporción de que trata el literal h de este inciso.
c. Para tener derecho al descuento a que se refiere el literal a) del presente artículo, el contribuyente nacional debe poseer una participación directa en e capital de la sociedad de la cual recibe los dividendos oparticipaciones (excluyendo las acciones o participaciones sin derecho a voto). Para el caso del literal b), e contribuyente nacional deberá poseer indirectamente una participación en el capita de la subsidiaria o subsidiarias (excluyendo las acciones o participaciones sin derecho a voto). Las participaciones directas e indirectas señaladas en el presente literal deben corresponder a inversiones que constituyan activos fijos para el contribuyente en Colombia, en todo caso haber sido poseídas por un período no inferior a dos años.
d. Cuando los dividendos o participaciones percibidas por el contribuyente naciona hayan estado gravados en el país de origen el descuento se incrementará en el monto que resulte de multiplicar tal gravamen por la proporción de que trata el literal h) de este inciso.
e. En ningún caso el descuento a que se refiere este inciso, podrá exceder el monto del impuesto de renta y complementarios, generado en Colombia por tales dividendos.
f. Para tener derecho al descuento a que se refieren los literales a), b) y d), el contribuyente deberá probar el pago en cada jurisdicción aportando certificado fiscal del pago del impuesto expedido por la autoridad tributaria respectiva o en su defecto con prueba idónea.
g. Las reglas aquí previstas para el descuento tributario relacionado con dividendos o participaciones provenientes del exterior serán aplicables a los dividendos o participaciones que se perciban a partir de 1 de enero de 2015, cualquiera que sea el período o ejercicio financiero a que correspondan las utilidades que los generaron.
h. La proporción aplicable al descuento del impuesto sobre la renta y complementarios es la siguiente:
Proporción Aplicable =         _______TRyC__ ______   
                                       TRyC + TCREE + STCREE
Dónde:
- TRyC es la tarifa del impuesto sobre la renta y complementarios aplicable al
contribuyente por la renta de fuente extranjera.
- TCREE es la tarifa del impuesto sobre la renta para la equidad CREE
aplicable al contribuyente por la renta de fuente extranjera.
- STCREE es la tarifa de la sobretasa al impuesto sobre la renta para la
Equidad CREE aplicable al contribuyente por la renta de fuente extranjera.
Parágrafo 1. El impuesto sobre la renta pagado en el exterior, podrá ser tratado como descuento en el año gravable en el cual se haya realizado el pago o en cualquiera de los cuatro (4) períodos gravables siguientes sin perjuicio de lo previsto en el artículo 259 de este Estatuto. En todo caso, el exceso de impuesto descontable que se trate como descuento en cualquiera de los cuatro (4) períodos gravables siguientes tiene como límite el impuesto sobre la renta y complementarios generado en Colombia sobre las rentas que dieron origen a dicho descuento y no podrá acumularse con el exceso de impuestos descontables originados en otras rentas gravadas en Colombia en distintos períodos.
Parágrafo Transitorio. El descuento tributario relacionado con dividendos o participaciones provenientes del exterior que fueron percibidas con anterioridad a 1 de enero de 2015 continuarán rigiéndose por lo dispuesto en el artículo 96 de la Ley 1607 de 2012.</t>
        </r>
      </text>
    </comment>
    <comment ref="D316" authorId="6" shapeId="0">
      <text>
        <r>
          <rPr>
            <b/>
            <sz val="9"/>
            <color indexed="81"/>
            <rFont val="Tahoma"/>
            <family val="2"/>
          </rPr>
          <t>Digite el valor donado duarente el año gravable para que liquide el descuento del impuesto sobre la renta y complementarios, equivalente al 25% del valor donado en el año o período gravable</t>
        </r>
        <r>
          <rPr>
            <sz val="9"/>
            <color indexed="81"/>
            <rFont val="Tahoma"/>
            <family val="2"/>
          </rPr>
          <t xml:space="preserve">
</t>
        </r>
      </text>
    </comment>
  </commentList>
</comments>
</file>

<file path=xl/comments8.xml><?xml version="1.0" encoding="utf-8"?>
<comments xmlns="http://schemas.openxmlformats.org/spreadsheetml/2006/main">
  <authors>
    <author>USS</author>
  </authors>
  <commentList>
    <comment ref="B13" authorId="0" shapeId="0">
      <text>
        <r>
          <rPr>
            <b/>
            <sz val="16"/>
            <color indexed="81"/>
            <rFont val="Tahoma"/>
            <family val="2"/>
          </rPr>
          <t xml:space="preserve">PROVERBIOS
10:4 La mano negligente empobrece; 
Mas la mano de los diligentes enriquece. 
</t>
        </r>
        <r>
          <rPr>
            <sz val="16"/>
            <color indexed="81"/>
            <rFont val="Tahoma"/>
            <family val="2"/>
          </rPr>
          <t xml:space="preserve">
</t>
        </r>
      </text>
    </comment>
    <comment ref="E15" authorId="0" shapeId="0">
      <text>
        <r>
          <rPr>
            <b/>
            <sz val="8"/>
            <color indexed="81"/>
            <rFont val="Tahoma"/>
            <family val="2"/>
          </rPr>
          <t>Para obtener este tratamiento, el contribuyente deberá demostrar dentro del plazo que señale el reglamento(dentro del término que tiene para presentar la declaración de renta O deberá demostrar que con la indemnización recibida se constituyó un fondo destinado exclusivamente a la adquisición de los bienes mencionados., la inversión de la totalidad de la indemnización en la adquisición de bienes iguales o semejantes a los que eran objeto del seguro</t>
        </r>
        <r>
          <rPr>
            <sz val="8"/>
            <color indexed="81"/>
            <rFont val="Tahoma"/>
            <family val="2"/>
          </rPr>
          <t xml:space="preserve">
</t>
        </r>
      </text>
    </comment>
    <comment ref="J42" authorId="0" shapeId="0">
      <text>
        <r>
          <rPr>
            <b/>
            <sz val="8"/>
            <color indexed="81"/>
            <rFont val="Tahoma"/>
            <family val="2"/>
          </rPr>
          <t>USS:</t>
        </r>
        <r>
          <rPr>
            <sz val="8"/>
            <color indexed="81"/>
            <rFont val="Tahoma"/>
            <family val="2"/>
          </rPr>
          <t xml:space="preserve">
IMPTO NETO
</t>
        </r>
      </text>
    </comment>
  </commentList>
</comments>
</file>

<file path=xl/comments9.xml><?xml version="1.0" encoding="utf-8"?>
<comments xmlns="http://schemas.openxmlformats.org/spreadsheetml/2006/main">
  <authors>
    <author>Administrador</author>
    <author>YOIBER OJEDA</author>
  </authors>
  <commentList>
    <comment ref="B4" authorId="0" shapeId="0">
      <text>
        <r>
          <rPr>
            <b/>
            <sz val="9"/>
            <color indexed="81"/>
            <rFont val="Tahoma"/>
            <family val="2"/>
          </rPr>
          <t xml:space="preserve">ARTÍCULO 335. INGRESOS DE LA CÉDULA GENERAL.
Para los efectos de este título, son ingresos de la cédula general los siguientes:
1. Rentas de trabajo: las señaladas en el artículo 103 de este Estatuto.
</t>
        </r>
        <r>
          <rPr>
            <b/>
            <sz val="11"/>
            <color indexed="10"/>
            <rFont val="Tahoma"/>
            <family val="2"/>
          </rPr>
          <t>2. Rentas de capital: las obtenidas por concepto de intereses, rendimientos financieros, arrendamientos, regalías y explotación de la propiedad intelectual.</t>
        </r>
        <r>
          <rPr>
            <b/>
            <sz val="9"/>
            <color indexed="81"/>
            <rFont val="Tahoma"/>
            <family val="2"/>
          </rPr>
          <t xml:space="preserve">
3. Rentas no laborales: se consideran ingresos de las rentas no laborales todos los que no se clasifiquen expresamente en ninguna otra cédula, con excepción de los dividendos y las ganancias ocasionales, que se rigen según sus reglas especiales.</t>
        </r>
        <r>
          <rPr>
            <sz val="9"/>
            <color indexed="81"/>
            <rFont val="Tahoma"/>
            <family val="2"/>
          </rPr>
          <t xml:space="preserve">
</t>
        </r>
      </text>
    </comment>
    <comment ref="C9" authorId="0" shapeId="0">
      <text>
        <r>
          <rPr>
            <b/>
            <sz val="9"/>
            <color indexed="81"/>
            <rFont val="Tahoma"/>
            <family val="2"/>
          </rPr>
          <t xml:space="preserve">DECRETO  728 DE 2022 MINHACIENDA
ARTíCULO 20. Sustituir el artículo 1.2.1.12.7. del Libro 1 Parte 2 Título 1 Capítulo 12 del
Decreto 1625 de 2016, Único Reglamentario en Materia Tributaria, así:
"Artículo. 1.2.1.12.7. Componente inflacionario de los rendimientos financieros que distribuyan los fondos de inversión, mutuos de inversión y de valores. Para el año gravable 2021, las utilidades que los fondos mutuos de inversión, fondos de inversión y fondos de valores distribuyan o abonen en cuenta a sus afiliados, personas naturales y sucesiones ilíquidas, no obligadas a llevar contabilidad, no constituye renta ni ganancia ocasional el Cien por ciento (100 %), del valor de los rendimientos financieros recibidos por el fondo, correspondiente al componente inflacionario, de acuerdo con lo dispuesto en los artículos 39, 40-1 Y 41 del Estatuto Tributario." </t>
        </r>
        <r>
          <rPr>
            <sz val="9"/>
            <color indexed="81"/>
            <rFont val="Tahoma"/>
            <family val="2"/>
          </rPr>
          <t xml:space="preserve">
</t>
        </r>
      </text>
    </comment>
    <comment ref="C33" authorId="0" shapeId="0">
      <text>
        <r>
          <rPr>
            <b/>
            <sz val="9"/>
            <color indexed="81"/>
            <rFont val="Tahoma"/>
            <family val="2"/>
          </rPr>
          <t>INC. 6 ART. 126- E.T. 
Los aportes a título de cesantía, realizados por los partícipes independientes, serán deducibles de la renta hasta la suma de dos mil quinientas (2.500) UVT, sin que excedan de un doceavo del ingreso gravable del respectivo año.</t>
        </r>
      </text>
    </comment>
    <comment ref="D41" authorId="1" shapeId="0">
      <text>
        <r>
          <rPr>
            <b/>
            <sz val="9"/>
            <color indexed="81"/>
            <rFont val="Tahoma"/>
            <family val="2"/>
          </rPr>
          <t xml:space="preserve">ARTÍCULO 336. RENTA LÍQUIDA GRAVABLE DE LA CÉDULA GENERAL. 
Para efectos de establecer la renta líquida de la cédula general, se seguirán las siguientes reglas:
1. Se sumarán los ingresos obtenidos por todo concepto excepto los correspondientes a dividendos y ganancias ocasionales.
2. A la suma anterior, se le restarán los ingresos no constitutivos de renta imputables a cada ingreso.
</t>
        </r>
        <r>
          <rPr>
            <b/>
            <sz val="11"/>
            <color indexed="10"/>
            <rFont val="Tahoma"/>
            <family val="2"/>
          </rPr>
          <t xml:space="preserve">
3. Al valor resultante podrán restarse todas las rentas exentas y las deducciones especiales imputables a esta cédula, siempre que no excedan el cuarenta (40%) del resultado del numeral anterior, que en todo caso no puede exceder de cinco mil cuarenta (5.040) UVT.</t>
        </r>
        <r>
          <rPr>
            <sz val="9"/>
            <color indexed="81"/>
            <rFont val="Tahoma"/>
            <family val="2"/>
          </rPr>
          <t xml:space="preserve">
</t>
        </r>
      </text>
    </comment>
  </commentList>
</comments>
</file>

<file path=xl/sharedStrings.xml><?xml version="1.0" encoding="utf-8"?>
<sst xmlns="http://schemas.openxmlformats.org/spreadsheetml/2006/main" count="1992" uniqueCount="813">
  <si>
    <t>PERIODO FISCAL</t>
  </si>
  <si>
    <t>INTERESES PRESTAMO DE VIVIENDA</t>
  </si>
  <si>
    <t>SALARIO MINIMO MENSUAL LEGAL VIGENTE</t>
  </si>
  <si>
    <t>SALARIO BASICO</t>
  </si>
  <si>
    <t>VIATICOS</t>
  </si>
  <si>
    <t>COMISIONES</t>
  </si>
  <si>
    <t>&gt;150</t>
  </si>
  <si>
    <t>&gt;360</t>
  </si>
  <si>
    <t>EXPRESADO EN UVT</t>
  </si>
  <si>
    <t>&gt;95</t>
  </si>
  <si>
    <t xml:space="preserve">UVT  $ </t>
  </si>
  <si>
    <t>RETENCION DEL PERIODO</t>
  </si>
  <si>
    <t>SON</t>
  </si>
  <si>
    <t>ELABORADO POR: Jorge Alexander Cáceres Pinto.  @-mail:caceresjorge82@hotmail.com</t>
  </si>
  <si>
    <t>Por intereses o corrección monetaria en virtud de préstamos para adquisición de vivienda</t>
  </si>
  <si>
    <t>TOTAL DEDUCCIONES</t>
  </si>
  <si>
    <t>LIMITES DE DEDUCCIONES</t>
  </si>
  <si>
    <t>PENSION VOLUNTARIA</t>
  </si>
  <si>
    <t>INGRESOS LABORALES</t>
  </si>
  <si>
    <t>PAGOS EN ESPECIE (BONO SODEXO ETC)</t>
  </si>
  <si>
    <t>LIMITES</t>
  </si>
  <si>
    <t>VALOR DEL BONO</t>
  </si>
  <si>
    <t>VALOR A ESCOGER</t>
  </si>
  <si>
    <t>LIMITE DE PENSION Y AFC</t>
  </si>
  <si>
    <t>LIMITE</t>
  </si>
  <si>
    <t>responda, estan soportados con factura de venta o documento equivalente a nombre empleador</t>
  </si>
  <si>
    <t>Las indemnizaciones por accidente de trabajo o enfermedad</t>
  </si>
  <si>
    <t>Las indemnizaciones que impliquen protección a la maternidad</t>
  </si>
  <si>
    <t>Lo recibido por gastos de entierro del trabajador</t>
  </si>
  <si>
    <t>LIMITE DE LA RENTA EXENTA ART206 # 10</t>
  </si>
  <si>
    <t>INGRESOS LABORALES AÑO ANTERIOR</t>
  </si>
  <si>
    <t>LIMITE Las indemnizaciones por accidente de trabajo o enfermedad</t>
  </si>
  <si>
    <t>LIMITE Las indemnizaciones que impliquen protección a la maternidad</t>
  </si>
  <si>
    <t>LIMITE Lo recibido por gastos de entierro del trabajador</t>
  </si>
  <si>
    <t>APORTE VOLUNTARIO A CUENTA DE AHORRO PARA EL FOMENTO DE LA CONSTRUCCION - AFC</t>
  </si>
  <si>
    <t>CONCEPTO</t>
  </si>
  <si>
    <t>VALOR</t>
  </si>
  <si>
    <t>CONSTITUYE O NO CONSTITUYE SALARIO</t>
  </si>
  <si>
    <t>Elaborado</t>
  </si>
  <si>
    <t>Docente Catedratico - UPC Aguachica - Cesar</t>
  </si>
  <si>
    <t>CONSTITUYEN SALARIO</t>
  </si>
  <si>
    <t>NO CONSTITUYEN SALARIOS</t>
  </si>
  <si>
    <t>VALOR DE LA UVT AÑO ANTERIOR</t>
  </si>
  <si>
    <t>VALOR DE LA UVT AÑO ACTUAL</t>
  </si>
  <si>
    <t>GASTOS DE REPRESENTACION (Rector y profesores de U oficiales)</t>
  </si>
  <si>
    <t>subsidio familiar, prima actividad militar, prima antigüedad, prima orden publico</t>
  </si>
  <si>
    <t>S</t>
  </si>
  <si>
    <t>N</t>
  </si>
  <si>
    <t>Los pagos por salud pregada,seguros de Salud</t>
  </si>
  <si>
    <t>Tiene personas Dependientes</t>
  </si>
  <si>
    <t>1. Los hijos del contribuyente que tengan hasta 18 años de edad.</t>
  </si>
  <si>
    <t>3. Los hijos del contribuyente mayores de 23 años que se encuentren
en situación de dependencia originada en factores físicos o
psicológicos que sean certificados por Medicina Legal.</t>
  </si>
  <si>
    <t>2. Los hijos del contribuyente con edad entre 18 y 23 años, cuando el
padre o madre contribuyente persona natural se encuentre financiando
su educación en instituciones formales de educación superior
certificadas por el ICFES o la autoridad oficial correspondiente; o en los
programas técnicos de educación no formal debidamente acreditados
por la autoridad competente.</t>
  </si>
  <si>
    <t>4. El cónyuge o compañero permanente del contribuyente que se
encuentre en situación de dependencia sea por ausencia de ingresos o
ingresos en el año menores a doscientas sesenta (260) UVT, certificada
por contador público, o por dependencia originada en factores físicos
o psicológicos que sean certificados por Medicina Legal, y,</t>
  </si>
  <si>
    <t>5. Los padres y los hermanos del contribuyente que se encuentren en
situación de dependencia, sea por ausencia de ingresos o ingresos en
el año menores a doscientas sesenta (260) UVT, certificada por
contador público, o por dependencia originada en factores físicos o
psicológicos que sean certificados por Medicina Legal.</t>
  </si>
  <si>
    <t>APORTE A PENSION Y AFC</t>
  </si>
  <si>
    <t>PAGOS DE SALUD</t>
  </si>
  <si>
    <t>yoiberantonioojedapacheco@hotmail.com</t>
  </si>
  <si>
    <t>Dividendos y participaciones no gravados</t>
  </si>
  <si>
    <t>Indemnizaciones en dinero o en especie por seguro de daño</t>
  </si>
  <si>
    <t>Aportes obligatorios al sistema general de seguridad social a cargo del empleado</t>
  </si>
  <si>
    <t>Gastos de representación exentos</t>
  </si>
  <si>
    <t>Pérdidas por desastres o calamidades públicas</t>
  </si>
  <si>
    <t>Aportes obligatarios a seguridad social de un empleado del servicio doméstico</t>
  </si>
  <si>
    <t>Costo fiscal de los bienes enajenados</t>
  </si>
  <si>
    <t>Indemnizaciones por seguro de vida, por accidente de trabajo o enfermedad</t>
  </si>
  <si>
    <t>Licencia de maternidad y gastos funerarios</t>
  </si>
  <si>
    <t>Exceso del salario básico de oficiales y suboficiales de las FF.MM y la Policía Nacional</t>
  </si>
  <si>
    <t>Seguro por muerte y compensación por muerte de las FF.MM y la Policía Nacional</t>
  </si>
  <si>
    <t>Pagos catastróficos en salud efectivamente certificados no cubiertos por el POS</t>
  </si>
  <si>
    <t>Retiros  fondos de pensión de jubilación e invalidez; fondos de cesantías y cuentas AFC</t>
  </si>
  <si>
    <t>Renta gravable alternativa - RGA</t>
  </si>
  <si>
    <t>GANANCIA OCASIONAL</t>
  </si>
  <si>
    <t>LOTERIAS RIFAS APUESTA Y SIMILARES</t>
  </si>
  <si>
    <t>INMUEBLE DE VIVIENDA URBANA DE PROPIEDAD DEL CAUSANTE</t>
  </si>
  <si>
    <t>INMUEBLE RURAL DE PROPIEDAD DEL CAUSANTE, INDEPENDIENTEMENTE DE QUE DICHO INMUEBLE HAYA ESTADO DESTINADO A VIVIENDA O A EXPLOTACIÓN ECONÓMICA</t>
  </si>
  <si>
    <t>PORCION CONYUGAL</t>
  </si>
  <si>
    <t>DONACIONES Y DE OTROS ACTOS JURÍDICOS INTER VIVOS CELEBRADOS A TÍTULO GRATUITO</t>
  </si>
  <si>
    <t xml:space="preserve">OTROS INGRESOS </t>
  </si>
  <si>
    <t>MODELO APLICATIVO PARA DEPURAR RENTA Y COMPLEMENTARIOS</t>
  </si>
  <si>
    <t xml:space="preserve">PERSONA NATURAL </t>
  </si>
  <si>
    <t>UVT</t>
  </si>
  <si>
    <t>EN PESOS</t>
  </si>
  <si>
    <t>RENTA GRAVABLE ALTERNATIVA</t>
  </si>
  <si>
    <t>IMAN</t>
  </si>
  <si>
    <t>IMAS</t>
  </si>
  <si>
    <t>más de 13.643</t>
  </si>
  <si>
    <t>27% x RGA - 1.622</t>
  </si>
  <si>
    <t>DETERMINACION DE LA CALIDAD DE EMPLEADO SEGUN EL ART 329 E.T.</t>
  </si>
  <si>
    <t>EMPLEADO S/N EL ART 329 E.T.</t>
  </si>
  <si>
    <t>TOTAL DE OTROS INGRESOS</t>
  </si>
  <si>
    <t>TOTAL DE INGRESOS LABORALES</t>
  </si>
  <si>
    <t>Ingresos por ganancias ocasionales</t>
  </si>
  <si>
    <t>Costos por ganancias ocasionales</t>
  </si>
  <si>
    <t>Ganancias ocasionales exentas y no gravadas</t>
  </si>
  <si>
    <t>Ganancia ocasionales gravables</t>
  </si>
  <si>
    <t>Loteria, Rifas, Apuestas y Similares</t>
  </si>
  <si>
    <t>Otras</t>
  </si>
  <si>
    <t>VENTA DE ACTIVOS FIJOS # 1</t>
  </si>
  <si>
    <t>VENTA DE ACTIVOS FIJOS # 2</t>
  </si>
  <si>
    <t>TOTAL DE GANANCIA OCASIONAL EXENTA</t>
  </si>
  <si>
    <t xml:space="preserve">TOTAL INGRESOS </t>
  </si>
  <si>
    <t>GASTOS DE REPRESENTACION (Magistrados, fiscales,Rector y profesores de U oficiales)</t>
  </si>
  <si>
    <t>TOTAL DE RENTAS EXENTA</t>
  </si>
  <si>
    <t>SEGURO POR MUERTE Y COMPENSACIÓN POR MUERTE DE LAS FF.MM Y LA POLICÍA NACIONAL</t>
  </si>
  <si>
    <t>Impuesto sobre la renta mínimo alternativo simple - IMAS</t>
  </si>
  <si>
    <t>Impuesto de ganancias ocasionales</t>
  </si>
  <si>
    <t>Descuentos tributarios</t>
  </si>
  <si>
    <t>Total impuesto a cargo</t>
  </si>
  <si>
    <t>INDEMNIZACIONES EN DINERO O EN ESPECIE POR SEGURO DE DAÑO</t>
  </si>
  <si>
    <t>Total patrimonio bruto</t>
  </si>
  <si>
    <t>Deudas</t>
  </si>
  <si>
    <t>Total patrimonio líquido</t>
  </si>
  <si>
    <t>Patrimonio</t>
  </si>
  <si>
    <t>Ingresos por ganancias ocasionales en el país</t>
  </si>
  <si>
    <t xml:space="preserve">Ingresos por ganancias ocasionales en el exterior </t>
  </si>
  <si>
    <t>Total ingresos obtenidos período gravable</t>
  </si>
  <si>
    <t>Otras indemnizaciones Art 332 Lit. i)  ET.</t>
  </si>
  <si>
    <r>
      <t xml:space="preserve">Renta Gravable Alternativa  </t>
    </r>
    <r>
      <rPr>
        <sz val="8"/>
        <rFont val="Arial"/>
        <family val="2"/>
      </rPr>
      <t>(Base del IMAN)</t>
    </r>
  </si>
  <si>
    <t>Recibidos como empleado</t>
  </si>
  <si>
    <t>Ingresos</t>
  </si>
  <si>
    <t>Recibidos por pensiones jubilación, invalidez, vejez, de sobreviviente y riesgos profesionales</t>
  </si>
  <si>
    <t>Honorarios, comisiones y servicios</t>
  </si>
  <si>
    <t>Intereses y rendimientos financieros</t>
  </si>
  <si>
    <t>Dividendos y participaciones</t>
  </si>
  <si>
    <t>Otros (Arrendamientos, etc.)</t>
  </si>
  <si>
    <t>Obtenidos en el exterior</t>
  </si>
  <si>
    <t>Total ingresos recibidos por concepto de renta</t>
  </si>
  <si>
    <t>Determinación de la renta gravable alternativa - IMAN, para empleados</t>
  </si>
  <si>
    <t>Ganan. Ocasional</t>
  </si>
  <si>
    <t>No Constitut. renta ni Ganancia Ocasional</t>
  </si>
  <si>
    <t>Donaciones</t>
  </si>
  <si>
    <t>Pagos a terceros (Salud, educación y alimentación)</t>
  </si>
  <si>
    <t>Otros ingresos no constitutivos de renta</t>
  </si>
  <si>
    <t>Total ingresos no constitutivos de renta</t>
  </si>
  <si>
    <t>Total ingresos netos</t>
  </si>
  <si>
    <t>INTERESES Y RENDIMIENTOS FINANCIEROS</t>
  </si>
  <si>
    <t>Gastos de nómina incluidos los aportes a seguridad social y parafiscales</t>
  </si>
  <si>
    <t>Deducción por dependientes económicos</t>
  </si>
  <si>
    <t>Deducción por pagos de intereses de vivienda</t>
  </si>
  <si>
    <t>Otros costos y deducciones</t>
  </si>
  <si>
    <t>Costos y gastos incurridos en el exterior</t>
  </si>
  <si>
    <t>Total costos y deducciones</t>
  </si>
  <si>
    <t>Impuesto sobre la renta líquida gravable</t>
  </si>
  <si>
    <t>Descuentos</t>
  </si>
  <si>
    <t>Costos y deducciones</t>
  </si>
  <si>
    <t>Renta líquida ordinaria del ejercicio</t>
  </si>
  <si>
    <t>Compensaciones</t>
  </si>
  <si>
    <t>Pérdida líquida del ejercicio</t>
  </si>
  <si>
    <t>Renta líquida</t>
  </si>
  <si>
    <t>Renta presuntiva</t>
  </si>
  <si>
    <t>Renta exenta</t>
  </si>
  <si>
    <t>Renta</t>
  </si>
  <si>
    <t>Gastos de representación y otras rentas de trabajo</t>
  </si>
  <si>
    <t>Aportes obligatorios al fondo de pensión</t>
  </si>
  <si>
    <t>Aportes a fondos de pensiones voluntarios</t>
  </si>
  <si>
    <t>Aportes a cuentas AFC</t>
  </si>
  <si>
    <t>Otras rentas exentas</t>
  </si>
  <si>
    <t>Por pagos laborales (25%) y pensiones</t>
  </si>
  <si>
    <t>Total renta exenta</t>
  </si>
  <si>
    <t>Rentas gravables</t>
  </si>
  <si>
    <t>Renta líquida gravable</t>
  </si>
  <si>
    <t>SECCION DE RENTAS EXENTAS</t>
  </si>
  <si>
    <t>SECCION DE INGRESOS NO CONSTITUTIVOS DE RENTA NI GANANCIA OCASIONAL</t>
  </si>
  <si>
    <t>SECCION DE INGRESOS LABORALES</t>
  </si>
  <si>
    <t>SECCION DE INGRESOS POR COMISIONES, SERVICIOS Y HONORARIOS SIN RELACION LABORAL</t>
  </si>
  <si>
    <t>SECCION OTROS INGRESOS</t>
  </si>
  <si>
    <t>Por impuestos pagados en el exterior de los literales a) a c) del art. 254 E.T.</t>
  </si>
  <si>
    <t>Por impuestos pagados en el exterior del literal d) del art. 254 E.T.</t>
  </si>
  <si>
    <t>Por impuestos pagados en el exterior, distintos a los registrados anteriormente</t>
  </si>
  <si>
    <t>Otros</t>
  </si>
  <si>
    <t>Total descuentos tributarios</t>
  </si>
  <si>
    <t>Liquidación privada</t>
  </si>
  <si>
    <t>Impuesto neto de renta</t>
  </si>
  <si>
    <t>Descuento por impuestos pagados en el exterior por ganancias ocasionales</t>
  </si>
  <si>
    <t>Impuesto Mínimo Alternativo Nacional -IMAN, empleados</t>
  </si>
  <si>
    <t>&gt;1090</t>
  </si>
  <si>
    <t>&gt;1700</t>
  </si>
  <si>
    <t>&gt;4100</t>
  </si>
  <si>
    <t xml:space="preserve">IMPUESTO DE RENTA </t>
  </si>
  <si>
    <t>Saldo a pagar por impuesto</t>
  </si>
  <si>
    <t>Sanciones</t>
  </si>
  <si>
    <t>Total saldo a pagar</t>
  </si>
  <si>
    <t>o Total saldo a favor</t>
  </si>
  <si>
    <t>GANANCIALES</t>
  </si>
  <si>
    <t>DONACIONES RECIBIDAS PARA CAMPAÑA POLÍTICA</t>
  </si>
  <si>
    <t>SUBSIDIOS DE AGRO INGRESO SEGURO</t>
  </si>
  <si>
    <t>CESANTIAS E INTERES DE CESANTIAS</t>
  </si>
  <si>
    <t>NUM. 10 ART 206 E.T. 25% DE LOS PAGOS LABORALES</t>
  </si>
  <si>
    <t>PENSIONES DE JUBILACIÓN, INVALIDEZ, VEJEZ, DE SOBREVIVIENTES Y SOBRE RIESGOS PROFESIONALES</t>
  </si>
  <si>
    <t>RENTA EXENTA ART 206 NUM 10</t>
  </si>
  <si>
    <t>CONTRIBIUYENTE</t>
  </si>
  <si>
    <t>Gravamen Movimiento Financiero</t>
  </si>
  <si>
    <t>COSTOS</t>
  </si>
  <si>
    <t>INVENTARIO INICIAL</t>
  </si>
  <si>
    <t>COMPRAS NETAS</t>
  </si>
  <si>
    <t>COMPRAS BRUTAS</t>
  </si>
  <si>
    <t>MERCANCIAS DISPONIBLES PARA LA VENTA</t>
  </si>
  <si>
    <t>(Menos) Dev.en compra</t>
  </si>
  <si>
    <t>DE SIEMBRA</t>
  </si>
  <si>
    <t>DE CULTIVO</t>
  </si>
  <si>
    <t>DE RECOLECCION</t>
  </si>
  <si>
    <t>NECESARIOS PARA PONER LOS PRODUCTOS EN EL LUGAR DE SU EXPENDIO, UTILIZACIÓN O BENEFICIO</t>
  </si>
  <si>
    <t>DEMAS GANADO</t>
  </si>
  <si>
    <t>DEDUCCIONES</t>
  </si>
  <si>
    <t>Anticipo renta por el año gravable anterior</t>
  </si>
  <si>
    <t>Saldo a favor año gravable anterior sin solicitud de devolución o compensación</t>
  </si>
  <si>
    <t>Anticipo renta por el año gravable siguiente</t>
  </si>
  <si>
    <t>ACTIVIDAD GANADERA</t>
  </si>
  <si>
    <t>TOTAL INGRESOS NO CONSTITUTIVOS DE RENTA NI GANANCIA OCASIONAL</t>
  </si>
  <si>
    <t>PORCENTAJE DE INGRESOS NO EMPLEADO</t>
  </si>
  <si>
    <t>INGRESOS PARA DETERMINAR LA CALIDAD EMPLEADO</t>
  </si>
  <si>
    <t>SECCION DE RETENCION EN LA FUENTE</t>
  </si>
  <si>
    <t>Pagos  a empleados sujetos a retención. (Art. 383 ET.)</t>
  </si>
  <si>
    <t>Pagos a empleados sujetos a retención. (Art. 384 ET.)</t>
  </si>
  <si>
    <t>Pagos a trabajadores por cuenta propia</t>
  </si>
  <si>
    <t xml:space="preserve">Pagos por concepto de salarios a contribuyentes que no pertenecen a la categoría de empleados </t>
  </si>
  <si>
    <t>Honorarios y comisiones</t>
  </si>
  <si>
    <t xml:space="preserve">Arrendamientos (Muebles e inmuebles) </t>
  </si>
  <si>
    <t>Compras</t>
  </si>
  <si>
    <t>Rendimientos financieros</t>
  </si>
  <si>
    <t>Transacciones con tarjetas débito y crédito</t>
  </si>
  <si>
    <t>Contratos de construcción</t>
  </si>
  <si>
    <t>IMPUESTO DE RENTA</t>
  </si>
  <si>
    <t>IMPUESTO DE GANANCIA OCASIONAL</t>
  </si>
  <si>
    <t>TOTAL DE RETENCIONES IMPUESTO DE RENTA</t>
  </si>
  <si>
    <t>TOTAL DE RETENCIONES IMPUESTO DE GANANCIA OCASIONAL</t>
  </si>
  <si>
    <t>Enajenación de activos fijos  de personas naturales ante notarios y autoridades de tránsito</t>
  </si>
  <si>
    <t>Loterías, rifas, apuestas y similares</t>
  </si>
  <si>
    <t>Porcion Conyugal, Herencia, legados y Donaciones</t>
  </si>
  <si>
    <t>CAJA</t>
  </si>
  <si>
    <t>CUENTA DE AHORROS</t>
  </si>
  <si>
    <t>Banco de Bogotá</t>
  </si>
  <si>
    <t>BANCO SANTANDER DE NEGOCIOS COLOMBIA S. A</t>
  </si>
  <si>
    <t>ENTIDAD</t>
  </si>
  <si>
    <t>NUMERO CUENTA</t>
  </si>
  <si>
    <t>Banco Popular</t>
  </si>
  <si>
    <t>Banco Santander</t>
  </si>
  <si>
    <t>Bancolombia</t>
  </si>
  <si>
    <t>Citibank</t>
  </si>
  <si>
    <t xml:space="preserve">Banco GNB </t>
  </si>
  <si>
    <t>Banco GNB Sudameris</t>
  </si>
  <si>
    <t>BBVA Colombia</t>
  </si>
  <si>
    <t>Banco de Occidente</t>
  </si>
  <si>
    <t>BCSC</t>
  </si>
  <si>
    <t>Davivienda</t>
  </si>
  <si>
    <t>Colpatria Red Multibanca</t>
  </si>
  <si>
    <t>Banagrario</t>
  </si>
  <si>
    <t>AV Villas</t>
  </si>
  <si>
    <t>Procredit</t>
  </si>
  <si>
    <t>Bancamía</t>
  </si>
  <si>
    <t>WWB</t>
  </si>
  <si>
    <t>Bancoomeva</t>
  </si>
  <si>
    <t>Finandina</t>
  </si>
  <si>
    <t>Banco Falabella</t>
  </si>
  <si>
    <t>Banco Pichincha</t>
  </si>
  <si>
    <t>Coopcentral</t>
  </si>
  <si>
    <t>Corficolombiana</t>
  </si>
  <si>
    <t>Banca de Inversión Bancolombia</t>
  </si>
  <si>
    <t>JP Morgan</t>
  </si>
  <si>
    <t>BNP Paribas</t>
  </si>
  <si>
    <t>ITAÚ BBA Colombia S.A.</t>
  </si>
  <si>
    <t>Cooperativa Financiera de Antioquia</t>
  </si>
  <si>
    <t>Cooperativa Financiera John F. Kennedy</t>
  </si>
  <si>
    <t>Cooperativa Financiera Coofinep</t>
  </si>
  <si>
    <t>Cooperativa Financiera Cotrafa</t>
  </si>
  <si>
    <t xml:space="preserve">Cooperativa Financiera Confiar </t>
  </si>
  <si>
    <t>Cooperativa Financiera Juriscoop</t>
  </si>
  <si>
    <t>Crediservir</t>
  </si>
  <si>
    <t>Cooprofesores</t>
  </si>
  <si>
    <t>Financiera Coomultrasan</t>
  </si>
  <si>
    <t>CUENTA CORRIENTE</t>
  </si>
  <si>
    <t>DEUDORES</t>
  </si>
  <si>
    <t>PRESTAMOS A TRABAJADORES</t>
  </si>
  <si>
    <t>CLIENTES</t>
  </si>
  <si>
    <t>INVERSIONES</t>
  </si>
  <si>
    <t>ACCIONES EN SOCIEDADES NACIONALES</t>
  </si>
  <si>
    <t>ACCIONES EN SOCIEDADES EXTRANJERAS</t>
  </si>
  <si>
    <t>CUOTAS O PORTES DE INTERSES SOCIAL  EN SOCIEDADES NACIONALES</t>
  </si>
  <si>
    <t>CUOTAS O PORTES DE INTERSES SOCIAL  EN SOCIEDADES EXTRANJERAS</t>
  </si>
  <si>
    <t>OTRAS INVERSIONES</t>
  </si>
  <si>
    <t>INVENTARIO</t>
  </si>
  <si>
    <t>SEMOVIENTES</t>
  </si>
  <si>
    <t>BOVINOS</t>
  </si>
  <si>
    <t>PORCINOS</t>
  </si>
  <si>
    <t>CAPRINOS</t>
  </si>
  <si>
    <t>OVINOS</t>
  </si>
  <si>
    <t>ESPECIES MENORES</t>
  </si>
  <si>
    <t>PRODUCTOS AGRICOLAS</t>
  </si>
  <si>
    <t>MERCANCIAS NO FABRICADAS POR LA EMPRESA</t>
  </si>
  <si>
    <t>MATERIA PRIMA</t>
  </si>
  <si>
    <t>PRODUCTOS EN PROCESO</t>
  </si>
  <si>
    <t>PRODUCTOS TERMINADOS</t>
  </si>
  <si>
    <t>ACTVOS FIJOS</t>
  </si>
  <si>
    <t xml:space="preserve">CASA </t>
  </si>
  <si>
    <t>APARTAMENTO</t>
  </si>
  <si>
    <t>LOCAL COMERCIAL</t>
  </si>
  <si>
    <t xml:space="preserve">FINCA </t>
  </si>
  <si>
    <t>LOTE</t>
  </si>
  <si>
    <t>BIENES INMUEBLES URBANOS</t>
  </si>
  <si>
    <t>CONJUNTO RESIDENCIAL</t>
  </si>
  <si>
    <t>MATRICULA INMOBILIARIA</t>
  </si>
  <si>
    <t>DIRECCION</t>
  </si>
  <si>
    <t>COSTO FISCAL</t>
  </si>
  <si>
    <t>CLASE</t>
  </si>
  <si>
    <t>CASA DE HABITACION</t>
  </si>
  <si>
    <t>BIENES INMUEBLES RURAL</t>
  </si>
  <si>
    <t>FINCA DEDICADA AL SECTOR AGROPECUARIO</t>
  </si>
  <si>
    <t>AUTOMOVIL</t>
  </si>
  <si>
    <t>CAMIONETA</t>
  </si>
  <si>
    <t>TRACTOMULA</t>
  </si>
  <si>
    <t>TRATO CAMION</t>
  </si>
  <si>
    <t>CAMION</t>
  </si>
  <si>
    <t>MOTOCICLETA</t>
  </si>
  <si>
    <t>CUATRIMOTO</t>
  </si>
  <si>
    <t xml:space="preserve">PLACA </t>
  </si>
  <si>
    <t>TRICIMOTO</t>
  </si>
  <si>
    <t>OTROS</t>
  </si>
  <si>
    <t>FLOTA Y EQUIPO DE TRANSPORTE</t>
  </si>
  <si>
    <t>OTROS ACTIVOS FIJOS</t>
  </si>
  <si>
    <t>DENOMINACION</t>
  </si>
  <si>
    <t>OTROS ACTIVOS</t>
  </si>
  <si>
    <t>TOTAL PATRIMONIO BRUTO</t>
  </si>
  <si>
    <t>PRESTACIONES LEGALES Y CONVENCION COLECTIVA</t>
  </si>
  <si>
    <t>PARTICIPACION BASICA, AUXILIOS Y BENEFICIOS</t>
  </si>
  <si>
    <t>INTERESES Y RENDIMIENTOS FINANCIEROS (COMPONENTE INFLACIONARIO)</t>
  </si>
  <si>
    <t>PRESTACIONES DE SERVICIOS TECNICOS Y/O PROFESIONALES</t>
  </si>
  <si>
    <t>s</t>
  </si>
  <si>
    <t>Indemnización por seguros de vida</t>
  </si>
  <si>
    <t>las indemnizaciones por accidente de trabajo o enfermedad</t>
  </si>
  <si>
    <t>EXCESO DEL SALARIO BÁSICO DE LOS OFICIALES Y SUBOFICIALES DE LAS FUERZAS MILITARES Y LA POLICÍA NACIONAL</t>
  </si>
  <si>
    <t>GO</t>
  </si>
  <si>
    <t>RTA</t>
  </si>
  <si>
    <t>LIMITE A APORTE A PENSION Y AFC</t>
  </si>
  <si>
    <t xml:space="preserve">LIMITE DE AFC </t>
  </si>
  <si>
    <t>LIMITE DE PENSION OBLIGATORIA</t>
  </si>
  <si>
    <t>MIN</t>
  </si>
  <si>
    <t>SECCION DE DESCUENTOS TRIBUTARIOS</t>
  </si>
  <si>
    <t>TOTAL DE DESCUENTOS TRIBUTARIOS</t>
  </si>
  <si>
    <t>PATRIMONIO BRUTO</t>
  </si>
  <si>
    <t>DEUDAS</t>
  </si>
  <si>
    <t>OBLIGACIONES FINANCIERAS</t>
  </si>
  <si>
    <t>CREDITO DE CONSUMO</t>
  </si>
  <si>
    <t>Otra Entidad</t>
  </si>
  <si>
    <t>Nº Obligacion</t>
  </si>
  <si>
    <t>CREDITO DE VIVIENDA</t>
  </si>
  <si>
    <t>CREDITO LEASING</t>
  </si>
  <si>
    <t>OTRAS LINEAS DE CREDITO</t>
  </si>
  <si>
    <t>MAQUINARIA, EQUIPO Y HERRAMIENTAS DEDICADAS A LA ACTIVIDAD AGRICOLA</t>
  </si>
  <si>
    <t>OBLIGACIONES FISCALES</t>
  </si>
  <si>
    <t>OTRAS OBLIGACIONES</t>
  </si>
  <si>
    <t>TOTAL DEUDAS</t>
  </si>
  <si>
    <t>RENTA POR COMPARACION PATRIMONIAL</t>
  </si>
  <si>
    <t>APLICA, REVISE</t>
  </si>
  <si>
    <t>NO APLICA</t>
  </si>
  <si>
    <t>IMAS PARA EMPLEADO</t>
  </si>
  <si>
    <t>Obtenidos en el exterior (Renta o Ganancia Ocasional)</t>
  </si>
  <si>
    <t>RENTA PRESUNTIVA</t>
  </si>
  <si>
    <t>ACCIONES</t>
  </si>
  <si>
    <t>CUOTAS O PARTES DE INTERES</t>
  </si>
  <si>
    <t>NIT</t>
  </si>
  <si>
    <t>ELAB. POR EL C.P. YOIBER ANTONIO OJEDA PACHECO - DOCENTE UNIVERSIDAD POPULAR DEL CESAR SECCIONAL AGUACHICA</t>
  </si>
  <si>
    <t>COMPENSACIONES</t>
  </si>
  <si>
    <t>EXCESO DE RENTA PRESUNTIVA SOBRE RENTA LIQUIDA ORDINARIA</t>
  </si>
  <si>
    <t>PÉRDIDAS SUFRIDAS EN ACTIVIDADES AGROPECUARIAS</t>
  </si>
  <si>
    <t>PAGOS CATASTROFICO</t>
  </si>
  <si>
    <t>2300 UVT</t>
  </si>
  <si>
    <t>60% DE I.B.</t>
  </si>
  <si>
    <t>VISITA MI CANAL EN YOUTUBE: YOIBER ANTONIO OJEDA PACHECO</t>
  </si>
  <si>
    <t>NOMBRE DEL CONTRIBUYENTE</t>
  </si>
  <si>
    <t>TOTAL DE INGRESOS POR COMISIONES, SERVICIOS Y HONORARIOS SIN RELACION LABORAL</t>
  </si>
  <si>
    <t>TOTAL COSTOS</t>
  </si>
  <si>
    <t>FORMATO 210</t>
  </si>
  <si>
    <t>TOTAL COSTOS Y DEDUCCIONES</t>
  </si>
  <si>
    <t>SALARIO MENSUAL PROMEDIO EN LOS SEIS (6) ÚLTIMOS MESES DE VINCULACIÓN LABORAL</t>
  </si>
  <si>
    <t>COSTO DE VENTA DE ACTIVOS FIJOS</t>
  </si>
  <si>
    <t>SALARIO BASICO, COMPENSACIONES O INTEGRAL</t>
  </si>
  <si>
    <t>VENTA DE INMUEBLES A ENTIDAD TERRITORIAL PARA OBRAS DE UTILIDAD COMUN-MEDIANTE NEGOCIACION DIRECTA</t>
  </si>
  <si>
    <t>DETERMINACION DE LA CALIDAD DE TRABAJADOR POR CUENTA PROPIA SEGUN EL ART 329 E.T.</t>
  </si>
  <si>
    <t>PORCENTAJE DE INGRESOS POR COMERCIO AL POR MENOR</t>
  </si>
  <si>
    <t>AGRICULTURA, SILVICULTURA Y PESCA</t>
  </si>
  <si>
    <t>TRABAJADOR POR CUENTA PROPIA S/N EL ART 329 E.T.</t>
  </si>
  <si>
    <t>SERVICIOS DE HOTELES, RESTAURANTES Y SIMILARES</t>
  </si>
  <si>
    <t>PORCENTAJE DE INGRESOS POR ACTIVIDAD GANADERA</t>
  </si>
  <si>
    <t>PORCENTAJE DE INGRESOS POR SERVICIOS DE HOTELES, RESTAURANTES Y SIMILARES</t>
  </si>
  <si>
    <t>PORCENTAJE DE INGRESOS POR AGRICULTURA, SILVICULTURA Y PESCA</t>
  </si>
  <si>
    <t>IMAS PARA TRABAJADOR POR CUENTA PROPIA</t>
  </si>
  <si>
    <t>INGRESOS BRUTOS DEL TRABAJADOR POR CUENTA PROPIA</t>
  </si>
  <si>
    <t>TARIFA DE IMPUESTO</t>
  </si>
  <si>
    <t>Menos devoluciones, Rebajas y descuentos para los Trabajadores por cuenta propia</t>
  </si>
  <si>
    <t>TOTAL INGRESOS NETOS</t>
  </si>
  <si>
    <t xml:space="preserve">Total de Ingresos Brutos Recibidos por Concepto de Renta </t>
  </si>
  <si>
    <t xml:space="preserve">OTROS  Ingresos Brutos Recibidos por Concepto de Renta </t>
  </si>
  <si>
    <t>limites</t>
  </si>
  <si>
    <t>ingresos Brutos</t>
  </si>
  <si>
    <t>PATRIMONIO LIQUIDO</t>
  </si>
  <si>
    <t>Total Patrimonio Bruto</t>
  </si>
  <si>
    <t>Patrimonio Liquido</t>
  </si>
  <si>
    <t>RGA</t>
  </si>
  <si>
    <t>0,82% x (RGA en UVT - 5.409)</t>
  </si>
  <si>
    <t>1,55% x (RGA en UVT - 3.934)</t>
  </si>
  <si>
    <t>1,23% x (RGA en UVT - 7.143)</t>
  </si>
  <si>
    <t>DE AGRICULTOR, SILVICULTURA Y PESCA</t>
  </si>
  <si>
    <t>ARRENDAMIENTO DE BIENES MUEBLES E INMUEBLES</t>
  </si>
  <si>
    <t>MEJORAS</t>
  </si>
  <si>
    <t>SERVICIO DE TRANSPORTE, ALMACENAMIENTO Y COMUNICACIONES</t>
  </si>
  <si>
    <t>COMERCIO DE VEHÍCULOS AUTOMOTORES, ACCESORIOS Y PRODUCTOS CONEXOS</t>
  </si>
  <si>
    <t>0,95% x (RGA en UVT - 4.549</t>
  </si>
  <si>
    <t>PORCENTAJE DE INGRESOS POR ACTIVIDAD SERVICIO DE TRANSPORTE, ALMACENAMIENTO Y COMUNICACIONES</t>
  </si>
  <si>
    <t>PORCENTAJE DE INGRESOS POR ACTIVIDAD COMERCIO DE VEHÍCULOS AUTOMOTORES, ACCESORIOS Y PRODUCTOS CONEXOS</t>
  </si>
  <si>
    <t>SANCION DE EXTEMPORANEIDA</t>
  </si>
  <si>
    <t>IMPTO A CARGO</t>
  </si>
  <si>
    <t>INGRESOS</t>
  </si>
  <si>
    <t>LIMITE 1</t>
  </si>
  <si>
    <t>LIMITE 2</t>
  </si>
  <si>
    <t>LIMITE 3</t>
  </si>
  <si>
    <t>FECHA DE VENCIMIENTO</t>
  </si>
  <si>
    <t>EXTEMPORANEA</t>
  </si>
  <si>
    <t>MESES O FRACCION DE MES DE EXTEMPORANEIDA</t>
  </si>
  <si>
    <t>LA DECLARACION ES DE CORRECCION</t>
  </si>
  <si>
    <t>FECHA DE PRESENTACION CORRECCION</t>
  </si>
  <si>
    <t>00</t>
  </si>
  <si>
    <t>OPORTUNA</t>
  </si>
  <si>
    <t>SANCION MINIMA</t>
  </si>
  <si>
    <t>VALOR DE LA UVT AÑO PRESENTACION</t>
  </si>
  <si>
    <t>RETIROS  FONDOS DE FONDOS DE CESANTÍAS</t>
  </si>
  <si>
    <t>RETIROS  FONDOS DE PENSIÓN DE JUBILACIÓN E INVALIDEZ Y CUENTAS AFC VOLUNTARIOS</t>
  </si>
  <si>
    <t>OTROS INGRESOS LABORALES - FORMATO 220</t>
  </si>
  <si>
    <t>NOTIFICARON EMPLAZAMIENTO PARA CORREGIR</t>
  </si>
  <si>
    <t>SANCION DE CORRECCION</t>
  </si>
  <si>
    <t>NO HAY EMPLAZAMIENTO</t>
  </si>
  <si>
    <t>HAY EMPLAZAMIENTO</t>
  </si>
  <si>
    <t>COSTO DE SERVICIO DE TRANSPORTE, ALMACENAMIENTO Y COMUNICACIONES</t>
  </si>
  <si>
    <t>SALARIOS Y DEMAS PAGOS LABORALES</t>
  </si>
  <si>
    <t>COMBUSTIBLE</t>
  </si>
  <si>
    <t>REPUESTO Y MANTENIMIENTO</t>
  </si>
  <si>
    <t>RENTAS EXENTAS DEL IMPUESTO DE RENTA</t>
  </si>
  <si>
    <t>RENTAS EXENTAS DEL IMPUESTO DEL IMPUESTO DE GANANCIA OCASIONAL</t>
  </si>
  <si>
    <t>Otras Deducciones</t>
  </si>
  <si>
    <t>ARL</t>
  </si>
  <si>
    <t>LA DECLARACION INICIAL O ANTERIOR FUE EXTEMPORANEA</t>
  </si>
  <si>
    <t>VALOR DE LA SANCION DE LA DECLARACION INICIAL O ANTERIOR PRESENTADA EXTEMPORANEAMENTE</t>
  </si>
  <si>
    <t>SANCION DE CORRECCION CUANDO LA INICIAL ES EXTEMPORANEA</t>
  </si>
  <si>
    <t>FECHA DE PRESENTACION INICIAL O DE CORRECCION</t>
  </si>
  <si>
    <t>SANCION DE EXTEMPORANEDAD</t>
  </si>
  <si>
    <t>SANCION EXTEMPORANEIDAD EN CORRECCION</t>
  </si>
  <si>
    <t>LA DECLARACION INICIAL ES</t>
  </si>
  <si>
    <t>FECHA DE VENCIMIENTO DE LA DECLARACION INICIAL O ANTERIOR QUE FUE EXTEMPORANEA</t>
  </si>
  <si>
    <t>FECHA DE PRESENTACION DE LA DECLARACION INICIAL O ANTERIOR QUE FUE EXTEMPORANEA</t>
  </si>
  <si>
    <t>DETERMINE SI ES OPORTUNA O EXTEMPORANEA SI LA DECLARACION ES LA INICIAL DE LO CONTRARIO COLOQUE 0 ( CERO ) EN LA FECHA DE PRESENTACION</t>
  </si>
  <si>
    <t>Concepto</t>
  </si>
  <si>
    <t>Últimos dos  dígitos del NIT</t>
  </si>
  <si>
    <t>Fechas de vencimiento</t>
  </si>
  <si>
    <t>Declaración y pago</t>
  </si>
  <si>
    <t>IMPUESTO A CARGO</t>
  </si>
  <si>
    <t>SALDO A FAVOR</t>
  </si>
  <si>
    <t xml:space="preserve">SI LA DECLARACION ES DE CORRECCION RESPONDA LAS SIGUIENTES PREGUNTAS </t>
  </si>
  <si>
    <t>SALDO A PAGAR O SALDO A FAVOR DE LA DECLARACION INICIAL O ANTERIOR</t>
  </si>
  <si>
    <t>SALDO A PAGAR</t>
  </si>
  <si>
    <t>ESTA DECLARACION DEBE REALIZARSE SEGÚN ART 589 E.T.</t>
  </si>
  <si>
    <t>YAOP</t>
  </si>
  <si>
    <t>Ingresos excluidos de la base Gravable (RGA) IMAS</t>
  </si>
  <si>
    <t>IVA</t>
  </si>
  <si>
    <t>CESANTIAS E INTERES DE CESANTIAS CANCELADAS AL TRABAJADOR</t>
  </si>
  <si>
    <t>Total impuesto Neto</t>
  </si>
  <si>
    <t>Menos: Ingresos Excluidos de la Base (RGA) del IMAS</t>
  </si>
  <si>
    <t xml:space="preserve">NUM. 10 ART 206 E.T. 25% DE LOS PAGOS S/N PARAGRAFO 4 </t>
  </si>
  <si>
    <t>EMPLEADO DE INGRESOS LABORALES Aporte Obligatorio a Salud Concepto DIAN # 43973 de mayo 28 de 2008, aclarado con el concepto 066667 de Julio 11 de 2008</t>
  </si>
  <si>
    <t>EMPLEADO DE INGRESOS HONORARIOS Y SERVICIOS - Aporte Obligatorio a Salud Concepto DIAN # 43973 de mayo 28 de 2008, aclarado con el concepto 066667 de Julio 11 de 2008</t>
  </si>
  <si>
    <t>PENSION OBLIGATORIA - PARA EMPLEADO POR INGRESOS LABORALES</t>
  </si>
  <si>
    <t>PENSION OBLIGATORIA - PARA EMPLEADO POR INGRESOS HONORARIOS Y SERVICIOS</t>
  </si>
  <si>
    <t>REPONDA SI LA DECLARACION TRIBUTARIA ACTUAL ES:</t>
  </si>
  <si>
    <t>LIMITE DESCUENTOS TRIBUTARIOS</t>
  </si>
  <si>
    <t>PRIMER LIMITE</t>
  </si>
  <si>
    <t>IMPUESTO POR RENTA PRESUNTIVA</t>
  </si>
  <si>
    <t>IMPUESTO DESPUES DE DESCUENTO</t>
  </si>
  <si>
    <t>LIMITE IMPTO POR PRESUNTIVA</t>
  </si>
  <si>
    <t>DESCUENTO A TOMAR</t>
  </si>
  <si>
    <t>RENTA EXENTA DEL 25 INGRESOS HONORARIOS</t>
  </si>
  <si>
    <t>INCRNG</t>
  </si>
  <si>
    <t>RENTA EXENTA</t>
  </si>
  <si>
    <t>BASE LIQUIDAR RENTA EXENTA</t>
  </si>
  <si>
    <t>DETERMINACION DE LOS DESCUENTOS TRIBUTARIOS</t>
  </si>
  <si>
    <t>Aportes Obligatorios al sistema de seguridad social a Cargo del Trabajador</t>
  </si>
  <si>
    <t>Total retenciones año gravable 2016</t>
  </si>
  <si>
    <t>Anticipo renta por el año gravable 2017</t>
  </si>
  <si>
    <t>Ingresos brutos por rentas de trabajo (art 103 E.T.)</t>
  </si>
  <si>
    <t>Honorarios</t>
  </si>
  <si>
    <t>Ingresos no constitutivos de renta</t>
  </si>
  <si>
    <t>salud obligatoria</t>
  </si>
  <si>
    <t>pension Obligatoria</t>
  </si>
  <si>
    <t>Renta líquida (32 - 33)</t>
  </si>
  <si>
    <t>Rentas exentas de trabajo y deducciones  imputables</t>
  </si>
  <si>
    <t>Deducciones  imputables</t>
  </si>
  <si>
    <t>Dependientes</t>
  </si>
  <si>
    <t>Salud Prepagada</t>
  </si>
  <si>
    <t>Rentas exentas de trabajo</t>
  </si>
  <si>
    <t>pension voluntario</t>
  </si>
  <si>
    <t xml:space="preserve">AFC </t>
  </si>
  <si>
    <t>GMF</t>
  </si>
  <si>
    <t>ART 387 E.T.</t>
  </si>
  <si>
    <t>ART 115 E.T.</t>
  </si>
  <si>
    <t>ART 126-1 E.T.</t>
  </si>
  <si>
    <t>ART 126-4 E.T.</t>
  </si>
  <si>
    <t>ART 206 E.T.</t>
  </si>
  <si>
    <t>ART 207-1 E.T.</t>
  </si>
  <si>
    <t>Rentas exentas de trabajo y deducciones  imputables (Limitadas)</t>
  </si>
  <si>
    <t>Renta líquida cedular de trabajo (34 - 36)</t>
  </si>
  <si>
    <t>LIMITE DEL 40%</t>
  </si>
  <si>
    <t>LIMITE GENERAL 5040 UVT</t>
  </si>
  <si>
    <t>RENTAS DE TRABAJO</t>
  </si>
  <si>
    <t>CONTRIBUYENTE</t>
  </si>
  <si>
    <t>ELABORADO POR: OJEDA PACHECO YOIBER ANTONIO</t>
  </si>
  <si>
    <t>TOTAL DE RENTAS EXENTAS Y DEDUCCIONES IMPUTABLES</t>
  </si>
  <si>
    <t>Ingresos brutos por rentas de pensiones del pais y del exterior</t>
  </si>
  <si>
    <t>Rentas exentas</t>
  </si>
  <si>
    <r>
      <t xml:space="preserve">A los ingresos provenientes de esta cédula cuando sea una
renta de fuente nacional, solo se les resta como renta exenta la que establece el numeral 5 del artículo 206 del Estatuto. En consecuencia, </t>
    </r>
    <r>
      <rPr>
        <sz val="12"/>
        <color rgb="FFFF0000"/>
        <rFont val="Arial"/>
        <family val="2"/>
      </rPr>
      <t xml:space="preserve">no se encuentra autorizada ninguna deducción, de conformidad con lo establecido en el inciso 2° del artículo 337 del Estatuto Tributario. </t>
    </r>
  </si>
  <si>
    <t>RENTAS DE PENSIONES</t>
  </si>
  <si>
    <t>DEPURACION RENTA CEDULA CAPITAL</t>
  </si>
  <si>
    <t>DEPURACION RENTA CEDULA PENSION</t>
  </si>
  <si>
    <r>
      <t>PENSIONES DE JUBILACIÓN, INVALIDEZ, VEJEZ, DE SOBREVIVIENTES Y SOBRE RIESGOS PROFESIONALES</t>
    </r>
    <r>
      <rPr>
        <b/>
        <sz val="9"/>
        <rFont val="Arial"/>
        <family val="2"/>
      </rPr>
      <t xml:space="preserve"> DE FUENTE NACIONAL</t>
    </r>
  </si>
  <si>
    <r>
      <t xml:space="preserve">PENSIONES DE JUBILACIÓN, INVALIDEZ, VEJEZ, DE SOBREVIVIENTES Y SOBRE RIESGOS PROFESIONALES </t>
    </r>
    <r>
      <rPr>
        <b/>
        <sz val="10"/>
        <rFont val="Arial"/>
        <family val="2"/>
      </rPr>
      <t>DE FUENTE EXTRANJERA</t>
    </r>
  </si>
  <si>
    <t>Ingresos brutos por rentas de Capital</t>
  </si>
  <si>
    <t>REGALIAS Y EXPLOTACION INTELECTUAL</t>
  </si>
  <si>
    <t>Componente Inflacionario</t>
  </si>
  <si>
    <t>Intereses credito Vivivienda- Art. 119 E.T.</t>
  </si>
  <si>
    <t>Aporte a Cesantias - Inc. 6 Art 126-1 E.T.</t>
  </si>
  <si>
    <t>Costos y Gastos Procedentes</t>
  </si>
  <si>
    <t>COSTOS ARRENDAMIENTO DE BIENES MUEBLES E INMUEBLES</t>
  </si>
  <si>
    <t>RENTAS DE CAPITAL</t>
  </si>
  <si>
    <t>+'DATOS PARA DEPURAR'!C35</t>
  </si>
  <si>
    <t>COSTO DE ARRENDAMIENTOS DE INMUEBLES Y/O MUEBLES</t>
  </si>
  <si>
    <t>SERVICIOS PUBLICOS</t>
  </si>
  <si>
    <t>PAGO DE LEASING OPERATIVO</t>
  </si>
  <si>
    <t>PAGO INMOBILIARIA INTERMEDIACION</t>
  </si>
  <si>
    <t>PAGO DE ARRENDAMIENTO DEL BIEN ARRENDADO</t>
  </si>
  <si>
    <t>MANTENIMIENTO Y ADECUACIONES</t>
  </si>
  <si>
    <t>GASTOS PROCEDENTES</t>
  </si>
  <si>
    <t>SALUD OBLIGATORIA</t>
  </si>
  <si>
    <t>PENSION OBLIGATORIA</t>
  </si>
  <si>
    <t>DEDUCCIONES IMPUTABLES</t>
  </si>
  <si>
    <t>Gastos de nómina incluidos los aportes a seguridad social y parafiscales de los empleados</t>
  </si>
  <si>
    <r>
      <t xml:space="preserve">Impuestos Pagados </t>
    </r>
    <r>
      <rPr>
        <b/>
        <sz val="8"/>
        <rFont val="Arial"/>
        <family val="2"/>
      </rPr>
      <t>Diferente</t>
    </r>
    <r>
      <rPr>
        <sz val="8"/>
        <rFont val="Arial"/>
        <family val="2"/>
      </rPr>
      <t xml:space="preserve"> a Gravamen Movimiento Financiero</t>
    </r>
  </si>
  <si>
    <t>Impuestos Pagados Diferente a Gravamen Movimiento Financiero</t>
  </si>
  <si>
    <t>Arrendamiento muebles e inmuebles</t>
  </si>
  <si>
    <t>Servicios Publicos</t>
  </si>
  <si>
    <t>Servicios Generales</t>
  </si>
  <si>
    <t>Renta Liquida Pasivas de Capital - ECE</t>
  </si>
  <si>
    <t>Renta liquida Ordinaria del Ejercicio</t>
  </si>
  <si>
    <t>Perdida liquida Ordinaria del Ejercicio</t>
  </si>
  <si>
    <t>Compensacion de Perdidas de Ejercicios Anteriortes</t>
  </si>
  <si>
    <t>Renta líquida cedular de Capital (50 - 52) si 50 es igual a Cero (0), 53 es Igual a Cero</t>
  </si>
  <si>
    <t>Rentas exentas de Capital</t>
  </si>
  <si>
    <t>OJEDA PACHECO YOIBER ANTONIO</t>
  </si>
  <si>
    <t xml:space="preserve">        ELABORADO POR </t>
  </si>
  <si>
    <t>Renta líquida (38 - 39)</t>
  </si>
  <si>
    <t>Renta líquida cedular de Pension (40 - 41)</t>
  </si>
  <si>
    <t>Ingresos brutos por rentas No Laboral</t>
  </si>
  <si>
    <t>DE ACTIVIDAD GANADERA</t>
  </si>
  <si>
    <t>ELABORADO POR  OJEDA PACHECO YOIBER ANTONIO</t>
  </si>
  <si>
    <t>Las demas de los Art 36 al 57-2 E.T.</t>
  </si>
  <si>
    <t>Las demas de los Art 207-2 E.T.</t>
  </si>
  <si>
    <t>Renta Liquida Pasivas No Laborales - ECE</t>
  </si>
  <si>
    <t>Rentas exentas No Laborales y deducciones  imputables</t>
  </si>
  <si>
    <t>Rentas exentas No Laborales</t>
  </si>
  <si>
    <t>Rentas exentas No Laboral y deducciones  imputables (Limitadas)</t>
  </si>
  <si>
    <t>Renta líquida cedular No Laboral (50 - 52) si 50 es igual a Cero (0), 53 es Igual a Cero</t>
  </si>
  <si>
    <t>Renta líquida (54 - 55 - 56 - 57)</t>
  </si>
  <si>
    <t xml:space="preserve">Compensacion </t>
  </si>
  <si>
    <t>Renta liquida Gravables No Laborales</t>
  </si>
  <si>
    <t>Devoluciones, Rebajas y Descuentos</t>
  </si>
  <si>
    <t>SERVICIO DE TRANSPORTE, ALMACENAMIENTO, COMUNICACIONES E INTERMEDIACION</t>
  </si>
  <si>
    <t>Por intereses diferentes a los originados en préstamos para adquisición de vivienda</t>
  </si>
  <si>
    <t>TOTAL DE RENTA LIQUIDA</t>
  </si>
  <si>
    <t>LIQUIDACION IMPUESTO PARA RENTA CEDULA LABORAL Y RENTA DE PENSION</t>
  </si>
  <si>
    <t>IMPUESTO PARA RENTA CEDULA LABORAL Y RENTA DE PENSION</t>
  </si>
  <si>
    <t>RANGO # 1</t>
  </si>
  <si>
    <t>RANGO # 2</t>
  </si>
  <si>
    <t>RANGO # 3</t>
  </si>
  <si>
    <t>RANGO # 4</t>
  </si>
  <si>
    <t>LIQUIDACION IMPUESTO PARA RENTA CEDULA NO LABORAL Y RENTA DE CAPITAL</t>
  </si>
  <si>
    <t>&gt;600</t>
  </si>
  <si>
    <t>&gt;1000</t>
  </si>
  <si>
    <t>&gt;2000</t>
  </si>
  <si>
    <t>&gt;3000</t>
  </si>
  <si>
    <t>RANGO # 5</t>
  </si>
  <si>
    <t>&gt;4000</t>
  </si>
  <si>
    <t>RANGO # 6</t>
  </si>
  <si>
    <t>RENTA EXENTAS</t>
  </si>
  <si>
    <t>Total retenciones año gravable 2017</t>
  </si>
  <si>
    <t>Anticipo renta por el año gravable 2018</t>
  </si>
  <si>
    <t>RENTAS NO LABORAL</t>
  </si>
  <si>
    <t>Ingresos por ganancias ocasionales en el país y del exterior</t>
  </si>
  <si>
    <t>RENTA</t>
  </si>
  <si>
    <t>Total Renta liquida Cedulares sume 37+42+53+66+74</t>
  </si>
  <si>
    <t>Renta Presuntiva</t>
  </si>
  <si>
    <t>RENTA POR DIVIDENDOS Y PARTCIPACIONES</t>
  </si>
  <si>
    <t xml:space="preserve">Dividendos y participaciones 2016 y anteriores, y otros </t>
  </si>
  <si>
    <t xml:space="preserve">Renta líquida ordinaria año 2016 y anteriores (67 - 68) </t>
  </si>
  <si>
    <t>1a. Subcédula año 2017 y siguientes numeral 3 art. 49 del E.T.</t>
  </si>
  <si>
    <t xml:space="preserve">2a. Subcédula año 2017 y siguientes parágrafo 2  art. 49 del E.T. </t>
  </si>
  <si>
    <t>Renta líquida pasiva dividendos - ECE y/o recibidos del exterior</t>
  </si>
  <si>
    <t>Rentas exentas de la casilla 72</t>
  </si>
  <si>
    <t>Rentas líquidas gravables de dividendos y participaciones (69 + 70 + 71 + 72 - 73)</t>
  </si>
  <si>
    <t>UNIVERSIDAD POPULAR DEL CESAR SECCIONAL AGUACHICA</t>
  </si>
  <si>
    <r>
      <t xml:space="preserve">          </t>
    </r>
    <r>
      <rPr>
        <sz val="7"/>
        <color theme="0"/>
        <rFont val="Arial"/>
        <family val="2"/>
      </rPr>
      <t>ELABORADO  POR EL C.P. YOIBER ANTONIO OJEDA PACHECO</t>
    </r>
    <r>
      <rPr>
        <sz val="8"/>
        <color theme="0"/>
        <rFont val="Arial"/>
        <family val="2"/>
      </rPr>
      <t xml:space="preserve">-DOCENTE  </t>
    </r>
  </si>
  <si>
    <t>Impuestos Sobre las Rentas Liquidas Cedulares</t>
  </si>
  <si>
    <t xml:space="preserve">De trabajo y de pensiones </t>
  </si>
  <si>
    <t>De capital y no laborales</t>
  </si>
  <si>
    <t>Por dividendos y participaciones año 2016 – casilla 6</t>
  </si>
  <si>
    <t>Por dividendos y participaciones año 2017 y siguientes, 2a. Subcédula,  y otros</t>
  </si>
  <si>
    <t>Por dividendos y participaciones año 2017 y siguientes, 1a. Subcédula,</t>
  </si>
  <si>
    <t>Saldo a favor año 2016 sin solicitud de devolución o compensación</t>
  </si>
  <si>
    <t>Por impuestos pagados en el exterior</t>
  </si>
  <si>
    <t>Total impuesto sobre las rentas líquidas cedulares (Sume 81 a 85)</t>
  </si>
  <si>
    <t>Impuesto sobre la renta presuntiva</t>
  </si>
  <si>
    <t xml:space="preserve">Total impuesto sobre la renta líquida </t>
  </si>
  <si>
    <t>VENTAS DE ACTIVOS FIJOS</t>
  </si>
  <si>
    <t>HERENCIA DIFERENTE A UNA VIVIENDA URBANA E UN INMUEBLE RURAL DE PROPIEDAD DEL CAUSANTE</t>
  </si>
  <si>
    <t>LEGADO DIFERENTE A UNA VIVIENDA URBANA E UN INMUEBLE RURAL DE PROPIEDAD DEL CAUSANTE</t>
  </si>
  <si>
    <t>ANTICIPO DE IMPUESTO</t>
  </si>
  <si>
    <t>LIQUIDACION DEL IMPUESTO SOBRE LA RENTA LIQUIDA ESPECIAL</t>
  </si>
  <si>
    <t>HONORARIOS Y PRESTACION DE SERVICIOS CUMPLEN CON LA DEFINICION DE COMPENSACION DE SERVICIOS PERSONALES</t>
  </si>
  <si>
    <t>ARRIENDO LOCAL DEL CONSULTORIO, OFICINA, SEDE O LOCAL</t>
  </si>
  <si>
    <t>SERVICIOS PUBLICOS LOCAL DEL CONSULTORIO, OFICINA, SEDE O LOCAL</t>
  </si>
  <si>
    <t>SALARIOS EMPLEADOS LOCAL DEL CONSULTORIO, OFICINA, SEDE O LOCAL</t>
  </si>
  <si>
    <t>PRESTACIONES SOCIALES EMPLEADOS LOCAL DEL CONSULTORIO, OFICINA, SEDE O LOCAL</t>
  </si>
  <si>
    <t>SEGURIDAD SOCIAL Y APORTE PARAFISCALES EMPLEADOS LOCAL DEL CONSULTORIO, OFICINA, SEDE O LOCAL</t>
  </si>
  <si>
    <t>Honorarios y Prestacion de Servicios</t>
  </si>
  <si>
    <t>RENTAS POR DIVIDENDOS Y PARTICIPACIONES</t>
  </si>
  <si>
    <t>DEPURACION RENTA POR DIVIDENDOS Y PARTICIPACIONES</t>
  </si>
  <si>
    <t>2a. Subcédula año 2017 y siguientes numeral 4 art. 49 del E.T.</t>
  </si>
  <si>
    <t>DECRETADAS ASAMBLEA DE ACCIONISTAS O JUNTA DE SOCIOS DE AÑOS 2016 Y ANTERIORES</t>
  </si>
  <si>
    <t>CERTIFICADAS S/N NUM. 7 ART 49 E.T.</t>
  </si>
  <si>
    <t>DIVIDENDOS Y PARTICIPACIONES NO GRAVADOS CERTIFICADAS</t>
  </si>
  <si>
    <t>DIVIDENDOS Y PARTICIPACIONES DECRETADOS</t>
  </si>
  <si>
    <t>SECCION DE COSTOS / GASTOS PROCEDENTES / DEDUCCIONES IMPUTABLES</t>
  </si>
  <si>
    <t>SECCION DE DATOS FISCALES</t>
  </si>
  <si>
    <t>RENTA LIQUIDA GRAVABLE - RECUPERACION DE DEDUCCIONES</t>
  </si>
  <si>
    <t>+'DATOS PARA DEPURAR'!C36</t>
  </si>
  <si>
    <t>CANON DE ARRENDAMIENTO DE MUEBLES</t>
  </si>
  <si>
    <t>Salarios</t>
  </si>
  <si>
    <t>servicios de Transporte</t>
  </si>
  <si>
    <t>OBLIGADO A LLEVAR CONTABILIDAD</t>
  </si>
  <si>
    <r>
      <t xml:space="preserve">Por intereses </t>
    </r>
    <r>
      <rPr>
        <b/>
        <sz val="8"/>
        <rFont val="Arial"/>
        <family val="2"/>
      </rPr>
      <t>diferentes</t>
    </r>
    <r>
      <rPr>
        <sz val="8"/>
        <rFont val="Arial"/>
        <family val="2"/>
      </rPr>
      <t xml:space="preserve"> a los originados en préstamos para adquisición de vivienda</t>
    </r>
  </si>
  <si>
    <t>CANON DE ARRENDAMIENTO DE FINCA</t>
  </si>
  <si>
    <t>INSUMOS Y MEDICAMENTOS GANADO BOVINO</t>
  </si>
  <si>
    <t>EQUIPO DE COMPUTACION</t>
  </si>
  <si>
    <t>MUEBLES Y ENSERES CASA DE HABITACION</t>
  </si>
  <si>
    <t>APORTE EN FONDO DE PENSIONES Y/O CESANTIAS</t>
  </si>
  <si>
    <t>JUEGO DE INVENTARIO</t>
  </si>
  <si>
    <t xml:space="preserve">DE COMERCIANTE </t>
  </si>
  <si>
    <t>SISTEMA PERMANENTE</t>
  </si>
  <si>
    <t>COMERCIO AL POR MENOR Y AL POR MAYOR</t>
  </si>
  <si>
    <t>CANON DE ARRENDAMIENTO DE INMUEBLES</t>
  </si>
  <si>
    <t>IMPUESTO PREDIAL</t>
  </si>
  <si>
    <t>TOTAL PENSION VOLUNTARIO Y AFC</t>
  </si>
  <si>
    <t>LIMITE DE TOTAL PENSION VOLUNTARIO Y AFC (30%)</t>
  </si>
  <si>
    <t>LIMITE DE TOTAL PENSION VOLUNTARIO Y AFC (3800 UVT)</t>
  </si>
  <si>
    <t>INDEMNIZACIONES EN DINERO O EN ESPECIE POR SEGURO DE DAÑO-DAÑO EMERGENTE</t>
  </si>
  <si>
    <t>INDEMNIZACIONES EN DINERO O EN ESPECIE POR SEGURO DE DAÑO(LUCRO CESANTE + DAÑO EMERGENTE)</t>
  </si>
  <si>
    <t>SEGURO POR MUERTE Y COMPENSACIÓN POR MUERTE DE LAS FF.MM  Y LA POLICÍA NACIONAL</t>
  </si>
  <si>
    <t>VENTAS DE ACTIVOS FIJOS POSEIDOS POR MENOS DE 2 AÑOS</t>
  </si>
  <si>
    <t xml:space="preserve">Obtenidos en el exterior </t>
  </si>
  <si>
    <t xml:space="preserve">Ingresos Obtenidos en el exterior </t>
  </si>
  <si>
    <t>COSTOS INGRESOS OBTENIDOS EN EL EXTERIOR</t>
  </si>
  <si>
    <t>Ingresos no constitutivos de renta, Costos y Gastos procedentes trabajadores Independiente</t>
  </si>
  <si>
    <t>Ingresos No constitutivo de Renta ni ganancia ocasional</t>
  </si>
  <si>
    <t>TOTAL GASTOS PROCEDENTES</t>
  </si>
  <si>
    <t>Costos</t>
  </si>
  <si>
    <t>Saldo a favor año 2017 sin solicitud de devolución o compensación</t>
  </si>
  <si>
    <t>Total retenciones año gravable 2018</t>
  </si>
  <si>
    <t>Anticipo renta por el año gravable 2019</t>
  </si>
  <si>
    <t>TOTAL COSTOS TODAS LAS ACTIVIDADES</t>
  </si>
  <si>
    <t>Gastos procedentes</t>
  </si>
  <si>
    <t xml:space="preserve">Ingresos no constitutivos de renta, </t>
  </si>
  <si>
    <t>Costos y Deducciones procedentes (trabajadores Independiente)</t>
  </si>
  <si>
    <t>Renta líquida (31-32 - 33)</t>
  </si>
  <si>
    <t>Cedulas de Pensiones</t>
  </si>
  <si>
    <t>Cedula de Dividendos y participaciones</t>
  </si>
  <si>
    <t>Rentas exentas de la casilla 79</t>
  </si>
  <si>
    <t>Costos y deducciones Procedentes</t>
  </si>
  <si>
    <t>Rentas exentas y deducciones imputables
a las rentas no laborales</t>
  </si>
  <si>
    <t xml:space="preserve">Rentas exentas y deducciones imputables
(limitadas) </t>
  </si>
  <si>
    <t>Renta líquida cédula general (ver instructivo)</t>
  </si>
  <si>
    <t>Rentas exentas y deducciones imputables
limitadas (36 + 44 + 56)</t>
  </si>
  <si>
    <t>Renta líquida ordinaria cédula general
(61 - 62)</t>
  </si>
  <si>
    <t>Compensaciones por pérdidas rentas de capital</t>
  </si>
  <si>
    <t>Compensaciones por pérdidas rentas
no laborales</t>
  </si>
  <si>
    <t xml:space="preserve">Compensaciones por pérdidas año gravable 2016
y anteriores </t>
  </si>
  <si>
    <t>Compensaciones por exceso de renta presuntiva</t>
  </si>
  <si>
    <t>Renta liquida Gravables</t>
  </si>
  <si>
    <t>Renta líquida gravable cédula general
(63 + 66 - 64 - 65)</t>
  </si>
  <si>
    <t>CEDULA GENERAL</t>
  </si>
  <si>
    <t>General y de pensiones
(base casillas 67 + 73)</t>
  </si>
  <si>
    <t>o Renta presuntiva y de pensiones
(base casillas 68 + 73)</t>
  </si>
  <si>
    <t>Impuestos Sobre las Rentas Liquidas Gravable</t>
  </si>
  <si>
    <t>Total impuesto sobre las rentas líquidas
gravables (sume 85 a 89)</t>
  </si>
  <si>
    <t>General y de pensiones (base casillas 67 + 73)</t>
  </si>
  <si>
    <t>IMPUESTO PARA RENTA GENERAL Y DE PENSION</t>
  </si>
  <si>
    <t>&gt;8670</t>
  </si>
  <si>
    <t>&gt;18970</t>
  </si>
  <si>
    <t>&gt;31000</t>
  </si>
  <si>
    <t>RANGO # 7</t>
  </si>
  <si>
    <t>Saldo a pagar por impuesto
(98 + 102 - 99 - 100 - 101)</t>
  </si>
  <si>
    <t>Total saldo a pagar (98 + 102 + 104 - 99 - 100 - 101)</t>
  </si>
  <si>
    <t>Total saldo a favor
(99 + 100 + 101 - 98 - 102 - 104)</t>
  </si>
  <si>
    <t>Retenciones año gravable a declarar</t>
  </si>
  <si>
    <t xml:space="preserve">Saldo a favor del año gravable anterior sin
solicitud de devolución y/o compensación </t>
  </si>
  <si>
    <t>Anticipo renta liquidado año gravable anterior</t>
  </si>
  <si>
    <t>Renta líquida (49 - 50 - 51 - 52)</t>
  </si>
  <si>
    <t>Renta líquida ordinaria del ejercicio (49 + 54 - 50 - 51 - 52 - 56)</t>
  </si>
  <si>
    <t>Pérdida líquida del ejercicio (50 + 51 + 52 - 49 - 54)</t>
  </si>
  <si>
    <t>Compensaciones por pérdidas rentas no laborales</t>
  </si>
  <si>
    <t>Renta líquida no laboral (57 - 59)</t>
  </si>
  <si>
    <t>Devoluciones, Rebajas y descuentos</t>
  </si>
  <si>
    <t>Renta líquida (69 - 70)</t>
  </si>
  <si>
    <t>Renta líquida cedular de Pension (71 - 72)</t>
  </si>
  <si>
    <t>Renta líquida (31 - 32 - 33)</t>
  </si>
  <si>
    <t>Renta líquida (38-39-40)</t>
  </si>
  <si>
    <t>Renta líquida ordinaria del ejercicio (38 + 42 - 39 - 40 - 44)</t>
  </si>
  <si>
    <t>Pérdida líquida del ejercicio (39 + 40 - 38 - 42)</t>
  </si>
  <si>
    <t>Compensacion de Perdidas de rentas de Capital</t>
  </si>
  <si>
    <t>Renta líquida de capital (45 - 47)</t>
  </si>
  <si>
    <t>COMPENSACION DE PERDIDAS FISCALES - ART 150 E.T. RENTA LABORAL</t>
  </si>
  <si>
    <t>COMPENSACION DE PERDIDAS FISCALES - ART 150 E.T. RENTA DE CAPITAL</t>
  </si>
  <si>
    <t>COMPENSACION DE RENTA PRESUNTIVA</t>
  </si>
  <si>
    <t>Viaticos</t>
  </si>
  <si>
    <t>Las donaciones efectuadas a entidades sin ánimo de lucro que hayan sido calificadas en el régimen especial del impuesto sobre la renta y complementarios y a las entidades no contribuyentes de que tratan los artículos 22 y 23 del Estatuto Tributario</t>
  </si>
  <si>
    <t xml:space="preserve">IMPUESTO BASICO DE RENTA </t>
  </si>
  <si>
    <t>DESCUENTOS TRIBUTARIOS</t>
  </si>
  <si>
    <t>TOTAL DE DESCUENTOS</t>
  </si>
  <si>
    <t>IMPUESTO BASICO DE RENTA DESPUES DE DESCUENTO</t>
  </si>
  <si>
    <t>IMPUESTO POR PRESUNTIVA</t>
  </si>
  <si>
    <t>LIMITE 75% IMPTO POR PRESUNTIVA</t>
  </si>
  <si>
    <t>%</t>
  </si>
  <si>
    <t xml:space="preserve">Renta líquida ordinaria año 2016 y anteriores (74 - 75) </t>
  </si>
  <si>
    <t>CESANTIAS E INTERES DE CESANTIAS RETIRADAS DEL FONDO</t>
  </si>
  <si>
    <t xml:space="preserve">PERSONA NATURAL Y ASIMILADAS DE RESIDENTES Y SUCESIONES </t>
  </si>
  <si>
    <t>ILIQUIDAS DE CAUSANTES RESIDENTES</t>
  </si>
  <si>
    <t>EFECTIVO Y EQUIVALENTE AL EFECTIVO</t>
  </si>
  <si>
    <t>TOTAL DE RETENCIONES POR RENTA Y GANANCIA OCASIONAL AÑO 2020</t>
  </si>
  <si>
    <t>PATRIMONIO</t>
  </si>
  <si>
    <t>Ingresos Brutos</t>
  </si>
  <si>
    <t>Ingresos No constitutivos de Renta</t>
  </si>
  <si>
    <t>Costos y Deducciones Procedentes</t>
  </si>
  <si>
    <t>Renta Liquida</t>
  </si>
  <si>
    <t>Renta Liquida Pasivas ECE</t>
  </si>
  <si>
    <t>Conceptos / Rentas</t>
  </si>
  <si>
    <t>Rentas de Trabajo</t>
  </si>
  <si>
    <t>Rentas No laborales</t>
  </si>
  <si>
    <t>Rentas De Capital</t>
  </si>
  <si>
    <t>Rentas por Honorarios y comp. De servicios personales sujetos A costos y gastos y no a las rentas exentas Num. 10 art 206 E.T.</t>
  </si>
  <si>
    <t>RENTAS EXENTAS</t>
  </si>
  <si>
    <t>Aportes Voluntarios AFC, FVP y/o AVC</t>
  </si>
  <si>
    <t>Otras Rentas Exentas</t>
  </si>
  <si>
    <t>Total Rentas Exentas</t>
  </si>
  <si>
    <t>Deducciones Imputables</t>
  </si>
  <si>
    <t>Intereses de Vivienda</t>
  </si>
  <si>
    <t>Otras Deducciones Imputables</t>
  </si>
  <si>
    <t>Total de Deducciones Imputables</t>
  </si>
  <si>
    <t>Rentas Exentas y/o deduc. Imputables (Limitadas)</t>
  </si>
  <si>
    <t>Rentas Liquida Ordinaria del Ejercicio</t>
  </si>
  <si>
    <t>Perdida Liquida del Ejercicio</t>
  </si>
  <si>
    <t>Compensacion por Perdidas</t>
  </si>
  <si>
    <t>Renta Liquida Ordinaria</t>
  </si>
  <si>
    <t>Renta líquida cedular de trabajo (34 - 41)</t>
  </si>
  <si>
    <t>DEPURACION RENTA GENERAL NO LABORAL</t>
  </si>
  <si>
    <t>DEPURACION RENTA GENERAL LABORAL</t>
  </si>
  <si>
    <t>HONORARIOS Y PRESTACION DE SERVICIOS QUE NO CUMPLEN CON LA DEFINICION DE COMPENSACION DE SERVICIOS PERSONALES</t>
  </si>
  <si>
    <t>Ingresos brutos Rentas por Honorarios y comp. De servicios personales sujetos A costos y gastos y no a las rentas exentas Num. 10 art 206 E.T.</t>
  </si>
  <si>
    <t>Renta líquida General Honorarios (46 - 53)</t>
  </si>
  <si>
    <t>SERVICIOS PERSONALES MEDIANTE EL EJERCICIO DE PROFESIONES LIBERALES QUE CUMPLEN CON EL PARAGRAFO 5 ART 206 E.T. Y DECIDAN APLICAR LA RENTA EXENTA 25% Y NO APLICAR LOS COSTOS Y GASTOS PROCEDENTE</t>
  </si>
  <si>
    <t>SERVICIOS PERSONALES MEDIANTE EL EJERCICIO DE PROFESIONES LIBERALES QUE CUMPLEN CON EL PARAGRAFO 5 ART 206 E.T. Y NO DECIDAN APLICAR LA RENTA EXENTA 25% Y APLICAR LOS COSTOS Y GASTOS PROCEDENTES</t>
  </si>
  <si>
    <t>SERVICIOS TÉCNICOS QUE CUMPLEN CON EL PARAGRAFO 5 ART 206 E.T. Y DECIDAN APLICAR LA RENTA EXENTA 25% Y NO APLICAR LOS COSTOS Y GASTOS PROCEDENTES</t>
  </si>
  <si>
    <t xml:space="preserve">SERVICIOS TÉCNICOS QUE CUMPLEN CUMPLEN CON EL PARAGRAFO 5 ART 206 E.T. Y DECIDAN APLICAR LA RENTA EXENTA 25% Y NO APLICAR LOS COSTOS Y GASTOS PROCEDENTES </t>
  </si>
  <si>
    <t>Rentas exentas y deducciones  imputables</t>
  </si>
  <si>
    <t>Comp. Perdidas año 2018 y ant.</t>
  </si>
  <si>
    <t>R. liq. Ord. Cedula General</t>
  </si>
  <si>
    <t>R. liq. Grav. Cedula General</t>
  </si>
  <si>
    <t>Renta Gravables</t>
  </si>
  <si>
    <t>Ren. Ex. Y ded. Imp. Li.</t>
  </si>
  <si>
    <t>Ren. Liquida Ced. Gen</t>
  </si>
  <si>
    <t>Comp. Por Exc. Renta Presuntiva</t>
  </si>
  <si>
    <t>Renta líquida (99 - 100)</t>
  </si>
  <si>
    <t>Renta deudores Regimen Ley 1116 de 2006, Decreto 560 y 772 de 2020</t>
  </si>
  <si>
    <t>Utilizacion de Perdidas Fiscales Acumuladas(Inc. 2 Art 15 Decreto 772 de 2020</t>
  </si>
  <si>
    <t>Imp. Pagados en el Ext.</t>
  </si>
  <si>
    <t>Total Descuentos trib.</t>
  </si>
  <si>
    <t>Saldo a Pagar Por Impuesto</t>
  </si>
  <si>
    <t>Total Saldo a Pagar</t>
  </si>
  <si>
    <t>Total Saldo a Favor</t>
  </si>
  <si>
    <t>General y de pensiones
(base casillas 97 +103)</t>
  </si>
  <si>
    <t>Renta líquida (58-59-60)</t>
  </si>
  <si>
    <t>Renta líquida de capital (70 - 72)</t>
  </si>
  <si>
    <t>Renta líquida ordinaria del ejercicio (58 + 59 - 60 - 62 - 69)</t>
  </si>
  <si>
    <t>Pérdida líquida del ejercicio (60+62+69-58-59)</t>
  </si>
  <si>
    <t>COMPENSACION DE PERDIDAS FISCALES - ART 150 E.T. RENTA HONORARIOS</t>
  </si>
  <si>
    <t>TOTAL COSTOS Y GASTOS PROCEDENTES</t>
  </si>
  <si>
    <t>ANTICIPO DE IMPTO AÑO 2021</t>
  </si>
  <si>
    <t>SALDO A FAVOR RENTA AÑO 2020</t>
  </si>
  <si>
    <t>SALDO A FAVOR IVA 2020</t>
  </si>
  <si>
    <t>LIQUIDACION IMPUESTO DIVIDENDOS</t>
  </si>
  <si>
    <t>IMPUESTO DIVIDENDOS</t>
  </si>
  <si>
    <t>&gt;300</t>
  </si>
  <si>
    <t>DATOS  DE LA DECLARACION AÑO 2020</t>
  </si>
  <si>
    <t>DATOS DEL CONTRIBUYENTE Y DE LA DECLARACION AÑO 2021</t>
  </si>
  <si>
    <t>PATRIMONIO BRUTO AÑO 2020 - FORMATO 210 - RG 29</t>
  </si>
  <si>
    <t>PATRIMONIO LIQUIDO AÑO 2020- FORMATO 210 - RG 31</t>
  </si>
  <si>
    <t>IMPUESTO NETO DE RENTA AÑO 2020 - FORMATO 210 - RG 127</t>
  </si>
  <si>
    <t>ANTICIPO DE IMPUESTO RENTA AÑO 2020 - FORMATO 210 - RG 134</t>
  </si>
  <si>
    <t>SALDO A FAVOR AÑO 2020 - FORMATO 210 - RG 138</t>
  </si>
  <si>
    <t>OJEDA RIOJAS DAVID MATEO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</si>
</sst>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2" formatCode="_-&quot;$&quot;\ * #,##0_-;\-&quot;$&quot;\ * #,##0_-;_-&quot;$&quot;\ * &quot;-&quot;_-;_-@_-"/>
    <numFmt numFmtId="43" formatCode="_-* #,##0.00_-;\-* #,##0.00_-;_-* &quot;-&quot;??_-;_-@_-"/>
    <numFmt numFmtId="164" formatCode="_-&quot;$&quot;* #,##0.00_-;\-&quot;$&quot;* #,##0.00_-;_-&quot;$&quot;* &quot;-&quot;??_-;_-@_-"/>
    <numFmt numFmtId="165" formatCode="_ &quot;$&quot;\ * #,##0.00_ ;_ &quot;$&quot;\ * \-#,##0.00_ ;_ &quot;$&quot;\ * &quot;-&quot;??_ ;_ @_ "/>
    <numFmt numFmtId="166" formatCode="_ * #,##0.00_ ;_ * \-#,##0.00_ ;_ * &quot;-&quot;??_ ;_ @_ "/>
    <numFmt numFmtId="167" formatCode="_-&quot;$&quot;* #,##0_-;\-&quot;$&quot;* #,##0_-;_-&quot;$&quot;* &quot;-&quot;??_-;_-@_-"/>
    <numFmt numFmtId="168" formatCode="_ * #,##0_ ;_ * \-#,##0_ ;_ * &quot;-&quot;??_ ;_ @_ "/>
    <numFmt numFmtId="169" formatCode="_ &quot;$&quot;\ * #,##0_ ;_ &quot;$&quot;\ * \-#,##0_ ;_ &quot;$&quot;\ * &quot;-&quot;??_ ;_ @_ "/>
    <numFmt numFmtId="170" formatCode="_-* #,##0.0_-;\-* #,##0.0_-;_-* &quot;-&quot;??_-;_-@_-"/>
    <numFmt numFmtId="171" formatCode="_-* #,##0_-;\-* #,##0_-;_-* &quot;-&quot;??_-;_-@_-"/>
    <numFmt numFmtId="172" formatCode="[$-240A]d&quot; de &quot;mmmm&quot; de &quot;yyyy;@"/>
    <numFmt numFmtId="173" formatCode="_-&quot;$&quot;* #,##0.0_-;\-&quot;$&quot;* #,##0.0_-;_-&quot;$&quot;* &quot;-&quot;??_-;_-@_-"/>
  </numFmts>
  <fonts count="93" x14ac:knownFonts="1">
    <font>
      <sz val="10"/>
      <name val="Arial"/>
    </font>
    <font>
      <sz val="11"/>
      <color theme="1"/>
      <name val="Calibri"/>
      <family val="2"/>
      <scheme val="minor"/>
    </font>
    <font>
      <sz val="10"/>
      <name val="Arial"/>
      <family val="2"/>
    </font>
    <font>
      <sz val="9"/>
      <name val="Arial"/>
      <family val="2"/>
    </font>
    <font>
      <b/>
      <sz val="10"/>
      <name val="Arial"/>
      <family val="2"/>
    </font>
    <font>
      <sz val="10"/>
      <name val="Arial"/>
      <family val="2"/>
    </font>
    <font>
      <b/>
      <sz val="12"/>
      <name val="Arial"/>
      <family val="2"/>
    </font>
    <font>
      <b/>
      <sz val="14"/>
      <name val="Arial"/>
      <family val="2"/>
    </font>
    <font>
      <sz val="8"/>
      <name val="Arial"/>
      <family val="2"/>
    </font>
    <font>
      <b/>
      <sz val="8"/>
      <name val="Arial"/>
      <family val="2"/>
    </font>
    <font>
      <sz val="10"/>
      <name val="Arial"/>
      <family val="2"/>
    </font>
    <font>
      <sz val="10"/>
      <name val="Lucida Calligraphy"/>
      <family val="4"/>
    </font>
    <font>
      <sz val="8"/>
      <color indexed="81"/>
      <name val="Tahoma"/>
      <family val="2"/>
    </font>
    <font>
      <b/>
      <sz val="8"/>
      <color indexed="81"/>
      <name val="Tahoma"/>
      <family val="2"/>
    </font>
    <font>
      <b/>
      <sz val="9"/>
      <name val="Arial"/>
      <family val="2"/>
    </font>
    <font>
      <b/>
      <sz val="11"/>
      <name val="Arial"/>
      <family val="2"/>
    </font>
    <font>
      <sz val="10"/>
      <name val="Arial"/>
      <family val="2"/>
    </font>
    <font>
      <sz val="14"/>
      <name val="Arial"/>
      <family val="2"/>
    </font>
    <font>
      <sz val="10"/>
      <name val="Arial"/>
      <family val="2"/>
    </font>
    <font>
      <sz val="16"/>
      <name val="Arial"/>
      <family val="2"/>
    </font>
    <font>
      <b/>
      <sz val="7"/>
      <name val="Arial"/>
      <family val="2"/>
    </font>
    <font>
      <sz val="22"/>
      <name val="Arial"/>
      <family val="2"/>
    </font>
    <font>
      <sz val="20"/>
      <name val="Arial"/>
      <family val="2"/>
    </font>
    <font>
      <b/>
      <sz val="10"/>
      <color indexed="81"/>
      <name val="Tahoma"/>
      <family val="2"/>
    </font>
    <font>
      <sz val="11"/>
      <name val="Arial"/>
      <family val="2"/>
    </font>
    <font>
      <sz val="7"/>
      <name val="Arial"/>
      <family val="2"/>
    </font>
    <font>
      <sz val="6"/>
      <name val="Arial"/>
      <family val="2"/>
    </font>
    <font>
      <sz val="10"/>
      <name val="Arial"/>
      <family val="2"/>
    </font>
    <font>
      <b/>
      <u/>
      <sz val="8"/>
      <color indexed="81"/>
      <name val="Tahoma"/>
      <family val="2"/>
    </font>
    <font>
      <sz val="10"/>
      <name val="Arial"/>
      <family val="2"/>
    </font>
    <font>
      <b/>
      <sz val="20"/>
      <name val="Arial"/>
      <family val="2"/>
    </font>
    <font>
      <b/>
      <sz val="7"/>
      <color indexed="81"/>
      <name val="Tahoma"/>
      <family val="2"/>
    </font>
    <font>
      <b/>
      <sz val="9"/>
      <color indexed="81"/>
      <name val="Tahoma"/>
      <family val="2"/>
    </font>
    <font>
      <b/>
      <sz val="14"/>
      <color indexed="81"/>
      <name val="Tahoma"/>
      <family val="2"/>
    </font>
    <font>
      <b/>
      <sz val="16"/>
      <name val="Arial"/>
      <family val="2"/>
    </font>
    <font>
      <u/>
      <sz val="7.5"/>
      <color indexed="12"/>
      <name val="Arial"/>
      <family val="2"/>
    </font>
    <font>
      <b/>
      <u/>
      <sz val="12"/>
      <color indexed="81"/>
      <name val="Tahoma"/>
      <family val="2"/>
    </font>
    <font>
      <sz val="14"/>
      <color indexed="81"/>
      <name val="Tahoma"/>
      <family val="2"/>
    </font>
    <font>
      <sz val="10"/>
      <name val="Arial"/>
      <family val="2"/>
    </font>
    <font>
      <b/>
      <sz val="20"/>
      <color indexed="81"/>
      <name val="Tahoma"/>
      <family val="2"/>
    </font>
    <font>
      <b/>
      <sz val="22"/>
      <color indexed="81"/>
      <name val="Tahoma"/>
      <family val="2"/>
    </font>
    <font>
      <b/>
      <sz val="6"/>
      <name val="Arial"/>
      <family val="2"/>
    </font>
    <font>
      <b/>
      <sz val="16"/>
      <color indexed="81"/>
      <name val="Tahoma"/>
      <family val="2"/>
    </font>
    <font>
      <sz val="16"/>
      <color indexed="81"/>
      <name val="Tahoma"/>
      <family val="2"/>
    </font>
    <font>
      <b/>
      <sz val="18"/>
      <color indexed="81"/>
      <name val="Tahoma"/>
      <family val="2"/>
    </font>
    <font>
      <sz val="18"/>
      <color indexed="81"/>
      <name val="Tahoma"/>
      <family val="2"/>
    </font>
    <font>
      <b/>
      <sz val="22"/>
      <name val="Arial"/>
      <family val="2"/>
    </font>
    <font>
      <b/>
      <sz val="24"/>
      <name val="Arial"/>
      <family val="2"/>
    </font>
    <font>
      <b/>
      <sz val="12"/>
      <color indexed="81"/>
      <name val="Tahoma"/>
      <family val="2"/>
    </font>
    <font>
      <sz val="48"/>
      <name val="Arial"/>
      <family val="2"/>
    </font>
    <font>
      <sz val="10"/>
      <name val="Arial"/>
      <family val="2"/>
    </font>
    <font>
      <b/>
      <sz val="15"/>
      <name val="Arial"/>
      <family val="2"/>
    </font>
    <font>
      <sz val="10"/>
      <name val="Arial"/>
      <family val="2"/>
    </font>
    <font>
      <b/>
      <sz val="12"/>
      <color indexed="9"/>
      <name val="Arial"/>
      <family val="2"/>
    </font>
    <font>
      <sz val="9"/>
      <color indexed="81"/>
      <name val="Tahoma"/>
      <family val="2"/>
    </font>
    <font>
      <u/>
      <sz val="9"/>
      <color indexed="81"/>
      <name val="Tahoma"/>
      <family val="2"/>
    </font>
    <font>
      <sz val="10"/>
      <name val="Arial"/>
      <family val="2"/>
    </font>
    <font>
      <u/>
      <sz val="10"/>
      <color theme="10"/>
      <name val="Arial"/>
      <family val="2"/>
    </font>
    <font>
      <u/>
      <sz val="11"/>
      <color theme="10"/>
      <name val="Calibri"/>
      <family val="2"/>
      <scheme val="minor"/>
    </font>
    <font>
      <sz val="11"/>
      <color theme="1"/>
      <name val="Calibri"/>
      <family val="2"/>
      <scheme val="minor"/>
    </font>
    <font>
      <sz val="10"/>
      <color rgb="FFFF0000"/>
      <name val="Arial"/>
      <family val="2"/>
    </font>
    <font>
      <sz val="8"/>
      <color theme="1"/>
      <name val="Calibri"/>
      <family val="2"/>
      <scheme val="minor"/>
    </font>
    <font>
      <b/>
      <sz val="11"/>
      <color theme="1"/>
      <name val="Calibri"/>
      <family val="2"/>
      <scheme val="minor"/>
    </font>
    <font>
      <sz val="8"/>
      <color rgb="FFFF0000"/>
      <name val="Arial"/>
      <family val="2"/>
    </font>
    <font>
      <b/>
      <sz val="8"/>
      <color theme="1"/>
      <name val="Arial"/>
      <family val="2"/>
    </font>
    <font>
      <b/>
      <sz val="14"/>
      <color theme="1"/>
      <name val="Arial"/>
      <family val="2"/>
    </font>
    <font>
      <sz val="10"/>
      <color theme="1"/>
      <name val="Arial"/>
      <family val="2"/>
    </font>
    <font>
      <b/>
      <sz val="20"/>
      <color theme="1"/>
      <name val="Arial"/>
      <family val="2"/>
    </font>
    <font>
      <sz val="12"/>
      <color theme="1"/>
      <name val="Arial"/>
      <family val="2"/>
    </font>
    <font>
      <sz val="8"/>
      <color theme="1"/>
      <name val="Arial"/>
      <family val="2"/>
    </font>
    <font>
      <sz val="10"/>
      <color rgb="FF66FF66"/>
      <name val="Arial"/>
      <family val="2"/>
    </font>
    <font>
      <sz val="22"/>
      <color theme="1"/>
      <name val="Arial"/>
      <family val="2"/>
    </font>
    <font>
      <b/>
      <sz val="8"/>
      <color theme="0"/>
      <name val="Arial"/>
      <family val="2"/>
    </font>
    <font>
      <b/>
      <sz val="9"/>
      <color rgb="FFFF0000"/>
      <name val="Arial"/>
      <family val="2"/>
    </font>
    <font>
      <b/>
      <sz val="10"/>
      <color rgb="FFFF0000"/>
      <name val="Arial"/>
      <family val="2"/>
    </font>
    <font>
      <sz val="12"/>
      <name val="Arial"/>
      <family val="2"/>
    </font>
    <font>
      <b/>
      <sz val="12"/>
      <color theme="1"/>
      <name val="Arial"/>
      <family val="2"/>
    </font>
    <font>
      <sz val="18"/>
      <name val="Arial"/>
      <family val="2"/>
    </font>
    <font>
      <sz val="12"/>
      <color rgb="FFFF0000"/>
      <name val="Arial"/>
      <family val="2"/>
    </font>
    <font>
      <sz val="8"/>
      <color theme="0"/>
      <name val="Arial"/>
      <family val="2"/>
    </font>
    <font>
      <sz val="7"/>
      <color theme="0"/>
      <name val="Arial"/>
      <family val="2"/>
    </font>
    <font>
      <sz val="10"/>
      <color theme="0"/>
      <name val="Arial"/>
      <family val="2"/>
    </font>
    <font>
      <b/>
      <sz val="11"/>
      <color indexed="81"/>
      <name val="Tahoma"/>
      <family val="2"/>
    </font>
    <font>
      <b/>
      <u/>
      <sz val="9"/>
      <color indexed="81"/>
      <name val="Tahoma"/>
      <family val="2"/>
    </font>
    <font>
      <b/>
      <u/>
      <sz val="16"/>
      <color indexed="81"/>
      <name val="Tahoma"/>
      <family val="2"/>
    </font>
    <font>
      <sz val="9"/>
      <color theme="1"/>
      <name val="Arial"/>
      <family val="2"/>
    </font>
    <font>
      <i/>
      <sz val="10"/>
      <name val="Arial"/>
      <family val="2"/>
    </font>
    <font>
      <b/>
      <sz val="13"/>
      <name val="Arial"/>
      <family val="2"/>
    </font>
    <font>
      <sz val="10"/>
      <name val="Arial"/>
      <family val="2"/>
    </font>
    <font>
      <b/>
      <sz val="10"/>
      <color theme="1"/>
      <name val="Arial"/>
      <family val="2"/>
    </font>
    <font>
      <b/>
      <sz val="11"/>
      <color indexed="10"/>
      <name val="Tahoma"/>
      <family val="2"/>
    </font>
    <font>
      <sz val="10"/>
      <color theme="1"/>
      <name val="Calibri"/>
      <family val="2"/>
      <scheme val="minor"/>
    </font>
    <font>
      <b/>
      <sz val="9"/>
      <color theme="1"/>
      <name val="Arial"/>
      <family val="2"/>
    </font>
  </fonts>
  <fills count="24">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CCFFCC"/>
        <bgColor indexed="64"/>
      </patternFill>
    </fill>
    <fill>
      <patternFill patternType="solid">
        <fgColor rgb="FFB6FCB8"/>
        <bgColor indexed="64"/>
      </patternFill>
    </fill>
    <fill>
      <patternFill patternType="solid">
        <fgColor rgb="FF99FF99"/>
        <bgColor indexed="64"/>
      </patternFill>
    </fill>
    <fill>
      <patternFill patternType="solid">
        <fgColor rgb="FFFFFF00"/>
        <bgColor indexed="64"/>
      </patternFill>
    </fill>
    <fill>
      <patternFill patternType="solid">
        <fgColor theme="3"/>
        <bgColor indexed="64"/>
      </patternFill>
    </fill>
    <fill>
      <patternFill patternType="solid">
        <fgColor rgb="FFA6FCB0"/>
        <bgColor indexed="64"/>
      </patternFill>
    </fill>
    <fill>
      <patternFill patternType="solid">
        <fgColor rgb="FF66FFCC"/>
        <bgColor indexed="64"/>
      </patternFill>
    </fill>
    <fill>
      <patternFill patternType="solid">
        <fgColor rgb="FF66FF66"/>
        <bgColor indexed="64"/>
      </patternFill>
    </fill>
    <fill>
      <patternFill patternType="solid">
        <fgColor theme="3" tint="0.59999389629810485"/>
        <bgColor indexed="64"/>
      </patternFill>
    </fill>
    <fill>
      <patternFill patternType="solid">
        <fgColor rgb="FFB5FDCD"/>
        <bgColor indexed="64"/>
      </patternFill>
    </fill>
    <fill>
      <patternFill patternType="solid">
        <fgColor theme="1"/>
        <bgColor indexed="64"/>
      </patternFill>
    </fill>
    <fill>
      <patternFill patternType="solid">
        <fgColor theme="0" tint="-4.9989318521683403E-2"/>
        <bgColor indexed="64"/>
      </patternFill>
    </fill>
    <fill>
      <patternFill patternType="solid">
        <fgColor rgb="FF99FF66"/>
        <bgColor indexed="64"/>
      </patternFill>
    </fill>
    <fill>
      <patternFill patternType="solid">
        <fgColor theme="6" tint="0.79998168889431442"/>
        <bgColor indexed="64"/>
      </patternFill>
    </fill>
    <fill>
      <patternFill patternType="solid">
        <fgColor rgb="FF66FF99"/>
        <bgColor indexed="64"/>
      </patternFill>
    </fill>
    <fill>
      <patternFill patternType="solid">
        <fgColor theme="4" tint="0.79998168889431442"/>
        <bgColor indexed="64"/>
      </patternFill>
    </fill>
    <fill>
      <patternFill patternType="solid">
        <fgColor rgb="FF6E97C8"/>
        <bgColor indexed="64"/>
      </patternFill>
    </fill>
  </fills>
  <borders count="26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medium">
        <color rgb="FF000000"/>
      </left>
      <right style="medium">
        <color rgb="FF000000"/>
      </right>
      <top style="medium">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000000"/>
      </left>
      <right style="thin">
        <color rgb="FF000000"/>
      </right>
      <top style="thin">
        <color rgb="FF000000"/>
      </top>
      <bottom style="thin">
        <color rgb="FF000000"/>
      </bottom>
      <diagonal/>
    </border>
    <border>
      <left/>
      <right style="thin">
        <color theme="0"/>
      </right>
      <top/>
      <bottom style="medium">
        <color indexed="64"/>
      </bottom>
      <diagonal/>
    </border>
    <border>
      <left style="thin">
        <color theme="0"/>
      </left>
      <right style="thin">
        <color theme="0"/>
      </right>
      <top/>
      <bottom/>
      <diagonal/>
    </border>
    <border>
      <left style="thin">
        <color theme="0"/>
      </left>
      <right style="thin">
        <color theme="0"/>
      </right>
      <top style="medium">
        <color rgb="FF99FF99"/>
      </top>
      <bottom style="thin">
        <color theme="0"/>
      </bottom>
      <diagonal/>
    </border>
    <border>
      <left style="thin">
        <color theme="0"/>
      </left>
      <right style="medium">
        <color indexed="64"/>
      </right>
      <top style="medium">
        <color rgb="FF99FF99"/>
      </top>
      <bottom style="thin">
        <color theme="0"/>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right style="thick">
        <color theme="0" tint="-0.499984740745262"/>
      </right>
      <top/>
      <bottom style="thick">
        <color theme="0" tint="-0.499984740745262"/>
      </bottom>
      <diagonal/>
    </border>
    <border>
      <left/>
      <right/>
      <top/>
      <bottom style="thick">
        <color theme="0" tint="-0.499984740745262"/>
      </bottom>
      <diagonal/>
    </border>
    <border>
      <left/>
      <right/>
      <top style="thin">
        <color rgb="FF92D050"/>
      </top>
      <bottom/>
      <diagonal/>
    </border>
    <border>
      <left/>
      <right style="thin">
        <color rgb="FF92D050"/>
      </right>
      <top style="thin">
        <color rgb="FF92D050"/>
      </top>
      <bottom/>
      <diagonal/>
    </border>
    <border>
      <left/>
      <right style="thin">
        <color rgb="FF92D050"/>
      </right>
      <top/>
      <bottom/>
      <diagonal/>
    </border>
    <border>
      <left/>
      <right/>
      <top/>
      <bottom style="thin">
        <color rgb="FF92D050"/>
      </bottom>
      <diagonal/>
    </border>
    <border>
      <left/>
      <right style="thin">
        <color rgb="FF92D050"/>
      </right>
      <top/>
      <bottom style="thin">
        <color rgb="FF92D050"/>
      </bottom>
      <diagonal/>
    </border>
    <border>
      <left style="thick">
        <color theme="0" tint="-0.499984740745262"/>
      </left>
      <right/>
      <top style="thick">
        <color theme="0" tint="-0.499984740745262"/>
      </top>
      <bottom/>
      <diagonal/>
    </border>
    <border>
      <left style="medium">
        <color indexed="64"/>
      </left>
      <right style="thin">
        <color theme="0"/>
      </right>
      <top/>
      <bottom/>
      <diagonal/>
    </border>
    <border>
      <left/>
      <right style="thin">
        <color theme="0"/>
      </right>
      <top style="medium">
        <color rgb="FF99FF99"/>
      </top>
      <bottom style="thin">
        <color theme="0"/>
      </bottom>
      <diagonal/>
    </border>
    <border>
      <left style="medium">
        <color indexed="64"/>
      </left>
      <right/>
      <top/>
      <bottom style="medium">
        <color rgb="FF99FF99"/>
      </bottom>
      <diagonal/>
    </border>
    <border>
      <left/>
      <right/>
      <top/>
      <bottom style="medium">
        <color rgb="FF99FF99"/>
      </bottom>
      <diagonal/>
    </border>
    <border>
      <left/>
      <right style="medium">
        <color indexed="64"/>
      </right>
      <top/>
      <bottom style="medium">
        <color rgb="FF99FF99"/>
      </bottom>
      <diagonal/>
    </border>
    <border>
      <left/>
      <right style="thin">
        <color theme="0"/>
      </right>
      <top/>
      <bottom/>
      <diagonal/>
    </border>
    <border>
      <left/>
      <right/>
      <top style="thick">
        <color theme="0" tint="-0.499984740745262"/>
      </top>
      <bottom/>
      <diagonal/>
    </border>
    <border>
      <left style="thick">
        <color theme="0" tint="-0.499984740745262"/>
      </left>
      <right/>
      <top/>
      <bottom style="thick">
        <color theme="0" tint="-0.499984740745262"/>
      </bottom>
      <diagonal/>
    </border>
    <border>
      <left style="thin">
        <color theme="0"/>
      </left>
      <right/>
      <top/>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medium">
        <color indexed="64"/>
      </left>
      <right/>
      <top style="medium">
        <color rgb="FF99FF99"/>
      </top>
      <bottom/>
      <diagonal/>
    </border>
    <border>
      <left/>
      <right/>
      <top style="medium">
        <color rgb="FF99FF99"/>
      </top>
      <bottom/>
      <diagonal/>
    </border>
    <border>
      <left/>
      <right style="medium">
        <color indexed="64"/>
      </right>
      <top style="medium">
        <color rgb="FF99FF99"/>
      </top>
      <bottom/>
      <diagonal/>
    </border>
    <border>
      <left style="thin">
        <color rgb="FF92D050"/>
      </left>
      <right/>
      <top/>
      <bottom/>
      <diagonal/>
    </border>
    <border>
      <left/>
      <right/>
      <top style="dashed">
        <color theme="0"/>
      </top>
      <bottom style="dashed">
        <color theme="0"/>
      </bottom>
      <diagonal/>
    </border>
    <border>
      <left style="thin">
        <color rgb="FF92D050"/>
      </left>
      <right/>
      <top style="thin">
        <color rgb="FF92D050"/>
      </top>
      <bottom/>
      <diagonal/>
    </border>
    <border>
      <left style="medium">
        <color rgb="FF99FF99"/>
      </left>
      <right style="medium">
        <color rgb="FF99FF99"/>
      </right>
      <top style="thin">
        <color rgb="FF92D050"/>
      </top>
      <bottom/>
      <diagonal/>
    </border>
    <border>
      <left style="medium">
        <color rgb="FF99FF99"/>
      </left>
      <right style="medium">
        <color rgb="FF99FF99"/>
      </right>
      <top/>
      <bottom/>
      <diagonal/>
    </border>
    <border>
      <left style="medium">
        <color rgb="FF99FF99"/>
      </left>
      <right style="medium">
        <color rgb="FF99FF99"/>
      </right>
      <top/>
      <bottom style="medium">
        <color rgb="FF99FF99"/>
      </bottom>
      <diagonal/>
    </border>
    <border>
      <left style="thin">
        <color rgb="FF92D050"/>
      </left>
      <right/>
      <top/>
      <bottom style="thin">
        <color rgb="FF92D050"/>
      </bottom>
      <diagonal/>
    </border>
    <border>
      <left/>
      <right style="thin">
        <color theme="0"/>
      </right>
      <top/>
      <bottom style="medium">
        <color rgb="FF99FF99"/>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bottom style="thin">
        <color indexed="64"/>
      </bottom>
      <diagonal/>
    </border>
    <border>
      <left style="medium">
        <color rgb="FF006600"/>
      </left>
      <right/>
      <top style="medium">
        <color rgb="FF006600"/>
      </top>
      <bottom/>
      <diagonal/>
    </border>
    <border>
      <left/>
      <right/>
      <top style="medium">
        <color rgb="FF006600"/>
      </top>
      <bottom/>
      <diagonal/>
    </border>
    <border>
      <left/>
      <right style="medium">
        <color rgb="FF006600"/>
      </right>
      <top style="medium">
        <color rgb="FF006600"/>
      </top>
      <bottom/>
      <diagonal/>
    </border>
    <border>
      <left style="medium">
        <color rgb="FF006600"/>
      </left>
      <right/>
      <top/>
      <bottom/>
      <diagonal/>
    </border>
    <border>
      <left/>
      <right style="medium">
        <color rgb="FF006600"/>
      </right>
      <top/>
      <bottom/>
      <diagonal/>
    </border>
    <border>
      <left style="medium">
        <color rgb="FF006600"/>
      </left>
      <right/>
      <top/>
      <bottom style="medium">
        <color rgb="FF006600"/>
      </bottom>
      <diagonal/>
    </border>
    <border>
      <left/>
      <right/>
      <top/>
      <bottom style="medium">
        <color rgb="FF006600"/>
      </bottom>
      <diagonal/>
    </border>
    <border>
      <left/>
      <right style="medium">
        <color rgb="FF006600"/>
      </right>
      <top/>
      <bottom style="medium">
        <color rgb="FF006600"/>
      </bottom>
      <diagonal/>
    </border>
    <border>
      <left style="medium">
        <color rgb="FF006600"/>
      </left>
      <right style="medium">
        <color rgb="FF006600"/>
      </right>
      <top style="medium">
        <color rgb="FF006600"/>
      </top>
      <bottom/>
      <diagonal/>
    </border>
    <border>
      <left style="medium">
        <color rgb="FF006600"/>
      </left>
      <right style="medium">
        <color rgb="FF006600"/>
      </right>
      <top/>
      <bottom/>
      <diagonal/>
    </border>
    <border>
      <left style="medium">
        <color rgb="FF006600"/>
      </left>
      <right style="medium">
        <color rgb="FF006600"/>
      </right>
      <top/>
      <bottom style="thin">
        <color rgb="FF92D050"/>
      </bottom>
      <diagonal/>
    </border>
    <border>
      <left/>
      <right/>
      <top style="hair">
        <color auto="1"/>
      </top>
      <bottom style="hair">
        <color auto="1"/>
      </bottom>
      <diagonal/>
    </border>
    <border>
      <left/>
      <right/>
      <top/>
      <bottom style="hair">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top/>
      <bottom style="medium">
        <color indexed="64"/>
      </bottom>
      <diagonal/>
    </border>
    <border>
      <left style="hair">
        <color indexed="64"/>
      </left>
      <right/>
      <top/>
      <bottom/>
      <diagonal/>
    </border>
    <border>
      <left style="hair">
        <color indexed="64"/>
      </left>
      <right/>
      <top style="hair">
        <color auto="1"/>
      </top>
      <bottom style="hair">
        <color auto="1"/>
      </bottom>
      <diagonal/>
    </border>
    <border>
      <left style="hair">
        <color indexed="64"/>
      </left>
      <right style="hair">
        <color indexed="64"/>
      </right>
      <top/>
      <bottom/>
      <diagonal/>
    </border>
    <border>
      <left style="hair">
        <color indexed="64"/>
      </left>
      <right style="hair">
        <color indexed="64"/>
      </right>
      <top style="hair">
        <color auto="1"/>
      </top>
      <bottom style="hair">
        <color auto="1"/>
      </bottom>
      <diagonal/>
    </border>
    <border>
      <left style="hair">
        <color indexed="64"/>
      </left>
      <right style="hair">
        <color indexed="64"/>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hair">
        <color auto="1"/>
      </left>
      <right style="hair">
        <color auto="1"/>
      </right>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medium">
        <color indexed="64"/>
      </bottom>
      <diagonal/>
    </border>
    <border>
      <left style="hair">
        <color indexed="64"/>
      </left>
      <right style="hair">
        <color auto="1"/>
      </right>
      <top style="hair">
        <color indexed="64"/>
      </top>
      <bottom style="thin">
        <color indexed="64"/>
      </bottom>
      <diagonal/>
    </border>
    <border>
      <left style="hair">
        <color auto="1"/>
      </left>
      <right style="hair">
        <color auto="1"/>
      </right>
      <top/>
      <bottom style="hair">
        <color auto="1"/>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diagonal/>
    </border>
    <border>
      <left style="medium">
        <color theme="4" tint="-0.24994659260841701"/>
      </left>
      <right style="medium">
        <color theme="4" tint="-0.24994659260841701"/>
      </right>
      <top/>
      <bottom/>
      <diagonal/>
    </border>
    <border>
      <left style="medium">
        <color theme="4" tint="-0.24994659260841701"/>
      </left>
      <right style="medium">
        <color theme="4" tint="-0.24994659260841701"/>
      </right>
      <top/>
      <bottom style="medium">
        <color theme="4" tint="-0.24994659260841701"/>
      </bottom>
      <diagonal/>
    </border>
    <border>
      <left style="medium">
        <color theme="4" tint="-0.24994659260841701"/>
      </left>
      <right/>
      <top/>
      <bottom/>
      <diagonal/>
    </border>
    <border>
      <left/>
      <right style="medium">
        <color theme="4" tint="-0.24994659260841701"/>
      </right>
      <top/>
      <bottom/>
      <diagonal/>
    </border>
    <border>
      <left style="medium">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right/>
      <top style="medium">
        <color theme="4" tint="-0.24994659260841701"/>
      </top>
      <bottom/>
      <diagonal/>
    </border>
    <border>
      <left/>
      <right style="medium">
        <color theme="4" tint="-0.24994659260841701"/>
      </right>
      <top/>
      <bottom style="medium">
        <color theme="4" tint="-0.24994659260841701"/>
      </bottom>
      <diagonal/>
    </border>
    <border>
      <left style="medium">
        <color theme="4" tint="-0.24994659260841701"/>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style="medium">
        <color theme="3" tint="0.39994506668294322"/>
      </left>
      <right style="medium">
        <color theme="3" tint="0.39994506668294322"/>
      </right>
      <top/>
      <bottom/>
      <diagonal/>
    </border>
    <border>
      <left style="medium">
        <color theme="4" tint="-0.24994659260841701"/>
      </left>
      <right style="medium">
        <color theme="3" tint="0.39994506668294322"/>
      </right>
      <top/>
      <bottom/>
      <diagonal/>
    </border>
    <border>
      <left style="medium">
        <color theme="3" tint="0.39994506668294322"/>
      </left>
      <right style="medium">
        <color theme="4" tint="-0.24994659260841701"/>
      </right>
      <top/>
      <bottom/>
      <diagonal/>
    </border>
    <border>
      <left style="medium">
        <color theme="3" tint="0.39994506668294322"/>
      </left>
      <right style="medium">
        <color theme="3" tint="0.39994506668294322"/>
      </right>
      <top style="medium">
        <color theme="3" tint="0.39994506668294322"/>
      </top>
      <bottom/>
      <diagonal/>
    </border>
    <border>
      <left style="medium">
        <color theme="3" tint="0.39994506668294322"/>
      </left>
      <right style="medium">
        <color theme="3" tint="0.39994506668294322"/>
      </right>
      <top/>
      <bottom style="medium">
        <color theme="3" tint="0.39994506668294322"/>
      </bottom>
      <diagonal/>
    </border>
    <border>
      <left style="medium">
        <color theme="3" tint="0.39994506668294322"/>
      </left>
      <right style="medium">
        <color theme="3" tint="0.39994506668294322"/>
      </right>
      <top/>
      <bottom style="medium">
        <color theme="3" tint="0.39991454817346722"/>
      </bottom>
      <diagonal/>
    </border>
    <border>
      <left style="medium">
        <color theme="3" tint="0.39994506668294322"/>
      </left>
      <right/>
      <top/>
      <bottom/>
      <diagonal/>
    </border>
    <border>
      <left/>
      <right style="medium">
        <color theme="3" tint="0.39994506668294322"/>
      </right>
      <top/>
      <bottom/>
      <diagonal/>
    </border>
    <border>
      <left style="medium">
        <color theme="3" tint="0.39994506668294322"/>
      </left>
      <right/>
      <top/>
      <bottom style="medium">
        <color theme="3" tint="0.39994506668294322"/>
      </bottom>
      <diagonal/>
    </border>
    <border>
      <left/>
      <right style="medium">
        <color theme="3" tint="0.39994506668294322"/>
      </right>
      <top/>
      <bottom style="medium">
        <color theme="3" tint="0.39994506668294322"/>
      </bottom>
      <diagonal/>
    </border>
    <border>
      <left style="hair">
        <color indexed="64"/>
      </left>
      <right/>
      <top style="hair">
        <color auto="1"/>
      </top>
      <bottom/>
      <diagonal/>
    </border>
    <border>
      <left/>
      <right/>
      <top style="medium">
        <color theme="3" tint="0.39994506668294322"/>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thin">
        <color rgb="FF0070C0"/>
      </top>
      <bottom/>
      <diagonal/>
    </border>
    <border>
      <left/>
      <right/>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theme="4" tint="-0.24994659260841701"/>
      </left>
      <right style="thin">
        <color theme="4" tint="-0.24994659260841701"/>
      </right>
      <top style="medium">
        <color indexed="64"/>
      </top>
      <bottom/>
      <diagonal/>
    </border>
    <border>
      <left style="thin">
        <color theme="4" tint="-0.24994659260841701"/>
      </left>
      <right style="thin">
        <color theme="4" tint="-0.24994659260841701"/>
      </right>
      <top/>
      <bottom/>
      <diagonal/>
    </border>
    <border>
      <left style="thin">
        <color theme="4" tint="-0.24994659260841701"/>
      </left>
      <right style="thin">
        <color theme="4" tint="-0.24994659260841701"/>
      </right>
      <top style="thin">
        <color rgb="FF0070C0"/>
      </top>
      <bottom/>
      <diagonal/>
    </border>
    <border>
      <left style="thin">
        <color theme="4" tint="-0.24994659260841701"/>
      </left>
      <right style="thin">
        <color theme="4" tint="-0.24994659260841701"/>
      </right>
      <top/>
      <bottom style="thin">
        <color rgb="FF0070C0"/>
      </bottom>
      <diagonal/>
    </border>
    <border>
      <left style="thin">
        <color theme="4" tint="-0.24994659260841701"/>
      </left>
      <right/>
      <top style="thin">
        <color rgb="FF0070C0"/>
      </top>
      <bottom/>
      <diagonal/>
    </border>
    <border>
      <left/>
      <right style="thin">
        <color theme="4" tint="-0.24994659260841701"/>
      </right>
      <top style="thin">
        <color rgb="FF0070C0"/>
      </top>
      <bottom/>
      <diagonal/>
    </border>
    <border>
      <left style="thin">
        <color theme="4" tint="-0.24994659260841701"/>
      </left>
      <right/>
      <top/>
      <bottom/>
      <diagonal/>
    </border>
    <border>
      <left/>
      <right style="thin">
        <color theme="4" tint="-0.24994659260841701"/>
      </right>
      <top/>
      <bottom/>
      <diagonal/>
    </border>
    <border>
      <left style="thin">
        <color theme="4" tint="-0.24994659260841701"/>
      </left>
      <right/>
      <top/>
      <bottom style="thin">
        <color rgb="FF0070C0"/>
      </bottom>
      <diagonal/>
    </border>
    <border>
      <left/>
      <right style="thin">
        <color theme="4" tint="-0.24994659260841701"/>
      </right>
      <top/>
      <bottom style="thin">
        <color rgb="FF0070C0"/>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style="thin">
        <color rgb="FF0070C0"/>
      </right>
      <top/>
      <bottom style="thin">
        <color rgb="FF0070C0"/>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auto="1"/>
      </top>
      <bottom/>
      <diagonal/>
    </border>
    <border>
      <left style="thin">
        <color theme="4" tint="-0.24994659260841701"/>
      </left>
      <right/>
      <top style="medium">
        <color indexed="64"/>
      </top>
      <bottom/>
      <diagonal/>
    </border>
    <border>
      <left/>
      <right style="thin">
        <color theme="4" tint="-0.24994659260841701"/>
      </right>
      <top style="medium">
        <color indexed="64"/>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medium">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style="medium">
        <color theme="4" tint="-0.24994659260841701"/>
      </right>
      <top style="medium">
        <color theme="4" tint="-0.24994659260841701"/>
      </top>
      <bottom style="thin">
        <color theme="4" tint="-0.24994659260841701"/>
      </bottom>
      <diagonal/>
    </border>
    <border>
      <left style="medium">
        <color theme="4" tint="-0.24994659260841701"/>
      </left>
      <right style="thin">
        <color theme="4" tint="-0.24994659260841701"/>
      </right>
      <top style="thin">
        <color theme="4" tint="-0.24994659260841701"/>
      </top>
      <bottom style="medium">
        <color theme="4" tint="-0.24994659260841701"/>
      </bottom>
      <diagonal/>
    </border>
    <border>
      <left style="thin">
        <color theme="4" tint="-0.24994659260841701"/>
      </left>
      <right style="thin">
        <color theme="4" tint="-0.24994659260841701"/>
      </right>
      <top style="thin">
        <color theme="4" tint="-0.24994659260841701"/>
      </top>
      <bottom style="medium">
        <color theme="4" tint="-0.24994659260841701"/>
      </bottom>
      <diagonal/>
    </border>
    <border>
      <left style="thin">
        <color theme="4" tint="-0.24994659260841701"/>
      </left>
      <right style="medium">
        <color theme="4" tint="-0.24994659260841701"/>
      </right>
      <top style="thin">
        <color theme="4" tint="-0.24994659260841701"/>
      </top>
      <bottom style="medium">
        <color theme="4" tint="-0.24994659260841701"/>
      </bottom>
      <diagonal/>
    </border>
    <border>
      <left style="medium">
        <color theme="3" tint="0.39994506668294322"/>
      </left>
      <right/>
      <top style="medium">
        <color theme="4" tint="-0.24994659260841701"/>
      </top>
      <bottom/>
      <diagonal/>
    </border>
    <border>
      <left style="thin">
        <color theme="4" tint="-0.24994659260841701"/>
      </left>
      <right style="thin">
        <color theme="4" tint="-0.24994659260841701"/>
      </right>
      <top/>
      <bottom style="medium">
        <color theme="4" tint="-0.24994659260841701"/>
      </bottom>
      <diagonal/>
    </border>
    <border>
      <left style="thin">
        <color theme="4" tint="-0.24994659260841701"/>
      </left>
      <right style="thin">
        <color theme="4" tint="-0.24994659260841701"/>
      </right>
      <top style="medium">
        <color theme="4" tint="-0.24994659260841701"/>
      </top>
      <bottom/>
      <diagonal/>
    </border>
    <border>
      <left style="thin">
        <color theme="4" tint="-0.24994659260841701"/>
      </left>
      <right/>
      <top/>
      <bottom style="medium">
        <color theme="4" tint="-0.24994659260841701"/>
      </bottom>
      <diagonal/>
    </border>
    <border>
      <left style="thin">
        <color theme="4" tint="-0.24994659260841701"/>
      </left>
      <right/>
      <top style="medium">
        <color theme="4" tint="-0.24994659260841701"/>
      </top>
      <bottom/>
      <diagonal/>
    </border>
    <border>
      <left style="medium">
        <color theme="4" tint="-0.24994659260841701"/>
      </left>
      <right/>
      <top style="medium">
        <color theme="4" tint="-0.24994659260841701"/>
      </top>
      <bottom style="medium">
        <color indexed="64"/>
      </bottom>
      <diagonal/>
    </border>
    <border>
      <left/>
      <right/>
      <top style="medium">
        <color theme="4" tint="-0.24994659260841701"/>
      </top>
      <bottom style="medium">
        <color indexed="64"/>
      </bottom>
      <diagonal/>
    </border>
    <border>
      <left/>
      <right style="thin">
        <color indexed="64"/>
      </right>
      <top style="medium">
        <color theme="4" tint="-0.24994659260841701"/>
      </top>
      <bottom style="medium">
        <color indexed="64"/>
      </bottom>
      <diagonal/>
    </border>
    <border>
      <left style="thin">
        <color indexed="64"/>
      </left>
      <right style="thin">
        <color indexed="64"/>
      </right>
      <top style="medium">
        <color theme="4" tint="-0.24994659260841701"/>
      </top>
      <bottom/>
      <diagonal/>
    </border>
    <border>
      <left style="thin">
        <color indexed="64"/>
      </left>
      <right/>
      <top style="medium">
        <color theme="4" tint="-0.24994659260841701"/>
      </top>
      <bottom style="medium">
        <color indexed="64"/>
      </bottom>
      <diagonal/>
    </border>
    <border>
      <left style="thin">
        <color indexed="64"/>
      </left>
      <right/>
      <top style="medium">
        <color theme="4" tint="-0.24994659260841701"/>
      </top>
      <bottom/>
      <diagonal/>
    </border>
    <border>
      <left/>
      <right style="thin">
        <color indexed="64"/>
      </right>
      <top style="medium">
        <color theme="4" tint="-0.24994659260841701"/>
      </top>
      <bottom/>
      <diagonal/>
    </border>
    <border>
      <left/>
      <right style="medium">
        <color theme="4" tint="-0.24994659260841701"/>
      </right>
      <top style="medium">
        <color theme="4" tint="-0.24994659260841701"/>
      </top>
      <bottom style="medium">
        <color indexed="64"/>
      </bottom>
      <diagonal/>
    </border>
    <border>
      <left style="medium">
        <color theme="4" tint="-0.24994659260841701"/>
      </left>
      <right/>
      <top style="medium">
        <color indexed="64"/>
      </top>
      <bottom/>
      <diagonal/>
    </border>
    <border>
      <left/>
      <right style="medium">
        <color theme="4" tint="-0.24994659260841701"/>
      </right>
      <top style="medium">
        <color indexed="64"/>
      </top>
      <bottom style="medium">
        <color indexed="64"/>
      </bottom>
      <diagonal/>
    </border>
    <border>
      <left/>
      <right style="medium">
        <color theme="4" tint="-0.24994659260841701"/>
      </right>
      <top style="medium">
        <color indexed="64"/>
      </top>
      <bottom/>
      <diagonal/>
    </border>
    <border>
      <left/>
      <right style="medium">
        <color theme="4" tint="-0.24994659260841701"/>
      </right>
      <top/>
      <bottom style="thin">
        <color rgb="FF0070C0"/>
      </bottom>
      <diagonal/>
    </border>
    <border>
      <left/>
      <right style="medium">
        <color theme="4" tint="-0.24994659260841701"/>
      </right>
      <top style="thin">
        <color rgb="FF0070C0"/>
      </top>
      <bottom/>
      <diagonal/>
    </border>
    <border>
      <left/>
      <right style="medium">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medium">
        <color theme="4" tint="-0.24994659260841701"/>
      </bottom>
      <diagonal/>
    </border>
    <border>
      <left/>
      <right/>
      <top style="thin">
        <color theme="4" tint="-0.24994659260841701"/>
      </top>
      <bottom style="medium">
        <color theme="4" tint="-0.24994659260841701"/>
      </bottom>
      <diagonal/>
    </border>
    <border>
      <left/>
      <right style="thin">
        <color theme="4" tint="-0.24994659260841701"/>
      </right>
      <top style="thin">
        <color theme="4" tint="-0.24994659260841701"/>
      </top>
      <bottom style="medium">
        <color theme="4" tint="-0.24994659260841701"/>
      </bottom>
      <diagonal/>
    </border>
    <border>
      <left/>
      <right style="medium">
        <color theme="4" tint="-0.24994659260841701"/>
      </right>
      <top style="thin">
        <color theme="4" tint="-0.24994659260841701"/>
      </top>
      <bottom style="medium">
        <color theme="4" tint="-0.24994659260841701"/>
      </bottom>
      <diagonal/>
    </border>
    <border>
      <left/>
      <right style="thin">
        <color theme="4" tint="-0.24994659260841701"/>
      </right>
      <top style="medium">
        <color theme="4" tint="-0.24994659260841701"/>
      </top>
      <bottom style="thin">
        <color theme="4" tint="-0.24994659260841701"/>
      </bottom>
      <diagonal/>
    </border>
    <border>
      <left style="medium">
        <color theme="4" tint="-0.24994659260841701"/>
      </left>
      <right style="medium">
        <color theme="3" tint="0.39994506668294322"/>
      </right>
      <top style="thin">
        <color theme="4" tint="-0.24994659260841701"/>
      </top>
      <bottom/>
      <diagonal/>
    </border>
    <border>
      <left style="medium">
        <color theme="3" tint="0.39994506668294322"/>
      </left>
      <right/>
      <top style="thin">
        <color theme="4" tint="-0.24994659260841701"/>
      </top>
      <bottom/>
      <diagonal/>
    </border>
    <border>
      <left/>
      <right/>
      <top style="thin">
        <color theme="4" tint="-0.24994659260841701"/>
      </top>
      <bottom/>
      <diagonal/>
    </border>
    <border>
      <left style="thin">
        <color theme="4" tint="-0.24994659260841701"/>
      </left>
      <right style="thin">
        <color theme="4" tint="-0.24994659260841701"/>
      </right>
      <top style="thin">
        <color theme="4" tint="-0.24994659260841701"/>
      </top>
      <bottom/>
      <diagonal/>
    </border>
    <border>
      <left/>
      <right style="medium">
        <color theme="4" tint="-0.24994659260841701"/>
      </right>
      <top style="thin">
        <color theme="4" tint="-0.24994659260841701"/>
      </top>
      <bottom/>
      <diagonal/>
    </border>
    <border>
      <left style="medium">
        <color theme="4" tint="-0.24994659260841701"/>
      </left>
      <right style="medium">
        <color theme="3" tint="0.39994506668294322"/>
      </right>
      <top/>
      <bottom style="medium">
        <color theme="4" tint="-0.24994659260841701"/>
      </bottom>
      <diagonal/>
    </border>
    <border>
      <left style="medium">
        <color theme="3" tint="0.39994506668294322"/>
      </left>
      <right/>
      <top/>
      <bottom style="medium">
        <color theme="4" tint="-0.24994659260841701"/>
      </bottom>
      <diagonal/>
    </border>
    <border>
      <left style="medium">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top style="medium">
        <color theme="4" tint="-0.24994659260841701"/>
      </top>
      <bottom style="medium">
        <color theme="4" tint="-0.24994659260841701"/>
      </bottom>
      <diagonal/>
    </border>
    <border>
      <left/>
      <right style="thin">
        <color theme="4" tint="-0.24994659260841701"/>
      </right>
      <top style="medium">
        <color theme="4" tint="-0.24994659260841701"/>
      </top>
      <bottom style="medium">
        <color theme="4" tint="-0.24994659260841701"/>
      </bottom>
      <diagonal/>
    </border>
    <border>
      <left style="thin">
        <color theme="4" tint="-0.24994659260841701"/>
      </left>
      <right style="medium">
        <color theme="4" tint="-0.24994659260841701"/>
      </right>
      <top style="medium">
        <color theme="4" tint="-0.24994659260841701"/>
      </top>
      <bottom style="medium">
        <color theme="4" tint="-0.24994659260841701"/>
      </bottom>
      <diagonal/>
    </border>
    <border>
      <left/>
      <right/>
      <top style="medium">
        <color theme="4" tint="-0.24994659260841701"/>
      </top>
      <bottom style="dashed">
        <color theme="0"/>
      </bottom>
      <diagonal/>
    </border>
    <border>
      <left/>
      <right/>
      <top style="dashed">
        <color theme="0"/>
      </top>
      <bottom style="medium">
        <color theme="4" tint="-0.24994659260841701"/>
      </bottom>
      <diagonal/>
    </border>
    <border>
      <left style="thin">
        <color theme="4" tint="-0.24994659260841701"/>
      </left>
      <right/>
      <top style="medium">
        <color theme="4" tint="-0.24994659260841701"/>
      </top>
      <bottom style="thin">
        <color theme="4" tint="-0.24994659260841701"/>
      </bottom>
      <diagonal/>
    </border>
  </borders>
  <cellStyleXfs count="16">
    <xf numFmtId="0" fontId="0" fillId="0" borderId="0"/>
    <xf numFmtId="0" fontId="57" fillId="0" borderId="0" applyNumberFormat="0" applyFill="0" applyBorder="0" applyAlignment="0" applyProtection="0">
      <alignment vertical="top"/>
      <protection locked="0"/>
    </xf>
    <xf numFmtId="0" fontId="58" fillId="0" borderId="0" applyNumberFormat="0" applyFill="0" applyBorder="0" applyAlignment="0" applyProtection="0"/>
    <xf numFmtId="0" fontId="35" fillId="0" borderId="0" applyNumberFormat="0" applyFill="0" applyBorder="0" applyAlignment="0" applyProtection="0">
      <alignment vertical="top"/>
      <protection locked="0"/>
    </xf>
    <xf numFmtId="43"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0" fontId="59" fillId="0" borderId="0"/>
    <xf numFmtId="0" fontId="59" fillId="0" borderId="0"/>
    <xf numFmtId="0" fontId="5" fillId="0" borderId="0"/>
    <xf numFmtId="0" fontId="5" fillId="0" borderId="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2" fontId="88" fillId="0" borderId="0" applyFont="0" applyFill="0" applyBorder="0" applyAlignment="0" applyProtection="0"/>
  </cellStyleXfs>
  <cellXfs count="2376">
    <xf numFmtId="0" fontId="0" fillId="0" borderId="0" xfId="0"/>
    <xf numFmtId="167" fontId="0" fillId="0" borderId="0" xfId="5" applyNumberFormat="1" applyFont="1"/>
    <xf numFmtId="167" fontId="0" fillId="0" borderId="0" xfId="0" applyNumberFormat="1"/>
    <xf numFmtId="0" fontId="10" fillId="0" borderId="0" xfId="0" applyFont="1"/>
    <xf numFmtId="0" fontId="0" fillId="0" borderId="1" xfId="0" applyBorder="1"/>
    <xf numFmtId="0" fontId="0" fillId="0" borderId="2" xfId="0" applyBorder="1"/>
    <xf numFmtId="0" fontId="0" fillId="0" borderId="3" xfId="0" applyBorder="1"/>
    <xf numFmtId="0" fontId="10" fillId="0" borderId="4" xfId="0" applyFont="1" applyBorder="1" applyAlignment="1">
      <alignment horizontal="right"/>
    </xf>
    <xf numFmtId="0" fontId="0" fillId="0" borderId="5" xfId="0" applyBorder="1"/>
    <xf numFmtId="0" fontId="10" fillId="0" borderId="6" xfId="0" applyFont="1" applyBorder="1" applyAlignment="1">
      <alignment horizontal="right"/>
    </xf>
    <xf numFmtId="0" fontId="0" fillId="0" borderId="7" xfId="0" applyBorder="1"/>
    <xf numFmtId="0" fontId="10" fillId="0" borderId="0" xfId="0" applyFont="1" applyAlignment="1">
      <alignment horizontal="center"/>
    </xf>
    <xf numFmtId="167" fontId="0" fillId="0" borderId="1" xfId="5" applyNumberFormat="1" applyFont="1" applyBorder="1"/>
    <xf numFmtId="0" fontId="0" fillId="0" borderId="8" xfId="0" applyBorder="1"/>
    <xf numFmtId="167" fontId="0" fillId="0" borderId="9" xfId="5" applyNumberFormat="1" applyFont="1" applyBorder="1"/>
    <xf numFmtId="167" fontId="0" fillId="0" borderId="10" xfId="5" applyNumberFormat="1" applyFont="1" applyBorder="1"/>
    <xf numFmtId="0" fontId="0" fillId="0" borderId="11" xfId="0" applyBorder="1"/>
    <xf numFmtId="0" fontId="0" fillId="0" borderId="12" xfId="0" applyBorder="1"/>
    <xf numFmtId="166" fontId="0" fillId="0" borderId="12" xfId="4" applyNumberFormat="1" applyFont="1" applyFill="1" applyBorder="1"/>
    <xf numFmtId="0" fontId="9" fillId="0" borderId="12" xfId="0" applyFont="1" applyBorder="1"/>
    <xf numFmtId="0" fontId="0" fillId="0" borderId="12" xfId="0" applyBorder="1" applyAlignment="1">
      <alignment horizontal="center"/>
    </xf>
    <xf numFmtId="0" fontId="0" fillId="0" borderId="13" xfId="0" applyBorder="1"/>
    <xf numFmtId="3" fontId="0" fillId="0" borderId="14" xfId="0" applyNumberFormat="1" applyBorder="1"/>
    <xf numFmtId="3" fontId="0" fillId="0" borderId="0" xfId="0" applyNumberFormat="1" applyBorder="1"/>
    <xf numFmtId="3" fontId="0" fillId="0" borderId="15" xfId="0" applyNumberFormat="1" applyBorder="1"/>
    <xf numFmtId="1" fontId="0" fillId="0" borderId="14" xfId="4" applyNumberFormat="1" applyFont="1" applyBorder="1"/>
    <xf numFmtId="1" fontId="0" fillId="0" borderId="0" xfId="4" applyNumberFormat="1" applyFont="1" applyBorder="1"/>
    <xf numFmtId="1" fontId="0" fillId="2" borderId="0" xfId="4" applyNumberFormat="1" applyFont="1" applyFill="1" applyBorder="1"/>
    <xf numFmtId="1" fontId="10" fillId="2" borderId="0" xfId="4" applyNumberFormat="1" applyFont="1" applyFill="1" applyBorder="1"/>
    <xf numFmtId="1" fontId="0" fillId="0" borderId="15" xfId="4" applyNumberFormat="1" applyFont="1" applyBorder="1"/>
    <xf numFmtId="3" fontId="0" fillId="0" borderId="16" xfId="0" applyNumberFormat="1" applyBorder="1"/>
    <xf numFmtId="3" fontId="0" fillId="0" borderId="17" xfId="0" applyNumberFormat="1" applyBorder="1"/>
    <xf numFmtId="9" fontId="0" fillId="0" borderId="0" xfId="0" applyNumberFormat="1"/>
    <xf numFmtId="167" fontId="0" fillId="0" borderId="5" xfId="5" applyNumberFormat="1" applyFont="1" applyBorder="1"/>
    <xf numFmtId="0" fontId="10" fillId="0" borderId="1" xfId="0" applyFont="1" applyBorder="1"/>
    <xf numFmtId="0" fontId="10" fillId="0" borderId="0" xfId="0" applyFont="1" applyFill="1" applyBorder="1"/>
    <xf numFmtId="0" fontId="0" fillId="0" borderId="0" xfId="0" applyFill="1" applyBorder="1"/>
    <xf numFmtId="167" fontId="0" fillId="0" borderId="0" xfId="5" applyNumberFormat="1" applyFont="1" applyFill="1" applyBorder="1"/>
    <xf numFmtId="167" fontId="0" fillId="0" borderId="3" xfId="5" applyNumberFormat="1" applyFont="1" applyBorder="1"/>
    <xf numFmtId="0" fontId="5" fillId="0" borderId="0" xfId="0" applyFont="1"/>
    <xf numFmtId="0" fontId="5" fillId="0" borderId="0" xfId="0" applyFont="1" applyFill="1" applyBorder="1"/>
    <xf numFmtId="167" fontId="0" fillId="0" borderId="18" xfId="5" applyNumberFormat="1" applyFont="1" applyBorder="1"/>
    <xf numFmtId="0" fontId="0" fillId="0" borderId="69" xfId="0" applyBorder="1" applyAlignment="1">
      <alignment vertical="center" wrapText="1"/>
    </xf>
    <xf numFmtId="0" fontId="0" fillId="0" borderId="70" xfId="0" applyBorder="1"/>
    <xf numFmtId="0" fontId="5" fillId="0" borderId="0" xfId="0" applyFont="1" applyBorder="1" applyAlignment="1">
      <alignment vertical="center" wrapText="1"/>
    </xf>
    <xf numFmtId="4" fontId="5" fillId="0" borderId="0" xfId="0" applyNumberFormat="1" applyFont="1" applyBorder="1" applyAlignment="1">
      <alignment vertical="center" wrapText="1"/>
    </xf>
    <xf numFmtId="0" fontId="0" fillId="0" borderId="71" xfId="0" applyBorder="1" applyAlignment="1">
      <alignment vertical="center" wrapText="1"/>
    </xf>
    <xf numFmtId="2" fontId="0" fillId="0" borderId="0" xfId="0" applyNumberFormat="1"/>
    <xf numFmtId="0" fontId="60" fillId="0" borderId="0" xfId="0" applyFont="1" applyBorder="1" applyAlignment="1">
      <alignment vertical="center" wrapText="1"/>
    </xf>
    <xf numFmtId="0" fontId="0" fillId="0" borderId="14" xfId="0" applyBorder="1"/>
    <xf numFmtId="0" fontId="0" fillId="0" borderId="15" xfId="0" applyBorder="1"/>
    <xf numFmtId="0" fontId="0" fillId="0" borderId="0" xfId="0" applyBorder="1"/>
    <xf numFmtId="0" fontId="0" fillId="0" borderId="72" xfId="0" applyFill="1" applyBorder="1"/>
    <xf numFmtId="0" fontId="0" fillId="0" borderId="73" xfId="0" applyFill="1" applyBorder="1"/>
    <xf numFmtId="0" fontId="0" fillId="0" borderId="74" xfId="0" applyFill="1" applyBorder="1"/>
    <xf numFmtId="0" fontId="10" fillId="0" borderId="75" xfId="0" applyFont="1" applyFill="1" applyBorder="1"/>
    <xf numFmtId="0" fontId="0" fillId="0" borderId="76" xfId="0" applyFill="1" applyBorder="1"/>
    <xf numFmtId="0" fontId="0" fillId="0" borderId="77" xfId="0" applyFill="1" applyBorder="1"/>
    <xf numFmtId="0" fontId="0" fillId="0" borderId="75" xfId="0" applyFill="1" applyBorder="1"/>
    <xf numFmtId="167" fontId="18" fillId="0" borderId="76" xfId="5" applyNumberFormat="1" applyFont="1" applyFill="1" applyBorder="1"/>
    <xf numFmtId="3" fontId="0" fillId="0" borderId="76" xfId="0" applyNumberFormat="1" applyFill="1" applyBorder="1" applyAlignment="1">
      <alignment horizontal="left"/>
    </xf>
    <xf numFmtId="3" fontId="0" fillId="0" borderId="77" xfId="0" applyNumberFormat="1" applyFill="1" applyBorder="1" applyAlignment="1">
      <alignment horizontal="left"/>
    </xf>
    <xf numFmtId="0" fontId="5" fillId="0" borderId="75" xfId="0" applyFont="1" applyFill="1" applyBorder="1"/>
    <xf numFmtId="0" fontId="11" fillId="0" borderId="76" xfId="0" applyFont="1" applyFill="1" applyBorder="1"/>
    <xf numFmtId="0" fontId="8" fillId="0" borderId="76" xfId="0" applyFont="1" applyFill="1" applyBorder="1"/>
    <xf numFmtId="0" fontId="0" fillId="0" borderId="78" xfId="0" applyFill="1" applyBorder="1"/>
    <xf numFmtId="0" fontId="57" fillId="0" borderId="79" xfId="1" applyFill="1" applyBorder="1" applyAlignment="1" applyProtection="1"/>
    <xf numFmtId="0" fontId="0" fillId="0" borderId="79" xfId="0" applyFill="1" applyBorder="1"/>
    <xf numFmtId="0" fontId="0" fillId="0" borderId="79" xfId="0" applyFill="1" applyBorder="1" applyAlignment="1">
      <alignment horizontal="center"/>
    </xf>
    <xf numFmtId="0" fontId="0" fillId="0" borderId="80" xfId="0" applyFill="1" applyBorder="1" applyAlignment="1">
      <alignment horizontal="center"/>
    </xf>
    <xf numFmtId="167" fontId="18" fillId="0" borderId="81" xfId="5" applyNumberFormat="1" applyFont="1" applyFill="1" applyBorder="1"/>
    <xf numFmtId="0" fontId="0" fillId="0" borderId="16" xfId="0" applyBorder="1"/>
    <xf numFmtId="0" fontId="0" fillId="0" borderId="17" xfId="0" applyBorder="1"/>
    <xf numFmtId="0" fontId="0" fillId="0" borderId="19" xfId="0" applyBorder="1"/>
    <xf numFmtId="0" fontId="5" fillId="5" borderId="20" xfId="0" applyFont="1" applyFill="1" applyBorder="1" applyAlignment="1">
      <alignment horizontal="center"/>
    </xf>
    <xf numFmtId="0" fontId="5" fillId="5" borderId="21" xfId="0" applyFont="1" applyFill="1" applyBorder="1" applyAlignment="1">
      <alignment horizontal="center"/>
    </xf>
    <xf numFmtId="0" fontId="3" fillId="5" borderId="6" xfId="0" applyFont="1" applyFill="1" applyBorder="1" applyAlignment="1">
      <alignment horizontal="left"/>
    </xf>
    <xf numFmtId="0" fontId="5" fillId="5" borderId="7" xfId="0" applyFont="1" applyFill="1" applyBorder="1" applyAlignment="1">
      <alignment horizontal="left"/>
    </xf>
    <xf numFmtId="164" fontId="0" fillId="3" borderId="12" xfId="5" applyFont="1" applyFill="1" applyBorder="1" applyAlignment="1">
      <alignment horizontal="left" indent="1"/>
    </xf>
    <xf numFmtId="0" fontId="10" fillId="0" borderId="22" xfId="0" applyFont="1" applyBorder="1"/>
    <xf numFmtId="0" fontId="0" fillId="0" borderId="22" xfId="0" applyBorder="1"/>
    <xf numFmtId="167" fontId="0" fillId="0" borderId="22" xfId="5" applyNumberFormat="1" applyFont="1" applyBorder="1"/>
    <xf numFmtId="0" fontId="10" fillId="0" borderId="0" xfId="0" applyFont="1" applyBorder="1"/>
    <xf numFmtId="167" fontId="0" fillId="0" borderId="0" xfId="5" applyNumberFormat="1" applyFont="1" applyBorder="1"/>
    <xf numFmtId="0" fontId="5" fillId="0" borderId="0" xfId="0" applyFont="1" applyBorder="1" applyAlignment="1">
      <alignment wrapText="1"/>
    </xf>
    <xf numFmtId="0" fontId="0" fillId="0" borderId="0" xfId="0" applyBorder="1" applyAlignment="1">
      <alignment horizontal="center"/>
    </xf>
    <xf numFmtId="0" fontId="14" fillId="0" borderId="76" xfId="0" applyFont="1" applyFill="1" applyBorder="1"/>
    <xf numFmtId="167" fontId="3" fillId="0" borderId="0" xfId="5" applyNumberFormat="1" applyFont="1"/>
    <xf numFmtId="0" fontId="3" fillId="0" borderId="76" xfId="0" applyFont="1" applyFill="1" applyBorder="1"/>
    <xf numFmtId="0" fontId="3" fillId="0" borderId="0" xfId="0" applyFont="1"/>
    <xf numFmtId="167" fontId="3" fillId="0" borderId="7" xfId="5" applyNumberFormat="1" applyFont="1" applyBorder="1"/>
    <xf numFmtId="0" fontId="3" fillId="0" borderId="0" xfId="0" applyFont="1" applyBorder="1" applyAlignment="1">
      <alignment vertical="center" wrapText="1"/>
    </xf>
    <xf numFmtId="167" fontId="3" fillId="0" borderId="76" xfId="5" applyNumberFormat="1" applyFont="1" applyFill="1" applyBorder="1"/>
    <xf numFmtId="0" fontId="14" fillId="0" borderId="82" xfId="0" applyFont="1" applyFill="1" applyBorder="1"/>
    <xf numFmtId="0" fontId="3" fillId="0" borderId="83" xfId="0" applyFont="1" applyFill="1" applyBorder="1"/>
    <xf numFmtId="167" fontId="3" fillId="0" borderId="84" xfId="5" applyNumberFormat="1" applyFont="1" applyFill="1" applyBorder="1"/>
    <xf numFmtId="167" fontId="3" fillId="0" borderId="0" xfId="5" applyNumberFormat="1" applyFont="1" applyBorder="1"/>
    <xf numFmtId="0" fontId="4" fillId="0" borderId="23" xfId="0" applyFont="1" applyBorder="1" applyAlignment="1">
      <alignment horizontal="center"/>
    </xf>
    <xf numFmtId="3" fontId="0" fillId="0" borderId="85" xfId="0" applyNumberFormat="1" applyBorder="1" applyAlignment="1">
      <alignment vertical="center" wrapText="1"/>
    </xf>
    <xf numFmtId="169" fontId="59" fillId="0" borderId="0" xfId="5" applyNumberFormat="1" applyFont="1"/>
    <xf numFmtId="0" fontId="0" fillId="0" borderId="85" xfId="0" applyBorder="1" applyAlignment="1">
      <alignment vertical="center" wrapText="1"/>
    </xf>
    <xf numFmtId="165" fontId="59" fillId="0" borderId="0" xfId="5" applyNumberFormat="1" applyFont="1"/>
    <xf numFmtId="4" fontId="0" fillId="0" borderId="85" xfId="0" applyNumberFormat="1" applyBorder="1" applyAlignment="1">
      <alignment vertical="center" wrapText="1"/>
    </xf>
    <xf numFmtId="165" fontId="61" fillId="0" borderId="0" xfId="5" applyNumberFormat="1" applyFont="1"/>
    <xf numFmtId="0" fontId="0" fillId="0" borderId="0" xfId="0" applyAlignment="1">
      <alignment horizontal="center"/>
    </xf>
    <xf numFmtId="0" fontId="5" fillId="0" borderId="0" xfId="0" applyFont="1" applyFill="1" applyBorder="1" applyAlignment="1">
      <alignment horizontal="left" indent="1"/>
    </xf>
    <xf numFmtId="0" fontId="5" fillId="0" borderId="0" xfId="0" applyFont="1" applyFill="1" applyBorder="1" applyAlignment="1">
      <alignment wrapText="1"/>
    </xf>
    <xf numFmtId="0" fontId="5" fillId="0" borderId="0" xfId="0" applyFont="1" applyFill="1" applyBorder="1" applyAlignment="1">
      <alignment vertical="center" wrapText="1"/>
    </xf>
    <xf numFmtId="0" fontId="3" fillId="0" borderId="0" xfId="0" applyFont="1" applyBorder="1"/>
    <xf numFmtId="167" fontId="5" fillId="6" borderId="24" xfId="5" applyNumberFormat="1" applyFont="1" applyFill="1" applyBorder="1" applyProtection="1">
      <protection hidden="1"/>
    </xf>
    <xf numFmtId="0" fontId="5" fillId="0" borderId="0" xfId="0" applyFont="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4" xfId="0" applyFill="1" applyBorder="1" applyAlignment="1">
      <alignment horizontal="left"/>
    </xf>
    <xf numFmtId="0" fontId="0" fillId="0" borderId="1" xfId="0" applyFill="1" applyBorder="1" applyAlignment="1">
      <alignment horizontal="left"/>
    </xf>
    <xf numFmtId="0" fontId="0" fillId="0" borderId="6" xfId="0" applyFill="1" applyBorder="1" applyAlignment="1">
      <alignment horizontal="left"/>
    </xf>
    <xf numFmtId="0" fontId="0" fillId="0" borderId="27" xfId="0" applyFill="1" applyBorder="1" applyAlignment="1">
      <alignment horizontal="left"/>
    </xf>
    <xf numFmtId="0" fontId="0" fillId="0" borderId="27" xfId="0" applyBorder="1" applyAlignment="1">
      <alignment horizontal="center"/>
    </xf>
    <xf numFmtId="0" fontId="4" fillId="0" borderId="28" xfId="0" applyFont="1" applyBorder="1" applyAlignment="1">
      <alignment horizontal="center"/>
    </xf>
    <xf numFmtId="2" fontId="0" fillId="0" borderId="29" xfId="0" applyNumberFormat="1" applyBorder="1" applyAlignment="1">
      <alignment horizontal="center"/>
    </xf>
    <xf numFmtId="2" fontId="0" fillId="0" borderId="1" xfId="0" applyNumberFormat="1" applyBorder="1" applyAlignment="1">
      <alignment horizontal="center"/>
    </xf>
    <xf numFmtId="0" fontId="62" fillId="0" borderId="30" xfId="0" applyFont="1" applyFill="1" applyBorder="1" applyAlignment="1">
      <alignment horizontal="center"/>
    </xf>
    <xf numFmtId="0" fontId="62" fillId="0" borderId="28" xfId="0" applyFont="1" applyFill="1" applyBorder="1" applyAlignment="1">
      <alignment horizontal="center"/>
    </xf>
    <xf numFmtId="0" fontId="0" fillId="0" borderId="2" xfId="0" applyFont="1" applyFill="1" applyBorder="1" applyAlignment="1">
      <alignment horizontal="left"/>
    </xf>
    <xf numFmtId="0" fontId="0" fillId="0" borderId="29" xfId="0" applyFont="1" applyFill="1" applyBorder="1" applyAlignment="1">
      <alignment horizontal="left"/>
    </xf>
    <xf numFmtId="0" fontId="4" fillId="5" borderId="31" xfId="0" applyFont="1" applyFill="1" applyBorder="1" applyAlignment="1">
      <alignment horizontal="left" indent="6"/>
    </xf>
    <xf numFmtId="3" fontId="5" fillId="5" borderId="5" xfId="0" applyNumberFormat="1" applyFont="1" applyFill="1" applyBorder="1" applyProtection="1">
      <protection locked="0"/>
    </xf>
    <xf numFmtId="0" fontId="9" fillId="6" borderId="32" xfId="0" applyFont="1" applyFill="1" applyBorder="1" applyAlignment="1" applyProtection="1">
      <alignment horizontal="center"/>
      <protection hidden="1"/>
    </xf>
    <xf numFmtId="3" fontId="5" fillId="5" borderId="7" xfId="0" applyNumberFormat="1" applyFont="1" applyFill="1" applyBorder="1" applyProtection="1">
      <protection locked="0"/>
    </xf>
    <xf numFmtId="167" fontId="18" fillId="7" borderId="86" xfId="5" applyNumberFormat="1" applyFont="1" applyFill="1" applyBorder="1"/>
    <xf numFmtId="0" fontId="0" fillId="0" borderId="87" xfId="0" applyFill="1" applyBorder="1"/>
    <xf numFmtId="0" fontId="0" fillId="0" borderId="88" xfId="0" applyFill="1" applyBorder="1"/>
    <xf numFmtId="0" fontId="0" fillId="0" borderId="1" xfId="0" applyBorder="1" applyAlignment="1">
      <alignment horizontal="center"/>
    </xf>
    <xf numFmtId="0" fontId="8" fillId="5" borderId="33" xfId="0" applyFont="1" applyFill="1" applyBorder="1" applyAlignment="1">
      <alignment horizontal="left"/>
    </xf>
    <xf numFmtId="171" fontId="0" fillId="0" borderId="0" xfId="4" applyNumberFormat="1" applyFont="1" applyBorder="1"/>
    <xf numFmtId="167" fontId="0" fillId="0" borderId="0" xfId="0" applyNumberFormat="1" applyBorder="1"/>
    <xf numFmtId="0" fontId="0" fillId="0" borderId="89" xfId="0" applyFill="1" applyBorder="1"/>
    <xf numFmtId="0" fontId="3" fillId="0" borderId="75" xfId="0" applyFont="1" applyFill="1" applyBorder="1"/>
    <xf numFmtId="167" fontId="8" fillId="0" borderId="15" xfId="5" applyNumberFormat="1" applyFont="1" applyBorder="1"/>
    <xf numFmtId="167" fontId="8" fillId="0" borderId="77" xfId="5" applyNumberFormat="1" applyFont="1" applyFill="1" applyBorder="1"/>
    <xf numFmtId="0" fontId="0" fillId="0" borderId="14" xfId="0" applyBorder="1" applyAlignment="1">
      <alignment horizontal="center"/>
    </xf>
    <xf numFmtId="167" fontId="63" fillId="0" borderId="15" xfId="5" applyNumberFormat="1" applyFont="1" applyFill="1" applyBorder="1"/>
    <xf numFmtId="0" fontId="0" fillId="0" borderId="14" xfId="0" applyFill="1" applyBorder="1" applyAlignment="1">
      <alignment horizontal="center"/>
    </xf>
    <xf numFmtId="167" fontId="8" fillId="0" borderId="15" xfId="0" applyNumberFormat="1" applyFont="1" applyFill="1" applyBorder="1"/>
    <xf numFmtId="0" fontId="3" fillId="0" borderId="27" xfId="0" applyFont="1" applyBorder="1" applyAlignment="1">
      <alignment horizontal="center"/>
    </xf>
    <xf numFmtId="0" fontId="5" fillId="0" borderId="29" xfId="0" applyFont="1" applyBorder="1" applyAlignment="1">
      <alignment horizontal="center"/>
    </xf>
    <xf numFmtId="0" fontId="5" fillId="0" borderId="1" xfId="0" applyFont="1" applyBorder="1" applyAlignment="1">
      <alignment horizontal="center"/>
    </xf>
    <xf numFmtId="9" fontId="64" fillId="6" borderId="0" xfId="0" applyNumberFormat="1" applyFont="1" applyFill="1" applyBorder="1" applyAlignment="1">
      <alignment horizontal="left" vertical="center"/>
    </xf>
    <xf numFmtId="0" fontId="3" fillId="5" borderId="34" xfId="0" applyFont="1" applyFill="1" applyBorder="1" applyAlignment="1">
      <alignment horizontal="left"/>
    </xf>
    <xf numFmtId="0" fontId="5" fillId="5" borderId="35" xfId="0" applyFont="1" applyFill="1" applyBorder="1" applyAlignment="1">
      <alignment horizontal="left"/>
    </xf>
    <xf numFmtId="0" fontId="9" fillId="0" borderId="76" xfId="0" applyFont="1" applyBorder="1" applyAlignment="1">
      <alignment horizontal="center"/>
    </xf>
    <xf numFmtId="0" fontId="0" fillId="0" borderId="76" xfId="0" applyBorder="1"/>
    <xf numFmtId="0" fontId="0" fillId="0" borderId="79" xfId="0" applyBorder="1"/>
    <xf numFmtId="0" fontId="0" fillId="0" borderId="0" xfId="0" applyProtection="1">
      <protection locked="0"/>
    </xf>
    <xf numFmtId="171" fontId="38" fillId="5" borderId="1" xfId="4" applyNumberFormat="1" applyFont="1" applyFill="1" applyBorder="1" applyProtection="1">
      <protection locked="0"/>
    </xf>
    <xf numFmtId="0" fontId="0" fillId="5" borderId="1" xfId="0" applyFill="1" applyBorder="1" applyProtection="1">
      <protection locked="0"/>
    </xf>
    <xf numFmtId="0" fontId="3" fillId="5" borderId="1" xfId="0" applyFont="1" applyFill="1" applyBorder="1" applyProtection="1">
      <protection locked="0"/>
    </xf>
    <xf numFmtId="0" fontId="5" fillId="0" borderId="0" xfId="0" applyFont="1" applyProtection="1">
      <protection locked="0"/>
    </xf>
    <xf numFmtId="0" fontId="5" fillId="0" borderId="36" xfId="9" applyFont="1" applyFill="1" applyBorder="1" applyAlignment="1" applyProtection="1">
      <alignment vertical="center" wrapText="1"/>
      <protection locked="0"/>
    </xf>
    <xf numFmtId="0" fontId="5" fillId="0" borderId="37" xfId="9" applyFont="1" applyFill="1" applyBorder="1" applyAlignment="1" applyProtection="1">
      <alignment vertical="center" wrapText="1"/>
      <protection locked="0"/>
    </xf>
    <xf numFmtId="0" fontId="5" fillId="4" borderId="37" xfId="9" applyFont="1" applyFill="1" applyBorder="1" applyAlignment="1" applyProtection="1">
      <alignment vertical="center" wrapText="1"/>
      <protection locked="0"/>
    </xf>
    <xf numFmtId="171" fontId="3" fillId="5" borderId="1" xfId="4" applyNumberFormat="1" applyFont="1" applyFill="1" applyBorder="1" applyProtection="1">
      <protection locked="0"/>
    </xf>
    <xf numFmtId="0" fontId="34" fillId="5" borderId="1" xfId="0" applyFont="1" applyFill="1" applyBorder="1" applyAlignment="1" applyProtection="1">
      <alignment horizontal="center" vertical="center"/>
      <protection locked="0"/>
    </xf>
    <xf numFmtId="0" fontId="5" fillId="0" borderId="15" xfId="9" applyFont="1" applyFill="1" applyBorder="1" applyAlignment="1" applyProtection="1">
      <alignment vertical="center" wrapText="1"/>
      <protection locked="0"/>
    </xf>
    <xf numFmtId="0" fontId="5" fillId="0" borderId="37" xfId="9" applyFont="1" applyBorder="1" applyAlignment="1" applyProtection="1">
      <alignment horizontal="left" vertical="center" wrapText="1"/>
      <protection locked="0"/>
    </xf>
    <xf numFmtId="0" fontId="5" fillId="0" borderId="38" xfId="9" applyFont="1" applyBorder="1" applyAlignment="1" applyProtection="1">
      <alignment horizontal="left" vertical="center" wrapText="1"/>
      <protection locked="0"/>
    </xf>
    <xf numFmtId="0" fontId="5" fillId="0" borderId="26" xfId="9" applyFont="1" applyBorder="1" applyAlignment="1" applyProtection="1">
      <alignment horizontal="left" vertical="center" wrapText="1"/>
      <protection locked="0"/>
    </xf>
    <xf numFmtId="0" fontId="5" fillId="0" borderId="26" xfId="9" applyFont="1" applyBorder="1" applyAlignment="1" applyProtection="1">
      <alignment vertical="center"/>
      <protection locked="0"/>
    </xf>
    <xf numFmtId="171" fontId="3" fillId="5" borderId="39" xfId="4" applyNumberFormat="1" applyFont="1" applyFill="1" applyBorder="1" applyProtection="1">
      <protection locked="0"/>
    </xf>
    <xf numFmtId="0" fontId="5" fillId="0" borderId="40" xfId="9" applyFont="1" applyBorder="1" applyAlignment="1" applyProtection="1">
      <alignment horizontal="left" vertical="center" wrapText="1"/>
      <protection locked="0"/>
    </xf>
    <xf numFmtId="0" fontId="5" fillId="4" borderId="18" xfId="9" applyFont="1" applyFill="1" applyBorder="1" applyAlignment="1" applyProtection="1">
      <alignment vertical="center" wrapText="1"/>
      <protection locked="0"/>
    </xf>
    <xf numFmtId="0" fontId="5" fillId="0" borderId="40" xfId="9" applyFont="1" applyFill="1" applyBorder="1" applyAlignment="1" applyProtection="1">
      <alignment vertical="center" wrapText="1"/>
      <protection locked="0"/>
    </xf>
    <xf numFmtId="0" fontId="5" fillId="4" borderId="40" xfId="9" applyFont="1" applyFill="1" applyBorder="1" applyAlignment="1" applyProtection="1">
      <alignment vertical="center" wrapText="1"/>
      <protection locked="0"/>
    </xf>
    <xf numFmtId="0" fontId="8" fillId="5" borderId="1" xfId="0" applyFont="1" applyFill="1" applyBorder="1" applyProtection="1">
      <protection locked="0"/>
    </xf>
    <xf numFmtId="0" fontId="8" fillId="0" borderId="0" xfId="0" applyFont="1" applyProtection="1">
      <protection locked="0"/>
    </xf>
    <xf numFmtId="0" fontId="8" fillId="0" borderId="0" xfId="0" applyFont="1" applyFill="1" applyBorder="1" applyProtection="1">
      <protection locked="0"/>
    </xf>
    <xf numFmtId="0" fontId="5" fillId="0" borderId="0" xfId="0" applyFont="1" applyFill="1" applyBorder="1" applyProtection="1">
      <protection locked="0"/>
    </xf>
    <xf numFmtId="171" fontId="8" fillId="5" borderId="1" xfId="4" applyNumberFormat="1" applyFont="1" applyFill="1" applyBorder="1" applyProtection="1">
      <protection locked="0"/>
    </xf>
    <xf numFmtId="0" fontId="5" fillId="0" borderId="0" xfId="0" applyFont="1" applyFill="1" applyBorder="1" applyAlignment="1" applyProtection="1">
      <alignment horizontal="left"/>
      <protection locked="0"/>
    </xf>
    <xf numFmtId="171" fontId="29" fillId="5" borderId="1" xfId="4" applyNumberFormat="1" applyFont="1" applyFill="1" applyBorder="1" applyProtection="1">
      <protection locked="0"/>
    </xf>
    <xf numFmtId="0" fontId="3" fillId="0" borderId="0" xfId="0" applyFont="1" applyProtection="1">
      <protection locked="0"/>
    </xf>
    <xf numFmtId="171" fontId="29" fillId="5" borderId="39" xfId="4" applyNumberFormat="1" applyFont="1" applyFill="1" applyBorder="1" applyProtection="1">
      <protection locked="0"/>
    </xf>
    <xf numFmtId="0" fontId="5" fillId="5" borderId="1" xfId="0" applyFont="1" applyFill="1" applyBorder="1" applyProtection="1">
      <protection locked="0"/>
    </xf>
    <xf numFmtId="171" fontId="0" fillId="0" borderId="0" xfId="4" applyNumberFormat="1" applyFont="1" applyProtection="1">
      <protection locked="0"/>
    </xf>
    <xf numFmtId="171" fontId="0" fillId="0" borderId="3" xfId="4" applyNumberFormat="1" applyFont="1" applyBorder="1" applyProtection="1">
      <protection hidden="1"/>
    </xf>
    <xf numFmtId="171" fontId="0" fillId="0" borderId="1" xfId="4" applyNumberFormat="1" applyFont="1" applyBorder="1" applyProtection="1">
      <protection hidden="1"/>
    </xf>
    <xf numFmtId="0" fontId="3" fillId="0" borderId="1" xfId="0" applyFont="1" applyBorder="1" applyProtection="1">
      <protection hidden="1"/>
    </xf>
    <xf numFmtId="0" fontId="3" fillId="0" borderId="1" xfId="0" applyFont="1" applyBorder="1" applyAlignment="1" applyProtection="1">
      <alignment horizontal="center"/>
      <protection hidden="1"/>
    </xf>
    <xf numFmtId="0" fontId="0" fillId="0" borderId="1" xfId="0" applyBorder="1" applyAlignment="1" applyProtection="1">
      <alignment horizontal="center"/>
      <protection hidden="1"/>
    </xf>
    <xf numFmtId="0" fontId="0" fillId="0" borderId="1" xfId="0" applyBorder="1" applyProtection="1">
      <protection hidden="1"/>
    </xf>
    <xf numFmtId="171" fontId="0" fillId="0" borderId="5" xfId="4" applyNumberFormat="1" applyFont="1" applyBorder="1" applyProtection="1">
      <protection hidden="1"/>
    </xf>
    <xf numFmtId="171" fontId="0" fillId="0" borderId="1" xfId="4" applyNumberFormat="1" applyFont="1" applyFill="1" applyBorder="1" applyProtection="1">
      <protection hidden="1"/>
    </xf>
    <xf numFmtId="171" fontId="0" fillId="0" borderId="13" xfId="4" applyNumberFormat="1" applyFont="1" applyBorder="1" applyProtection="1">
      <protection hidden="1"/>
    </xf>
    <xf numFmtId="171" fontId="0" fillId="0" borderId="15" xfId="4" applyNumberFormat="1" applyFont="1" applyBorder="1" applyProtection="1">
      <protection hidden="1"/>
    </xf>
    <xf numFmtId="0" fontId="5" fillId="0" borderId="1" xfId="0" applyFont="1" applyBorder="1" applyProtection="1">
      <protection hidden="1"/>
    </xf>
    <xf numFmtId="0" fontId="4" fillId="0" borderId="1" xfId="0" applyFont="1" applyBorder="1" applyAlignment="1" applyProtection="1">
      <alignment horizontal="center"/>
      <protection hidden="1"/>
    </xf>
    <xf numFmtId="0" fontId="8" fillId="0" borderId="1" xfId="0" applyFont="1" applyBorder="1" applyProtection="1">
      <protection hidden="1"/>
    </xf>
    <xf numFmtId="0" fontId="9" fillId="0" borderId="1" xfId="0" applyFont="1" applyBorder="1" applyAlignment="1" applyProtection="1">
      <alignment horizontal="center" vertical="justify"/>
      <protection hidden="1"/>
    </xf>
    <xf numFmtId="0" fontId="0" fillId="0" borderId="0" xfId="0" applyBorder="1" applyAlignment="1" applyProtection="1">
      <alignment horizontal="center"/>
      <protection hidden="1"/>
    </xf>
    <xf numFmtId="171" fontId="15" fillId="0" borderId="41" xfId="4" applyNumberFormat="1" applyFont="1" applyBorder="1" applyProtection="1">
      <protection hidden="1"/>
    </xf>
    <xf numFmtId="0" fontId="0" fillId="0" borderId="0" xfId="0" applyAlignment="1" applyProtection="1">
      <alignment horizontal="center"/>
      <protection hidden="1"/>
    </xf>
    <xf numFmtId="171" fontId="15" fillId="0" borderId="1" xfId="4" applyNumberFormat="1" applyFont="1" applyBorder="1" applyProtection="1">
      <protection hidden="1"/>
    </xf>
    <xf numFmtId="0" fontId="0" fillId="0" borderId="0" xfId="0" applyProtection="1">
      <protection hidden="1"/>
    </xf>
    <xf numFmtId="0" fontId="0" fillId="0" borderId="90" xfId="0" applyBorder="1" applyProtection="1">
      <protection locked="0"/>
    </xf>
    <xf numFmtId="0" fontId="0" fillId="6" borderId="91" xfId="0" applyFill="1" applyBorder="1" applyProtection="1">
      <protection locked="0"/>
    </xf>
    <xf numFmtId="0" fontId="0" fillId="0" borderId="92" xfId="0" applyBorder="1" applyProtection="1">
      <protection locked="0"/>
    </xf>
    <xf numFmtId="171" fontId="5" fillId="5" borderId="1" xfId="4" applyNumberFormat="1" applyFont="1" applyFill="1" applyBorder="1" applyAlignment="1" applyProtection="1">
      <alignment horizontal="left" vertical="center"/>
      <protection locked="0"/>
    </xf>
    <xf numFmtId="171" fontId="5" fillId="5" borderId="5" xfId="4" applyNumberFormat="1" applyFont="1" applyFill="1" applyBorder="1" applyAlignment="1" applyProtection="1">
      <alignment horizontal="right" vertical="center"/>
      <protection locked="0"/>
    </xf>
    <xf numFmtId="171" fontId="3" fillId="5" borderId="5" xfId="4" applyNumberFormat="1" applyFont="1" applyFill="1" applyBorder="1" applyAlignment="1" applyProtection="1">
      <alignment horizontal="right" vertical="center"/>
      <protection locked="0"/>
    </xf>
    <xf numFmtId="0" fontId="30" fillId="5" borderId="5" xfId="0" applyFont="1" applyFill="1" applyBorder="1" applyAlignment="1" applyProtection="1">
      <alignment horizontal="center" vertical="center"/>
      <protection locked="0"/>
    </xf>
    <xf numFmtId="0" fontId="65" fillId="5" borderId="42" xfId="0" applyFont="1" applyFill="1" applyBorder="1" applyAlignment="1" applyProtection="1">
      <alignment horizontal="left" vertical="center" indent="12"/>
      <protection locked="0"/>
    </xf>
    <xf numFmtId="0" fontId="5" fillId="0" borderId="92" xfId="0" applyFont="1" applyBorder="1" applyAlignment="1" applyProtection="1">
      <alignment horizontal="center"/>
      <protection locked="0"/>
    </xf>
    <xf numFmtId="167" fontId="20" fillId="5" borderId="4" xfId="5" applyNumberFormat="1" applyFont="1" applyFill="1" applyBorder="1" applyAlignment="1" applyProtection="1">
      <alignment horizontal="right"/>
      <protection locked="0"/>
    </xf>
    <xf numFmtId="167" fontId="20" fillId="5" borderId="1" xfId="5" applyNumberFormat="1" applyFont="1" applyFill="1" applyBorder="1" applyAlignment="1" applyProtection="1">
      <alignment horizontal="right"/>
      <protection locked="0"/>
    </xf>
    <xf numFmtId="167" fontId="8" fillId="5" borderId="5" xfId="5" applyNumberFormat="1" applyFont="1" applyFill="1" applyBorder="1" applyProtection="1">
      <protection locked="0"/>
    </xf>
    <xf numFmtId="167" fontId="8" fillId="5" borderId="7" xfId="5" applyNumberFormat="1" applyFont="1" applyFill="1" applyBorder="1" applyProtection="1">
      <protection locked="0"/>
    </xf>
    <xf numFmtId="0" fontId="0" fillId="6" borderId="0" xfId="0" applyFill="1" applyBorder="1" applyProtection="1">
      <protection locked="0"/>
    </xf>
    <xf numFmtId="0" fontId="3" fillId="0" borderId="92" xfId="0" applyFont="1" applyBorder="1" applyProtection="1">
      <protection locked="0"/>
    </xf>
    <xf numFmtId="0" fontId="5" fillId="5" borderId="1" xfId="0" applyFont="1" applyFill="1" applyBorder="1" applyAlignment="1" applyProtection="1">
      <alignment horizontal="center"/>
      <protection locked="0"/>
    </xf>
    <xf numFmtId="0" fontId="7" fillId="5" borderId="27" xfId="0" applyFont="1" applyFill="1" applyBorder="1" applyAlignment="1" applyProtection="1">
      <alignment horizontal="center"/>
      <protection locked="0"/>
    </xf>
    <xf numFmtId="171" fontId="3" fillId="5" borderId="22" xfId="4" applyNumberFormat="1" applyFont="1" applyFill="1" applyBorder="1" applyAlignment="1" applyProtection="1">
      <alignment horizontal="center"/>
      <protection locked="0"/>
    </xf>
    <xf numFmtId="171" fontId="3" fillId="5" borderId="1" xfId="4" applyNumberFormat="1" applyFont="1" applyFill="1" applyBorder="1" applyAlignment="1" applyProtection="1">
      <alignment horizontal="center"/>
      <protection locked="0"/>
    </xf>
    <xf numFmtId="171" fontId="3" fillId="5" borderId="27" xfId="4" applyNumberFormat="1" applyFont="1" applyFill="1" applyBorder="1" applyAlignment="1" applyProtection="1">
      <alignment horizontal="center"/>
      <protection locked="0"/>
    </xf>
    <xf numFmtId="171" fontId="3" fillId="5" borderId="1" xfId="4" applyNumberFormat="1" applyFont="1" applyFill="1" applyBorder="1" applyAlignment="1" applyProtection="1">
      <alignment horizontal="left"/>
      <protection locked="0"/>
    </xf>
    <xf numFmtId="171" fontId="3" fillId="5" borderId="27" xfId="4" applyNumberFormat="1" applyFont="1" applyFill="1" applyBorder="1" applyAlignment="1" applyProtection="1">
      <alignment horizontal="left"/>
      <protection locked="0"/>
    </xf>
    <xf numFmtId="167" fontId="3" fillId="5" borderId="5" xfId="5" applyNumberFormat="1" applyFont="1" applyFill="1" applyBorder="1" applyAlignment="1" applyProtection="1">
      <alignment horizontal="center"/>
      <protection locked="0"/>
    </xf>
    <xf numFmtId="167" fontId="3" fillId="5" borderId="7" xfId="5" applyNumberFormat="1" applyFont="1" applyFill="1" applyBorder="1" applyAlignment="1" applyProtection="1">
      <alignment horizontal="center"/>
      <protection locked="0"/>
    </xf>
    <xf numFmtId="167" fontId="38" fillId="5" borderId="1" xfId="5" applyNumberFormat="1" applyFont="1" applyFill="1" applyBorder="1" applyProtection="1">
      <protection locked="0"/>
    </xf>
    <xf numFmtId="171" fontId="5" fillId="5" borderId="5" xfId="4" applyNumberFormat="1" applyFont="1" applyFill="1" applyBorder="1" applyAlignment="1" applyProtection="1">
      <alignment horizontal="center"/>
      <protection locked="0"/>
    </xf>
    <xf numFmtId="0" fontId="0" fillId="0" borderId="93" xfId="0" applyBorder="1" applyProtection="1">
      <protection locked="0"/>
    </xf>
    <xf numFmtId="0" fontId="41" fillId="6" borderId="1" xfId="0" applyFont="1" applyFill="1" applyBorder="1" applyAlignment="1" applyProtection="1">
      <alignment horizontal="justify" vertical="center"/>
      <protection hidden="1"/>
    </xf>
    <xf numFmtId="167" fontId="3" fillId="6" borderId="5" xfId="5" applyNumberFormat="1" applyFont="1" applyFill="1" applyBorder="1" applyAlignment="1" applyProtection="1">
      <alignment horizontal="left" vertical="center"/>
      <protection hidden="1"/>
    </xf>
    <xf numFmtId="0" fontId="9" fillId="6" borderId="1" xfId="0" applyFont="1" applyFill="1" applyBorder="1" applyAlignment="1" applyProtection="1">
      <alignment horizontal="center" vertical="justify"/>
      <protection hidden="1"/>
    </xf>
    <xf numFmtId="0" fontId="9" fillId="6" borderId="5" xfId="0" applyFont="1" applyFill="1" applyBorder="1" applyAlignment="1" applyProtection="1">
      <alignment horizontal="center" vertical="center"/>
      <protection hidden="1"/>
    </xf>
    <xf numFmtId="0" fontId="4" fillId="6" borderId="1" xfId="0" applyFont="1" applyFill="1" applyBorder="1" applyAlignment="1" applyProtection="1">
      <alignment horizontal="center"/>
      <protection hidden="1"/>
    </xf>
    <xf numFmtId="0" fontId="4" fillId="6" borderId="27" xfId="0" applyFont="1" applyFill="1" applyBorder="1" applyAlignment="1" applyProtection="1">
      <alignment horizontal="center"/>
      <protection hidden="1"/>
    </xf>
    <xf numFmtId="167" fontId="4" fillId="6" borderId="44" xfId="5" applyNumberFormat="1" applyFont="1" applyFill="1" applyBorder="1" applyProtection="1">
      <protection hidden="1"/>
    </xf>
    <xf numFmtId="0" fontId="5" fillId="6" borderId="0" xfId="0" applyFont="1" applyFill="1" applyBorder="1" applyAlignment="1" applyProtection="1">
      <alignment horizontal="left"/>
      <protection hidden="1"/>
    </xf>
    <xf numFmtId="167" fontId="18" fillId="6" borderId="0" xfId="5" applyNumberFormat="1" applyFont="1" applyFill="1" applyBorder="1" applyProtection="1">
      <protection hidden="1"/>
    </xf>
    <xf numFmtId="0" fontId="20" fillId="6" borderId="3" xfId="0" applyFont="1" applyFill="1" applyBorder="1" applyAlignment="1" applyProtection="1">
      <alignment horizontal="center"/>
      <protection hidden="1"/>
    </xf>
    <xf numFmtId="171" fontId="7" fillId="0" borderId="29" xfId="4" applyNumberFormat="1" applyFont="1" applyFill="1" applyBorder="1" applyAlignment="1" applyProtection="1">
      <alignment horizontal="center" vertical="center"/>
      <protection hidden="1"/>
    </xf>
    <xf numFmtId="9" fontId="21" fillId="0" borderId="27" xfId="11" applyNumberFormat="1" applyFont="1" applyFill="1" applyBorder="1" applyAlignment="1" applyProtection="1">
      <alignment horizontal="center" vertical="center"/>
      <protection hidden="1"/>
    </xf>
    <xf numFmtId="167" fontId="22" fillId="0" borderId="7" xfId="5" applyNumberFormat="1" applyFont="1" applyFill="1" applyBorder="1" applyAlignment="1" applyProtection="1">
      <alignment horizontal="center" vertical="center"/>
      <protection hidden="1"/>
    </xf>
    <xf numFmtId="0" fontId="0" fillId="6" borderId="0" xfId="0" applyFill="1" applyBorder="1" applyProtection="1">
      <protection hidden="1"/>
    </xf>
    <xf numFmtId="0" fontId="10" fillId="6" borderId="2" xfId="0" applyFont="1" applyFill="1" applyBorder="1" applyAlignment="1" applyProtection="1">
      <alignment horizontal="left"/>
      <protection hidden="1"/>
    </xf>
    <xf numFmtId="0" fontId="8" fillId="6" borderId="29" xfId="0" applyFont="1" applyFill="1" applyBorder="1" applyAlignment="1" applyProtection="1">
      <alignment horizontal="left" vertical="justify"/>
      <protection hidden="1"/>
    </xf>
    <xf numFmtId="167" fontId="10" fillId="6" borderId="3" xfId="5" applyNumberFormat="1" applyFont="1" applyFill="1" applyBorder="1" applyAlignment="1" applyProtection="1">
      <alignment horizontal="center"/>
      <protection hidden="1"/>
    </xf>
    <xf numFmtId="167" fontId="3" fillId="6" borderId="5" xfId="5" applyNumberFormat="1" applyFont="1" applyFill="1" applyBorder="1" applyAlignment="1" applyProtection="1">
      <alignment horizontal="center"/>
      <protection hidden="1"/>
    </xf>
    <xf numFmtId="167" fontId="4" fillId="0" borderId="45" xfId="5" applyNumberFormat="1" applyFont="1" applyFill="1" applyBorder="1" applyAlignment="1" applyProtection="1">
      <alignment horizontal="center"/>
      <protection hidden="1"/>
    </xf>
    <xf numFmtId="171" fontId="5" fillId="0" borderId="3" xfId="4" applyNumberFormat="1" applyFont="1" applyFill="1" applyBorder="1" applyAlignment="1" applyProtection="1">
      <alignment horizontal="center"/>
      <protection hidden="1"/>
    </xf>
    <xf numFmtId="171" fontId="5" fillId="0" borderId="1" xfId="4" applyNumberFormat="1" applyFont="1" applyFill="1" applyBorder="1" applyAlignment="1" applyProtection="1">
      <alignment horizontal="center"/>
      <protection hidden="1"/>
    </xf>
    <xf numFmtId="0" fontId="3" fillId="0" borderId="4" xfId="0" applyFont="1" applyFill="1" applyBorder="1" applyAlignment="1" applyProtection="1">
      <alignment horizontal="left" indent="3"/>
      <protection hidden="1"/>
    </xf>
    <xf numFmtId="167" fontId="6" fillId="6" borderId="45" xfId="5" applyNumberFormat="1" applyFont="1" applyFill="1" applyBorder="1" applyProtection="1">
      <protection hidden="1"/>
    </xf>
    <xf numFmtId="167" fontId="3" fillId="6" borderId="5" xfId="5" applyNumberFormat="1" applyFont="1" applyFill="1" applyBorder="1" applyProtection="1">
      <protection hidden="1"/>
    </xf>
    <xf numFmtId="167" fontId="18" fillId="8" borderId="44" xfId="5" applyNumberFormat="1" applyFont="1" applyFill="1" applyBorder="1" applyProtection="1">
      <protection hidden="1"/>
    </xf>
    <xf numFmtId="167" fontId="10" fillId="6" borderId="5" xfId="5" applyNumberFormat="1" applyFont="1" applyFill="1" applyBorder="1" applyProtection="1">
      <protection hidden="1"/>
    </xf>
    <xf numFmtId="0" fontId="4" fillId="0" borderId="5" xfId="0" applyFont="1" applyBorder="1" applyAlignment="1" applyProtection="1">
      <alignment horizontal="center"/>
      <protection hidden="1"/>
    </xf>
    <xf numFmtId="171" fontId="29" fillId="6" borderId="5" xfId="4" applyNumberFormat="1" applyFont="1" applyFill="1" applyBorder="1" applyProtection="1">
      <protection hidden="1"/>
    </xf>
    <xf numFmtId="170" fontId="66" fillId="6" borderId="7" xfId="4" applyNumberFormat="1" applyFont="1" applyFill="1" applyBorder="1" applyProtection="1">
      <protection hidden="1"/>
    </xf>
    <xf numFmtId="171" fontId="66" fillId="6" borderId="45" xfId="4" applyNumberFormat="1" applyFont="1" applyFill="1" applyBorder="1" applyProtection="1">
      <protection hidden="1"/>
    </xf>
    <xf numFmtId="171" fontId="29" fillId="6" borderId="24" xfId="4" applyNumberFormat="1" applyFont="1" applyFill="1" applyBorder="1" applyProtection="1">
      <protection hidden="1"/>
    </xf>
    <xf numFmtId="167" fontId="6" fillId="6" borderId="47" xfId="5" applyNumberFormat="1" applyFont="1" applyFill="1" applyBorder="1" applyProtection="1">
      <protection hidden="1"/>
    </xf>
    <xf numFmtId="0" fontId="0" fillId="0" borderId="0" xfId="0" applyFill="1" applyProtection="1">
      <protection hidden="1"/>
    </xf>
    <xf numFmtId="0" fontId="0" fillId="9" borderId="95" xfId="0" applyFill="1" applyBorder="1" applyAlignment="1" applyProtection="1">
      <alignment horizontal="center"/>
      <protection hidden="1"/>
    </xf>
    <xf numFmtId="171" fontId="8" fillId="9" borderId="95" xfId="4" applyNumberFormat="1" applyFont="1" applyFill="1" applyBorder="1" applyProtection="1">
      <protection hidden="1"/>
    </xf>
    <xf numFmtId="171" fontId="8" fillId="9" borderId="96" xfId="4" applyNumberFormat="1" applyFont="1" applyFill="1" applyBorder="1" applyProtection="1">
      <protection hidden="1"/>
    </xf>
    <xf numFmtId="171" fontId="8" fillId="0" borderId="0" xfId="4" applyNumberFormat="1" applyFont="1" applyBorder="1" applyProtection="1">
      <protection hidden="1"/>
    </xf>
    <xf numFmtId="171" fontId="8" fillId="0" borderId="97" xfId="4" applyNumberFormat="1" applyFont="1" applyBorder="1" applyProtection="1">
      <protection hidden="1"/>
    </xf>
    <xf numFmtId="0" fontId="0" fillId="9" borderId="0" xfId="0" applyFill="1" applyBorder="1" applyAlignment="1" applyProtection="1">
      <alignment horizontal="center"/>
      <protection hidden="1"/>
    </xf>
    <xf numFmtId="171" fontId="8" fillId="9" borderId="0" xfId="4" applyNumberFormat="1" applyFont="1" applyFill="1" applyBorder="1" applyProtection="1">
      <protection hidden="1"/>
    </xf>
    <xf numFmtId="171" fontId="8" fillId="9" borderId="97" xfId="4" applyNumberFormat="1" applyFont="1" applyFill="1" applyBorder="1" applyProtection="1">
      <protection hidden="1"/>
    </xf>
    <xf numFmtId="0" fontId="5" fillId="0" borderId="0" xfId="0" applyFont="1" applyFill="1" applyBorder="1" applyProtection="1">
      <protection hidden="1"/>
    </xf>
    <xf numFmtId="0" fontId="5" fillId="0" borderId="0" xfId="0" applyFont="1" applyProtection="1">
      <protection hidden="1"/>
    </xf>
    <xf numFmtId="0" fontId="5" fillId="0" borderId="0" xfId="0" applyFont="1" applyBorder="1" applyProtection="1">
      <protection hidden="1"/>
    </xf>
    <xf numFmtId="0" fontId="5" fillId="0" borderId="0" xfId="0" applyFont="1" applyFill="1" applyBorder="1" applyAlignment="1" applyProtection="1">
      <protection hidden="1"/>
    </xf>
    <xf numFmtId="171" fontId="0" fillId="0" borderId="0" xfId="4" applyNumberFormat="1" applyFont="1" applyProtection="1">
      <protection hidden="1"/>
    </xf>
    <xf numFmtId="0" fontId="5" fillId="9" borderId="0" xfId="0" applyFont="1" applyFill="1" applyBorder="1" applyProtection="1">
      <protection hidden="1"/>
    </xf>
    <xf numFmtId="0" fontId="3" fillId="0" borderId="0" xfId="0" applyFont="1" applyBorder="1" applyAlignment="1" applyProtection="1">
      <alignment vertical="justify"/>
      <protection hidden="1"/>
    </xf>
    <xf numFmtId="171" fontId="0" fillId="0" borderId="0" xfId="0" applyNumberFormat="1" applyProtection="1">
      <protection hidden="1"/>
    </xf>
    <xf numFmtId="0" fontId="3" fillId="9" borderId="0" xfId="0" applyFont="1" applyFill="1" applyBorder="1" applyAlignment="1" applyProtection="1">
      <alignment vertical="justify"/>
      <protection hidden="1"/>
    </xf>
    <xf numFmtId="0" fontId="3" fillId="0" borderId="0" xfId="0" applyFont="1" applyBorder="1" applyProtection="1">
      <protection hidden="1"/>
    </xf>
    <xf numFmtId="0" fontId="5" fillId="0" borderId="0" xfId="0" applyFont="1" applyFill="1" applyBorder="1" applyAlignment="1" applyProtection="1">
      <alignment horizontal="left"/>
      <protection hidden="1"/>
    </xf>
    <xf numFmtId="0" fontId="0" fillId="0" borderId="0" xfId="0" applyFill="1" applyBorder="1" applyAlignment="1" applyProtection="1">
      <alignment horizontal="center"/>
      <protection hidden="1"/>
    </xf>
    <xf numFmtId="171" fontId="8" fillId="0" borderId="97" xfId="4" applyNumberFormat="1" applyFont="1" applyFill="1" applyBorder="1" applyProtection="1">
      <protection hidden="1"/>
    </xf>
    <xf numFmtId="0" fontId="5" fillId="0" borderId="2" xfId="0" applyFont="1" applyBorder="1" applyAlignment="1" applyProtection="1">
      <alignment horizontal="left"/>
      <protection hidden="1"/>
    </xf>
    <xf numFmtId="0" fontId="0" fillId="0" borderId="3" xfId="0" applyBorder="1" applyAlignment="1" applyProtection="1">
      <alignment horizontal="center"/>
      <protection hidden="1"/>
    </xf>
    <xf numFmtId="0" fontId="5" fillId="0" borderId="0" xfId="0" applyFont="1" applyAlignment="1" applyProtection="1">
      <alignment horizontal="center"/>
      <protection hidden="1"/>
    </xf>
    <xf numFmtId="167" fontId="59" fillId="0" borderId="0" xfId="6" applyNumberFormat="1" applyFont="1" applyProtection="1">
      <protection hidden="1"/>
    </xf>
    <xf numFmtId="0" fontId="8" fillId="0" borderId="0" xfId="0" applyFont="1" applyBorder="1" applyAlignment="1" applyProtection="1">
      <alignment vertical="justify"/>
      <protection hidden="1"/>
    </xf>
    <xf numFmtId="0" fontId="8" fillId="9" borderId="0" xfId="0" applyFont="1" applyFill="1" applyBorder="1" applyAlignment="1" applyProtection="1">
      <alignment vertical="justify"/>
      <protection hidden="1"/>
    </xf>
    <xf numFmtId="0" fontId="0" fillId="0" borderId="2" xfId="0" applyBorder="1" applyProtection="1">
      <protection hidden="1"/>
    </xf>
    <xf numFmtId="0" fontId="0" fillId="0" borderId="3" xfId="0" applyBorder="1" applyProtection="1">
      <protection hidden="1"/>
    </xf>
    <xf numFmtId="0" fontId="0" fillId="0" borderId="8" xfId="0" applyBorder="1" applyProtection="1">
      <protection hidden="1"/>
    </xf>
    <xf numFmtId="0" fontId="5" fillId="0" borderId="4" xfId="0" applyFont="1" applyBorder="1" applyAlignment="1" applyProtection="1">
      <alignment horizontal="right"/>
      <protection hidden="1"/>
    </xf>
    <xf numFmtId="0" fontId="0" fillId="0" borderId="5" xfId="0" applyBorder="1" applyProtection="1">
      <protection hidden="1"/>
    </xf>
    <xf numFmtId="167" fontId="59" fillId="0" borderId="9" xfId="6" applyNumberFormat="1" applyFont="1" applyBorder="1" applyProtection="1">
      <protection hidden="1"/>
    </xf>
    <xf numFmtId="0" fontId="3" fillId="9" borderId="0" xfId="0" applyFont="1" applyFill="1" applyBorder="1" applyProtection="1">
      <protection hidden="1"/>
    </xf>
    <xf numFmtId="0" fontId="4" fillId="0" borderId="0" xfId="0" applyFont="1" applyBorder="1" applyProtection="1">
      <protection hidden="1"/>
    </xf>
    <xf numFmtId="0" fontId="5" fillId="0" borderId="6" xfId="0" applyFont="1" applyBorder="1" applyAlignment="1" applyProtection="1">
      <alignment horizontal="right"/>
      <protection hidden="1"/>
    </xf>
    <xf numFmtId="0" fontId="0" fillId="0" borderId="7" xfId="0" applyBorder="1" applyProtection="1">
      <protection hidden="1"/>
    </xf>
    <xf numFmtId="167" fontId="59" fillId="0" borderId="10" xfId="6" applyNumberFormat="1" applyFont="1" applyBorder="1" applyProtection="1">
      <protection hidden="1"/>
    </xf>
    <xf numFmtId="167" fontId="8" fillId="9" borderId="97" xfId="5" applyNumberFormat="1" applyFont="1" applyFill="1" applyBorder="1" applyProtection="1">
      <protection hidden="1"/>
    </xf>
    <xf numFmtId="171" fontId="8" fillId="0" borderId="97" xfId="0" applyNumberFormat="1" applyFont="1" applyBorder="1" applyProtection="1">
      <protection hidden="1"/>
    </xf>
    <xf numFmtId="0" fontId="8" fillId="0" borderId="0" xfId="0" applyFont="1" applyBorder="1" applyProtection="1">
      <protection hidden="1"/>
    </xf>
    <xf numFmtId="0" fontId="8" fillId="9" borderId="0" xfId="0" applyFont="1" applyFill="1" applyBorder="1" applyProtection="1">
      <protection hidden="1"/>
    </xf>
    <xf numFmtId="0" fontId="25" fillId="0" borderId="0" xfId="0" applyFont="1" applyBorder="1" applyAlignment="1" applyProtection="1">
      <alignment horizontal="center"/>
      <protection hidden="1"/>
    </xf>
    <xf numFmtId="0" fontId="14" fillId="9" borderId="0" xfId="0" applyFont="1" applyFill="1" applyBorder="1" applyProtection="1">
      <protection hidden="1"/>
    </xf>
    <xf numFmtId="0" fontId="25" fillId="9" borderId="0" xfId="0" applyFont="1" applyFill="1" applyBorder="1" applyAlignment="1" applyProtection="1">
      <alignment horizontal="center"/>
      <protection hidden="1"/>
    </xf>
    <xf numFmtId="0" fontId="0" fillId="9" borderId="98" xfId="0" applyFill="1" applyBorder="1" applyAlignment="1" applyProtection="1">
      <alignment horizontal="center"/>
      <protection hidden="1"/>
    </xf>
    <xf numFmtId="171" fontId="8" fillId="9" borderId="98" xfId="4" applyNumberFormat="1" applyFont="1" applyFill="1" applyBorder="1" applyProtection="1">
      <protection hidden="1"/>
    </xf>
    <xf numFmtId="0" fontId="0" fillId="0" borderId="98" xfId="0" applyBorder="1" applyProtection="1">
      <protection hidden="1"/>
    </xf>
    <xf numFmtId="0" fontId="0" fillId="9" borderId="98" xfId="0" applyFill="1" applyBorder="1" applyProtection="1">
      <protection hidden="1"/>
    </xf>
    <xf numFmtId="0" fontId="8" fillId="9" borderId="99" xfId="0" applyFont="1" applyFill="1" applyBorder="1" applyProtection="1">
      <protection hidden="1"/>
    </xf>
    <xf numFmtId="0" fontId="62" fillId="0" borderId="30" xfId="0" applyFont="1" applyFill="1" applyBorder="1" applyAlignment="1" applyProtection="1">
      <alignment horizontal="center"/>
      <protection hidden="1"/>
    </xf>
    <xf numFmtId="0" fontId="62" fillId="0" borderId="28" xfId="0" applyFont="1" applyFill="1" applyBorder="1" applyAlignment="1" applyProtection="1">
      <alignment horizontal="center"/>
      <protection hidden="1"/>
    </xf>
    <xf numFmtId="0" fontId="4" fillId="0" borderId="28" xfId="0" applyFont="1" applyBorder="1" applyAlignment="1" applyProtection="1">
      <alignment horizontal="center"/>
      <protection hidden="1"/>
    </xf>
    <xf numFmtId="0" fontId="4" fillId="0" borderId="23" xfId="0" applyFont="1" applyBorder="1" applyAlignment="1" applyProtection="1">
      <alignment horizontal="center"/>
      <protection hidden="1"/>
    </xf>
    <xf numFmtId="0" fontId="0" fillId="0" borderId="1" xfId="0" applyFont="1" applyFill="1" applyBorder="1" applyAlignment="1" applyProtection="1">
      <alignment horizontal="left"/>
      <protection hidden="1"/>
    </xf>
    <xf numFmtId="2" fontId="0" fillId="0" borderId="1" xfId="0" applyNumberFormat="1" applyBorder="1" applyAlignment="1" applyProtection="1">
      <alignment horizontal="center"/>
      <protection hidden="1"/>
    </xf>
    <xf numFmtId="167" fontId="0" fillId="0" borderId="3" xfId="5" applyNumberFormat="1" applyFont="1" applyBorder="1" applyProtection="1">
      <protection hidden="1"/>
    </xf>
    <xf numFmtId="0" fontId="0" fillId="0" borderId="1" xfId="0" applyFill="1" applyBorder="1" applyAlignment="1" applyProtection="1">
      <alignment horizontal="left"/>
      <protection hidden="1"/>
    </xf>
    <xf numFmtId="0" fontId="0" fillId="0" borderId="0" xfId="0" applyFill="1" applyBorder="1" applyAlignment="1" applyProtection="1">
      <alignment horizontal="left"/>
      <protection hidden="1"/>
    </xf>
    <xf numFmtId="0" fontId="0" fillId="0" borderId="0" xfId="0" applyBorder="1" applyProtection="1">
      <protection hidden="1"/>
    </xf>
    <xf numFmtId="3" fontId="0" fillId="0" borderId="85" xfId="0" applyNumberFormat="1" applyBorder="1" applyAlignment="1" applyProtection="1">
      <alignment vertical="center" wrapText="1"/>
      <protection hidden="1"/>
    </xf>
    <xf numFmtId="169" fontId="59" fillId="0" borderId="0" xfId="5" applyNumberFormat="1" applyFont="1" applyProtection="1">
      <protection hidden="1"/>
    </xf>
    <xf numFmtId="0" fontId="0" fillId="0" borderId="85" xfId="0" applyBorder="1" applyAlignment="1" applyProtection="1">
      <alignment vertical="center" wrapText="1"/>
      <protection hidden="1"/>
    </xf>
    <xf numFmtId="165" fontId="59" fillId="0" borderId="0" xfId="5" applyNumberFormat="1" applyFont="1" applyProtection="1">
      <protection hidden="1"/>
    </xf>
    <xf numFmtId="2" fontId="0" fillId="0" borderId="0" xfId="0" applyNumberFormat="1" applyProtection="1">
      <protection hidden="1"/>
    </xf>
    <xf numFmtId="167" fontId="0" fillId="0" borderId="0" xfId="5" applyNumberFormat="1" applyFont="1" applyProtection="1">
      <protection hidden="1"/>
    </xf>
    <xf numFmtId="167" fontId="0" fillId="0" borderId="0" xfId="0" applyNumberFormat="1" applyProtection="1">
      <protection hidden="1"/>
    </xf>
    <xf numFmtId="0" fontId="6" fillId="0" borderId="0" xfId="0" applyFont="1" applyProtection="1">
      <protection hidden="1"/>
    </xf>
    <xf numFmtId="0" fontId="8" fillId="0" borderId="0" xfId="0" applyFont="1" applyProtection="1">
      <protection hidden="1"/>
    </xf>
    <xf numFmtId="171" fontId="6" fillId="0" borderId="0" xfId="4" applyNumberFormat="1" applyFont="1" applyProtection="1">
      <protection hidden="1"/>
    </xf>
    <xf numFmtId="0" fontId="4" fillId="0" borderId="0" xfId="0" applyFont="1" applyProtection="1">
      <protection hidden="1"/>
    </xf>
    <xf numFmtId="0" fontId="41" fillId="6" borderId="0" xfId="0" applyFont="1" applyFill="1" applyBorder="1" applyAlignment="1" applyProtection="1">
      <alignment horizontal="left" vertical="justify"/>
      <protection hidden="1"/>
    </xf>
    <xf numFmtId="4" fontId="0" fillId="0" borderId="85" xfId="0" applyNumberFormat="1" applyBorder="1" applyAlignment="1" applyProtection="1">
      <alignment vertical="center" wrapText="1"/>
      <protection hidden="1"/>
    </xf>
    <xf numFmtId="171" fontId="16" fillId="5" borderId="5" xfId="4" applyNumberFormat="1" applyFont="1" applyFill="1" applyBorder="1" applyProtection="1">
      <protection locked="0"/>
    </xf>
    <xf numFmtId="171" fontId="5" fillId="0" borderId="1" xfId="4" applyNumberFormat="1" applyFont="1" applyBorder="1" applyProtection="1">
      <protection hidden="1"/>
    </xf>
    <xf numFmtId="9" fontId="5" fillId="0" borderId="1" xfId="0" applyNumberFormat="1" applyFont="1" applyBorder="1" applyProtection="1">
      <protection hidden="1"/>
    </xf>
    <xf numFmtId="0" fontId="5" fillId="0" borderId="2" xfId="0" applyFont="1" applyBorder="1" applyProtection="1">
      <protection hidden="1"/>
    </xf>
    <xf numFmtId="0" fontId="5" fillId="0" borderId="29" xfId="0" applyFont="1" applyBorder="1" applyProtection="1">
      <protection hidden="1"/>
    </xf>
    <xf numFmtId="0" fontId="5" fillId="0" borderId="3" xfId="0" applyFont="1" applyBorder="1" applyProtection="1">
      <protection hidden="1"/>
    </xf>
    <xf numFmtId="171" fontId="5" fillId="0" borderId="4" xfId="4" applyNumberFormat="1" applyFont="1" applyBorder="1" applyProtection="1">
      <protection hidden="1"/>
    </xf>
    <xf numFmtId="0" fontId="5" fillId="0" borderId="5" xfId="0" applyFont="1" applyBorder="1" applyProtection="1">
      <protection hidden="1"/>
    </xf>
    <xf numFmtId="0" fontId="5" fillId="0" borderId="4" xfId="0" applyFont="1" applyBorder="1" applyProtection="1">
      <protection hidden="1"/>
    </xf>
    <xf numFmtId="171" fontId="5" fillId="0" borderId="5" xfId="0" applyNumberFormat="1" applyFont="1" applyBorder="1" applyProtection="1">
      <protection hidden="1"/>
    </xf>
    <xf numFmtId="0" fontId="5" fillId="0" borderId="6" xfId="0" applyFont="1" applyBorder="1" applyProtection="1">
      <protection hidden="1"/>
    </xf>
    <xf numFmtId="0" fontId="5" fillId="0" borderId="27" xfId="0" applyFont="1" applyBorder="1" applyProtection="1">
      <protection hidden="1"/>
    </xf>
    <xf numFmtId="9" fontId="5" fillId="0" borderId="27" xfId="0" applyNumberFormat="1" applyFont="1" applyBorder="1" applyProtection="1">
      <protection hidden="1"/>
    </xf>
    <xf numFmtId="0" fontId="5" fillId="0" borderId="7" xfId="0" applyFont="1" applyBorder="1" applyProtection="1">
      <protection hidden="1"/>
    </xf>
    <xf numFmtId="2" fontId="5" fillId="0" borderId="1" xfId="0" applyNumberFormat="1" applyFont="1" applyBorder="1" applyProtection="1">
      <protection hidden="1"/>
    </xf>
    <xf numFmtId="167" fontId="3" fillId="6" borderId="1" xfId="5" applyNumberFormat="1" applyFont="1" applyFill="1" applyBorder="1" applyAlignment="1" applyProtection="1">
      <alignment horizontal="left" vertical="center"/>
      <protection hidden="1"/>
    </xf>
    <xf numFmtId="0" fontId="3" fillId="0" borderId="0" xfId="0" applyFont="1" applyProtection="1">
      <protection hidden="1"/>
    </xf>
    <xf numFmtId="0" fontId="0" fillId="6" borderId="100" xfId="0" applyFill="1" applyBorder="1" applyProtection="1">
      <protection locked="0"/>
    </xf>
    <xf numFmtId="171" fontId="29" fillId="5" borderId="5" xfId="4" applyNumberFormat="1" applyFont="1" applyFill="1" applyBorder="1" applyProtection="1">
      <protection locked="0"/>
    </xf>
    <xf numFmtId="170" fontId="66" fillId="5" borderId="24" xfId="4" applyNumberFormat="1" applyFont="1" applyFill="1" applyBorder="1" applyProtection="1">
      <protection locked="0"/>
    </xf>
    <xf numFmtId="9" fontId="64" fillId="6" borderId="0" xfId="0" applyNumberFormat="1" applyFont="1" applyFill="1" applyBorder="1" applyAlignment="1">
      <alignment horizontal="left" vertical="center"/>
    </xf>
    <xf numFmtId="0" fontId="5" fillId="0" borderId="0" xfId="0" applyFont="1" applyFill="1" applyBorder="1" applyAlignment="1">
      <alignment horizontal="left"/>
    </xf>
    <xf numFmtId="171" fontId="3" fillId="0" borderId="0" xfId="4" applyNumberFormat="1" applyFont="1" applyProtection="1">
      <protection hidden="1"/>
    </xf>
    <xf numFmtId="171" fontId="3" fillId="0" borderId="0" xfId="0" applyNumberFormat="1" applyFont="1" applyProtection="1">
      <protection hidden="1"/>
    </xf>
    <xf numFmtId="0" fontId="67" fillId="5" borderId="29" xfId="0" applyFont="1" applyFill="1" applyBorder="1" applyAlignment="1" applyProtection="1">
      <alignment horizontal="center" vertical="center"/>
      <protection locked="0"/>
    </xf>
    <xf numFmtId="167" fontId="8" fillId="5" borderId="5" xfId="5" applyNumberFormat="1" applyFont="1" applyFill="1" applyBorder="1" applyAlignment="1" applyProtection="1">
      <alignment horizontal="center"/>
      <protection locked="0"/>
    </xf>
    <xf numFmtId="167" fontId="8" fillId="5" borderId="5" xfId="5" applyNumberFormat="1" applyFont="1" applyFill="1" applyBorder="1" applyAlignment="1" applyProtection="1">
      <alignment horizontal="center" vertical="center"/>
      <protection locked="0"/>
    </xf>
    <xf numFmtId="167" fontId="5" fillId="5" borderId="1" xfId="5" applyNumberFormat="1" applyFont="1" applyFill="1" applyBorder="1" applyAlignment="1" applyProtection="1">
      <alignment horizontal="left"/>
      <protection locked="0"/>
    </xf>
    <xf numFmtId="167" fontId="5" fillId="5" borderId="4" xfId="5" applyNumberFormat="1" applyFont="1" applyFill="1" applyBorder="1" applyAlignment="1" applyProtection="1">
      <alignment horizontal="right"/>
      <protection locked="0"/>
    </xf>
    <xf numFmtId="0" fontId="9" fillId="6" borderId="29" xfId="0" applyFont="1" applyFill="1" applyBorder="1" applyAlignment="1" applyProtection="1">
      <alignment horizontal="center" vertical="center"/>
      <protection hidden="1"/>
    </xf>
    <xf numFmtId="0" fontId="9" fillId="0" borderId="42" xfId="0" applyFont="1" applyFill="1" applyBorder="1" applyAlignment="1">
      <alignment horizontal="left" vertical="center"/>
    </xf>
    <xf numFmtId="0" fontId="9" fillId="0" borderId="26" xfId="0" applyFont="1" applyFill="1" applyBorder="1" applyAlignment="1">
      <alignment horizontal="left" vertical="center"/>
    </xf>
    <xf numFmtId="0" fontId="15" fillId="6" borderId="0" xfId="0" applyFont="1" applyFill="1" applyBorder="1" applyAlignment="1" applyProtection="1">
      <alignment vertical="center"/>
      <protection hidden="1"/>
    </xf>
    <xf numFmtId="9" fontId="21" fillId="0" borderId="0" xfId="11" applyNumberFormat="1" applyFont="1" applyFill="1" applyBorder="1" applyAlignment="1" applyProtection="1">
      <alignment horizontal="center" vertical="center"/>
      <protection hidden="1"/>
    </xf>
    <xf numFmtId="167" fontId="22" fillId="0" borderId="0" xfId="5" applyNumberFormat="1" applyFont="1" applyFill="1" applyBorder="1" applyAlignment="1" applyProtection="1">
      <alignment horizontal="center" vertical="center"/>
      <protection hidden="1"/>
    </xf>
    <xf numFmtId="10" fontId="21" fillId="0" borderId="27" xfId="11" applyNumberFormat="1" applyFont="1" applyFill="1" applyBorder="1" applyAlignment="1" applyProtection="1">
      <alignment horizontal="center" vertical="center"/>
      <protection hidden="1"/>
    </xf>
    <xf numFmtId="10" fontId="21" fillId="0" borderId="1" xfId="11" applyNumberFormat="1" applyFont="1" applyFill="1" applyBorder="1" applyAlignment="1" applyProtection="1">
      <alignment horizontal="center" vertical="center"/>
      <protection hidden="1"/>
    </xf>
    <xf numFmtId="0" fontId="3" fillId="0" borderId="0" xfId="0" applyFont="1" applyFill="1" applyBorder="1" applyAlignment="1">
      <alignment horizontal="left"/>
    </xf>
    <xf numFmtId="167" fontId="8" fillId="0" borderId="15" xfId="5" applyNumberFormat="1" applyFont="1" applyFill="1" applyBorder="1"/>
    <xf numFmtId="167" fontId="18" fillId="0" borderId="86" xfId="5" applyNumberFormat="1" applyFont="1" applyFill="1" applyBorder="1"/>
    <xf numFmtId="10" fontId="0" fillId="0" borderId="0" xfId="0" applyNumberFormat="1"/>
    <xf numFmtId="0" fontId="4" fillId="0" borderId="0" xfId="0" applyFont="1"/>
    <xf numFmtId="0" fontId="5" fillId="0" borderId="0" xfId="0" quotePrefix="1" applyFont="1"/>
    <xf numFmtId="171" fontId="8" fillId="0" borderId="89" xfId="4" applyNumberFormat="1" applyFont="1" applyFill="1" applyBorder="1"/>
    <xf numFmtId="167" fontId="18" fillId="0" borderId="0" xfId="5" applyNumberFormat="1" applyFont="1" applyFill="1" applyBorder="1"/>
    <xf numFmtId="0" fontId="14" fillId="0" borderId="31" xfId="0" applyFont="1" applyBorder="1" applyAlignment="1">
      <alignment horizontal="left"/>
    </xf>
    <xf numFmtId="0" fontId="14" fillId="0" borderId="48" xfId="0" applyFont="1" applyBorder="1" applyAlignment="1">
      <alignment horizontal="left"/>
    </xf>
    <xf numFmtId="0" fontId="5" fillId="0" borderId="39" xfId="0" applyFont="1" applyBorder="1" applyAlignment="1">
      <alignment horizontal="center"/>
    </xf>
    <xf numFmtId="167" fontId="0" fillId="0" borderId="43" xfId="5" applyNumberFormat="1" applyFont="1" applyBorder="1"/>
    <xf numFmtId="0" fontId="0" fillId="0" borderId="0" xfId="0" applyFill="1"/>
    <xf numFmtId="0" fontId="14" fillId="0" borderId="31" xfId="0" applyFont="1" applyFill="1" applyBorder="1" applyAlignment="1">
      <alignment horizontal="left"/>
    </xf>
    <xf numFmtId="0" fontId="14" fillId="0" borderId="48" xfId="0" applyFont="1" applyFill="1" applyBorder="1" applyAlignment="1">
      <alignment horizontal="left"/>
    </xf>
    <xf numFmtId="0" fontId="5" fillId="0" borderId="39" xfId="0" applyFont="1" applyFill="1" applyBorder="1" applyAlignment="1">
      <alignment horizontal="center"/>
    </xf>
    <xf numFmtId="167" fontId="0" fillId="0" borderId="43" xfId="5" applyNumberFormat="1" applyFont="1" applyFill="1" applyBorder="1"/>
    <xf numFmtId="167" fontId="0" fillId="0" borderId="0" xfId="5" applyNumberFormat="1" applyFont="1" applyFill="1"/>
    <xf numFmtId="167" fontId="8" fillId="0" borderId="0" xfId="5" applyNumberFormat="1" applyFont="1"/>
    <xf numFmtId="167" fontId="8" fillId="0" borderId="0" xfId="0" applyNumberFormat="1" applyFont="1"/>
    <xf numFmtId="167" fontId="8" fillId="0" borderId="0" xfId="0" applyNumberFormat="1" applyFont="1" applyFill="1"/>
    <xf numFmtId="0" fontId="5" fillId="0" borderId="87" xfId="0" applyFont="1" applyFill="1" applyBorder="1"/>
    <xf numFmtId="0" fontId="0" fillId="0" borderId="101" xfId="0" applyFill="1" applyBorder="1" applyAlignment="1">
      <alignment horizontal="center"/>
    </xf>
    <xf numFmtId="171" fontId="8" fillId="0" borderId="15" xfId="4" applyNumberFormat="1" applyFont="1" applyFill="1" applyBorder="1" applyAlignment="1">
      <alignment horizontal="center"/>
    </xf>
    <xf numFmtId="167" fontId="18" fillId="6" borderId="49" xfId="5" applyNumberFormat="1" applyFont="1" applyFill="1" applyBorder="1" applyProtection="1">
      <protection hidden="1"/>
    </xf>
    <xf numFmtId="171" fontId="38" fillId="5" borderId="45" xfId="4" applyNumberFormat="1" applyFont="1" applyFill="1" applyBorder="1" applyProtection="1">
      <protection locked="0"/>
    </xf>
    <xf numFmtId="167" fontId="0" fillId="0" borderId="3" xfId="0" applyNumberFormat="1" applyBorder="1" applyProtection="1">
      <protection hidden="1"/>
    </xf>
    <xf numFmtId="0" fontId="10" fillId="0" borderId="102" xfId="0" applyFont="1" applyFill="1" applyBorder="1"/>
    <xf numFmtId="0" fontId="5" fillId="0" borderId="102" xfId="0" applyFont="1" applyFill="1" applyBorder="1"/>
    <xf numFmtId="0" fontId="5" fillId="0" borderId="0" xfId="0" applyFont="1" applyAlignment="1" applyProtection="1">
      <alignment wrapText="1"/>
      <protection locked="0"/>
    </xf>
    <xf numFmtId="0" fontId="8" fillId="0" borderId="0" xfId="0" applyFont="1"/>
    <xf numFmtId="167" fontId="0" fillId="0" borderId="0" xfId="6" applyNumberFormat="1" applyFont="1" applyProtection="1">
      <protection hidden="1"/>
    </xf>
    <xf numFmtId="0" fontId="47" fillId="5" borderId="1" xfId="0" applyFont="1" applyFill="1" applyBorder="1" applyAlignment="1" applyProtection="1">
      <alignment horizontal="center" vertical="center"/>
      <protection locked="0"/>
    </xf>
    <xf numFmtId="49" fontId="0" fillId="0" borderId="0" xfId="0" applyNumberFormat="1" applyAlignment="1" applyProtection="1">
      <alignment horizontal="center"/>
      <protection locked="0"/>
    </xf>
    <xf numFmtId="172" fontId="0" fillId="0" borderId="0" xfId="0" applyNumberFormat="1" applyProtection="1">
      <protection locked="0"/>
    </xf>
    <xf numFmtId="0" fontId="7" fillId="0" borderId="0" xfId="0" applyFont="1" applyAlignment="1" applyProtection="1">
      <alignment horizontal="center"/>
      <protection locked="0"/>
    </xf>
    <xf numFmtId="9" fontId="0" fillId="0" borderId="0" xfId="11" applyFont="1" applyProtection="1">
      <protection locked="0"/>
    </xf>
    <xf numFmtId="10" fontId="0" fillId="0" borderId="0" xfId="11" applyNumberFormat="1" applyFont="1" applyProtection="1">
      <protection locked="0"/>
    </xf>
    <xf numFmtId="10" fontId="0" fillId="0" borderId="0" xfId="11" applyNumberFormat="1" applyFont="1" applyProtection="1">
      <protection hidden="1"/>
    </xf>
    <xf numFmtId="167" fontId="5" fillId="0" borderId="0" xfId="0" applyNumberFormat="1" applyFont="1" applyFill="1" applyBorder="1" applyAlignment="1" applyProtection="1">
      <alignment horizontal="left"/>
      <protection hidden="1"/>
    </xf>
    <xf numFmtId="167" fontId="5" fillId="0" borderId="0" xfId="6" applyNumberFormat="1" applyFont="1" applyProtection="1">
      <protection hidden="1"/>
    </xf>
    <xf numFmtId="0" fontId="20" fillId="6" borderId="27" xfId="0" applyFont="1" applyFill="1" applyBorder="1" applyAlignment="1" applyProtection="1">
      <alignment horizontal="left" vertical="justify"/>
      <protection hidden="1"/>
    </xf>
    <xf numFmtId="1" fontId="0" fillId="0" borderId="0" xfId="0" applyNumberFormat="1" applyProtection="1">
      <protection locked="0"/>
    </xf>
    <xf numFmtId="171" fontId="5" fillId="5" borderId="27" xfId="4" applyNumberFormat="1" applyFont="1" applyFill="1" applyBorder="1" applyAlignment="1" applyProtection="1">
      <alignment horizontal="left" vertical="center"/>
      <protection locked="0"/>
    </xf>
    <xf numFmtId="172" fontId="14" fillId="5" borderId="1" xfId="0" applyNumberFormat="1" applyFont="1" applyFill="1" applyBorder="1" applyAlignment="1" applyProtection="1">
      <alignment horizontal="left" vertical="center"/>
      <protection locked="0"/>
    </xf>
    <xf numFmtId="167" fontId="8" fillId="0" borderId="0" xfId="0" applyNumberFormat="1" applyFont="1" applyProtection="1">
      <protection hidden="1"/>
    </xf>
    <xf numFmtId="0" fontId="0" fillId="0" borderId="32" xfId="0" applyBorder="1" applyProtection="1">
      <protection locked="0"/>
    </xf>
    <xf numFmtId="0" fontId="0" fillId="0" borderId="37" xfId="0" applyBorder="1" applyProtection="1">
      <protection locked="0"/>
    </xf>
    <xf numFmtId="0" fontId="0" fillId="0" borderId="50" xfId="0" applyBorder="1" applyProtection="1">
      <protection locked="0"/>
    </xf>
    <xf numFmtId="167" fontId="50" fillId="6" borderId="7" xfId="5" applyNumberFormat="1" applyFont="1" applyFill="1" applyBorder="1" applyProtection="1">
      <protection hidden="1"/>
    </xf>
    <xf numFmtId="0" fontId="4" fillId="6" borderId="1" xfId="0" applyFont="1" applyFill="1" applyBorder="1" applyAlignment="1" applyProtection="1">
      <alignment horizontal="center" vertical="center"/>
      <protection hidden="1"/>
    </xf>
    <xf numFmtId="0" fontId="0" fillId="0" borderId="92" xfId="0" applyBorder="1" applyAlignment="1" applyProtection="1">
      <alignment vertical="center"/>
      <protection locked="0"/>
    </xf>
    <xf numFmtId="0" fontId="0" fillId="0" borderId="0" xfId="0" applyAlignment="1" applyProtection="1">
      <alignment vertical="center"/>
      <protection locked="0"/>
    </xf>
    <xf numFmtId="167" fontId="5" fillId="6" borderId="7" xfId="5" applyNumberFormat="1" applyFont="1" applyFill="1" applyBorder="1" applyProtection="1">
      <protection hidden="1"/>
    </xf>
    <xf numFmtId="0" fontId="3" fillId="0" borderId="0" xfId="0" applyFont="1" applyFill="1" applyBorder="1" applyAlignment="1" applyProtection="1">
      <alignment horizontal="center"/>
      <protection hidden="1"/>
    </xf>
    <xf numFmtId="167" fontId="3" fillId="5" borderId="1" xfId="5" applyNumberFormat="1" applyFont="1" applyFill="1" applyBorder="1" applyProtection="1">
      <protection locked="0"/>
    </xf>
    <xf numFmtId="167" fontId="8" fillId="0" borderId="3" xfId="5" applyNumberFormat="1" applyFont="1" applyBorder="1"/>
    <xf numFmtId="167" fontId="8" fillId="0" borderId="5" xfId="5" applyNumberFormat="1" applyFont="1" applyBorder="1"/>
    <xf numFmtId="167" fontId="8" fillId="0" borderId="7" xfId="5" applyNumberFormat="1" applyFont="1" applyBorder="1"/>
    <xf numFmtId="167" fontId="5" fillId="0" borderId="0" xfId="5" applyNumberFormat="1" applyFont="1" applyProtection="1">
      <protection hidden="1"/>
    </xf>
    <xf numFmtId="167" fontId="8" fillId="0" borderId="0" xfId="5" applyNumberFormat="1" applyFont="1" applyProtection="1">
      <protection hidden="1"/>
    </xf>
    <xf numFmtId="167" fontId="8" fillId="0" borderId="0" xfId="6" applyNumberFormat="1" applyFont="1" applyProtection="1">
      <protection hidden="1"/>
    </xf>
    <xf numFmtId="0" fontId="5" fillId="0" borderId="4" xfId="0" applyFont="1" applyBorder="1" applyAlignment="1" applyProtection="1">
      <alignment horizontal="left"/>
      <protection hidden="1"/>
    </xf>
    <xf numFmtId="168" fontId="0" fillId="3" borderId="12" xfId="4" applyNumberFormat="1" applyFont="1" applyFill="1" applyBorder="1" applyAlignment="1" applyProtection="1">
      <alignment horizontal="left" indent="1"/>
      <protection locked="0"/>
    </xf>
    <xf numFmtId="166" fontId="0" fillId="0" borderId="12" xfId="4" applyNumberFormat="1" applyFont="1" applyFill="1" applyBorder="1" applyProtection="1">
      <protection locked="0"/>
    </xf>
    <xf numFmtId="0" fontId="9" fillId="0" borderId="12" xfId="0" applyFont="1" applyBorder="1" applyProtection="1">
      <protection locked="0"/>
    </xf>
    <xf numFmtId="0" fontId="0" fillId="0" borderId="12" xfId="0" applyBorder="1" applyAlignment="1" applyProtection="1">
      <alignment horizontal="center"/>
      <protection locked="0"/>
    </xf>
    <xf numFmtId="0" fontId="0" fillId="0" borderId="12" xfId="0" applyBorder="1" applyProtection="1">
      <protection locked="0"/>
    </xf>
    <xf numFmtId="3" fontId="0" fillId="0" borderId="0" xfId="0" applyNumberFormat="1" applyBorder="1" applyProtection="1">
      <protection locked="0"/>
    </xf>
    <xf numFmtId="1" fontId="0" fillId="0" borderId="0" xfId="4" applyNumberFormat="1" applyFont="1" applyBorder="1" applyProtection="1">
      <protection locked="0"/>
    </xf>
    <xf numFmtId="1" fontId="0" fillId="2" borderId="0" xfId="4" applyNumberFormat="1" applyFont="1" applyFill="1" applyBorder="1" applyProtection="1">
      <protection locked="0"/>
    </xf>
    <xf numFmtId="1" fontId="5" fillId="2" borderId="0" xfId="4" applyNumberFormat="1" applyFont="1" applyFill="1" applyBorder="1" applyProtection="1">
      <protection locked="0"/>
    </xf>
    <xf numFmtId="1" fontId="5" fillId="10" borderId="0" xfId="4" applyNumberFormat="1" applyFont="1" applyFill="1" applyBorder="1" applyProtection="1">
      <protection locked="0"/>
    </xf>
    <xf numFmtId="0" fontId="5" fillId="6" borderId="0" xfId="0" applyFont="1" applyFill="1" applyBorder="1" applyAlignment="1" applyProtection="1">
      <alignment horizontal="left"/>
      <protection locked="0"/>
    </xf>
    <xf numFmtId="167" fontId="18" fillId="6" borderId="0" xfId="5" applyNumberFormat="1" applyFont="1" applyFill="1" applyBorder="1" applyProtection="1">
      <protection locked="0"/>
    </xf>
    <xf numFmtId="0" fontId="17" fillId="5" borderId="1" xfId="0" applyFont="1" applyFill="1" applyBorder="1" applyAlignment="1" applyProtection="1">
      <alignment horizontal="center" vertical="center"/>
      <protection locked="0"/>
    </xf>
    <xf numFmtId="0" fontId="0" fillId="5" borderId="27" xfId="0" applyFill="1" applyBorder="1" applyProtection="1">
      <protection locked="0"/>
    </xf>
    <xf numFmtId="167" fontId="66" fillId="5" borderId="1" xfId="5" applyNumberFormat="1" applyFont="1" applyFill="1" applyBorder="1" applyAlignment="1" applyProtection="1">
      <alignment horizontal="left"/>
      <protection locked="0"/>
    </xf>
    <xf numFmtId="0" fontId="0" fillId="6" borderId="0" xfId="0" applyFill="1" applyProtection="1">
      <protection hidden="1"/>
    </xf>
    <xf numFmtId="0" fontId="9" fillId="6" borderId="6" xfId="0" applyFont="1" applyFill="1" applyBorder="1" applyAlignment="1" applyProtection="1">
      <alignment vertical="justify"/>
      <protection hidden="1"/>
    </xf>
    <xf numFmtId="167" fontId="8" fillId="6" borderId="5" xfId="5" applyNumberFormat="1" applyFont="1" applyFill="1" applyBorder="1" applyProtection="1">
      <protection hidden="1"/>
    </xf>
    <xf numFmtId="0" fontId="20" fillId="6" borderId="14" xfId="0" applyFont="1" applyFill="1" applyBorder="1" applyAlignment="1" applyProtection="1">
      <alignment vertical="justify"/>
      <protection hidden="1"/>
    </xf>
    <xf numFmtId="167" fontId="24" fillId="5" borderId="1" xfId="5" applyNumberFormat="1" applyFont="1" applyFill="1" applyBorder="1" applyAlignment="1" applyProtection="1">
      <alignment horizontal="center" vertical="center"/>
      <protection locked="0"/>
    </xf>
    <xf numFmtId="0" fontId="9" fillId="0" borderId="1" xfId="0" applyFont="1" applyFill="1" applyBorder="1" applyAlignment="1" applyProtection="1">
      <alignment horizontal="left" vertical="justify"/>
      <protection hidden="1"/>
    </xf>
    <xf numFmtId="0" fontId="20" fillId="0" borderId="1" xfId="0" applyFont="1" applyFill="1" applyBorder="1" applyAlignment="1" applyProtection="1">
      <alignment horizontal="left" vertical="justify"/>
      <protection hidden="1"/>
    </xf>
    <xf numFmtId="0" fontId="0" fillId="0" borderId="15" xfId="0" applyBorder="1" applyProtection="1">
      <protection locked="0"/>
    </xf>
    <xf numFmtId="0" fontId="47" fillId="5" borderId="5" xfId="0" applyFont="1" applyFill="1" applyBorder="1" applyAlignment="1" applyProtection="1">
      <alignment horizontal="center" vertical="center"/>
      <protection locked="0"/>
    </xf>
    <xf numFmtId="0" fontId="9" fillId="6" borderId="6" xfId="0" applyFont="1" applyFill="1" applyBorder="1" applyAlignment="1" applyProtection="1">
      <alignment horizontal="left" vertical="justify"/>
      <protection hidden="1"/>
    </xf>
    <xf numFmtId="0" fontId="25" fillId="0" borderId="0" xfId="0" applyFont="1" applyProtection="1">
      <protection hidden="1"/>
    </xf>
    <xf numFmtId="0" fontId="14" fillId="6" borderId="30" xfId="0" applyFont="1" applyFill="1" applyBorder="1" applyAlignment="1" applyProtection="1">
      <alignment horizontal="left" vertical="center"/>
      <protection hidden="1"/>
    </xf>
    <xf numFmtId="0" fontId="15" fillId="6" borderId="28" xfId="0" applyFont="1" applyFill="1" applyBorder="1" applyAlignment="1" applyProtection="1">
      <alignment horizontal="left" vertical="center"/>
      <protection hidden="1"/>
    </xf>
    <xf numFmtId="0" fontId="14" fillId="5" borderId="23" xfId="0" applyFont="1" applyFill="1" applyBorder="1" applyAlignment="1" applyProtection="1">
      <alignment horizontal="left" vertical="center"/>
      <protection locked="0"/>
    </xf>
    <xf numFmtId="0" fontId="14" fillId="6" borderId="2" xfId="0" applyFont="1" applyFill="1" applyBorder="1" applyAlignment="1" applyProtection="1">
      <alignment horizontal="left" vertical="justify"/>
      <protection hidden="1"/>
    </xf>
    <xf numFmtId="0" fontId="47" fillId="5" borderId="29" xfId="0" applyFont="1" applyFill="1" applyBorder="1" applyAlignment="1" applyProtection="1">
      <alignment horizontal="center" vertical="center"/>
      <protection locked="0"/>
    </xf>
    <xf numFmtId="0" fontId="9" fillId="6" borderId="29" xfId="0" applyFont="1" applyFill="1" applyBorder="1" applyAlignment="1" applyProtection="1">
      <alignment horizontal="left" vertical="justify"/>
      <protection hidden="1"/>
    </xf>
    <xf numFmtId="172" fontId="4" fillId="5" borderId="3" xfId="0" applyNumberFormat="1" applyFont="1" applyFill="1" applyBorder="1" applyAlignment="1" applyProtection="1">
      <alignment horizontal="left" vertical="center"/>
      <protection locked="0"/>
    </xf>
    <xf numFmtId="0" fontId="4" fillId="0" borderId="6" xfId="0" applyNumberFormat="1" applyFont="1" applyBorder="1" applyAlignment="1" applyProtection="1">
      <alignment vertical="center"/>
      <protection hidden="1"/>
    </xf>
    <xf numFmtId="172" fontId="51" fillId="6" borderId="27" xfId="0" applyNumberFormat="1" applyFont="1" applyFill="1" applyBorder="1" applyAlignment="1" applyProtection="1">
      <alignment horizontal="center" vertical="center"/>
      <protection hidden="1"/>
    </xf>
    <xf numFmtId="1" fontId="46" fillId="6" borderId="7" xfId="0" applyNumberFormat="1" applyFont="1" applyFill="1" applyBorder="1" applyAlignment="1" applyProtection="1">
      <alignment horizontal="center" vertical="center"/>
      <protection hidden="1"/>
    </xf>
    <xf numFmtId="172" fontId="4" fillId="5" borderId="27" xfId="5" applyNumberFormat="1" applyFont="1" applyFill="1" applyBorder="1" applyAlignment="1" applyProtection="1">
      <alignment horizontal="center" vertical="center"/>
      <protection locked="0"/>
    </xf>
    <xf numFmtId="0" fontId="68" fillId="0" borderId="0" xfId="0" applyFont="1"/>
    <xf numFmtId="0" fontId="68" fillId="0" borderId="0" xfId="0" applyFont="1" applyAlignment="1">
      <alignment horizontal="center"/>
    </xf>
    <xf numFmtId="0" fontId="53" fillId="11" borderId="2" xfId="7" applyFont="1" applyFill="1" applyBorder="1" applyAlignment="1">
      <alignment horizontal="center" vertical="center" wrapText="1"/>
    </xf>
    <xf numFmtId="0" fontId="53" fillId="11" borderId="29" xfId="7" applyFont="1" applyFill="1" applyBorder="1" applyAlignment="1">
      <alignment horizontal="center" vertical="center" wrapText="1"/>
    </xf>
    <xf numFmtId="0" fontId="53" fillId="11" borderId="3" xfId="7" applyFont="1" applyFill="1" applyBorder="1" applyAlignment="1">
      <alignment horizontal="center" vertical="center" wrapText="1"/>
    </xf>
    <xf numFmtId="0" fontId="68" fillId="0" borderId="1" xfId="0" applyFont="1" applyBorder="1" applyAlignment="1">
      <alignment horizontal="center"/>
    </xf>
    <xf numFmtId="0" fontId="68" fillId="0" borderId="27" xfId="0" quotePrefix="1" applyFont="1" applyBorder="1" applyAlignment="1">
      <alignment horizontal="center"/>
    </xf>
    <xf numFmtId="172" fontId="0" fillId="0" borderId="0" xfId="0" applyNumberFormat="1" applyBorder="1" applyProtection="1">
      <protection locked="0"/>
    </xf>
    <xf numFmtId="172" fontId="9" fillId="6" borderId="1" xfId="0" applyNumberFormat="1" applyFont="1" applyFill="1" applyBorder="1" applyAlignment="1" applyProtection="1">
      <alignment horizontal="left" vertical="center"/>
      <protection hidden="1"/>
    </xf>
    <xf numFmtId="167" fontId="5" fillId="0" borderId="0" xfId="5" applyNumberFormat="1" applyFont="1"/>
    <xf numFmtId="0" fontId="17" fillId="6" borderId="1" xfId="0" applyFont="1" applyFill="1" applyBorder="1" applyAlignment="1" applyProtection="1">
      <alignment horizontal="center" vertical="justify"/>
      <protection hidden="1"/>
    </xf>
    <xf numFmtId="0" fontId="25" fillId="0" borderId="0" xfId="0" applyFont="1" applyAlignment="1">
      <alignment horizontal="center" vertical="center"/>
    </xf>
    <xf numFmtId="0" fontId="5" fillId="0" borderId="0" xfId="0" applyFont="1" applyBorder="1" applyAlignment="1">
      <alignment horizontal="center"/>
    </xf>
    <xf numFmtId="167" fontId="3" fillId="0" borderId="0" xfId="0" applyNumberFormat="1" applyFont="1"/>
    <xf numFmtId="0" fontId="8" fillId="0" borderId="0" xfId="0" applyFont="1" applyFill="1" applyBorder="1"/>
    <xf numFmtId="0" fontId="3" fillId="0" borderId="14" xfId="0" applyFont="1" applyBorder="1" applyAlignment="1">
      <alignment horizontal="center"/>
    </xf>
    <xf numFmtId="0" fontId="9" fillId="0" borderId="75" xfId="0" applyFont="1" applyBorder="1" applyAlignment="1">
      <alignment horizontal="center"/>
    </xf>
    <xf numFmtId="0" fontId="9" fillId="0" borderId="77" xfId="0" applyFont="1" applyBorder="1" applyAlignment="1">
      <alignment horizontal="center"/>
    </xf>
    <xf numFmtId="0" fontId="0" fillId="0" borderId="77" xfId="0" applyBorder="1"/>
    <xf numFmtId="0" fontId="0" fillId="0" borderId="80" xfId="0" applyBorder="1"/>
    <xf numFmtId="167" fontId="52" fillId="5" borderId="5" xfId="5" applyNumberFormat="1" applyFont="1" applyFill="1" applyBorder="1" applyProtection="1">
      <protection locked="0"/>
    </xf>
    <xf numFmtId="172" fontId="9" fillId="5" borderId="7" xfId="0" applyNumberFormat="1" applyFont="1" applyFill="1" applyBorder="1" applyAlignment="1" applyProtection="1">
      <alignment horizontal="left" vertical="center"/>
      <protection locked="0"/>
    </xf>
    <xf numFmtId="167" fontId="0" fillId="0" borderId="0" xfId="0" applyNumberFormat="1" applyProtection="1">
      <protection locked="0"/>
    </xf>
    <xf numFmtId="0" fontId="0" fillId="6" borderId="14" xfId="0" applyFill="1" applyBorder="1" applyAlignment="1">
      <alignment horizontal="center"/>
    </xf>
    <xf numFmtId="0" fontId="5" fillId="6" borderId="0" xfId="0" applyFont="1" applyFill="1" applyBorder="1" applyAlignment="1">
      <alignment horizontal="left"/>
    </xf>
    <xf numFmtId="167" fontId="8" fillId="6" borderId="15" xfId="0" applyNumberFormat="1" applyFont="1" applyFill="1" applyBorder="1"/>
    <xf numFmtId="0" fontId="0" fillId="6" borderId="103" xfId="0" applyFill="1" applyBorder="1" applyAlignment="1">
      <alignment horizontal="center"/>
    </xf>
    <xf numFmtId="0" fontId="0" fillId="6" borderId="104" xfId="0" applyFill="1" applyBorder="1" applyAlignment="1">
      <alignment horizontal="left"/>
    </xf>
    <xf numFmtId="167" fontId="8" fillId="6" borderId="105" xfId="5" applyNumberFormat="1" applyFont="1" applyFill="1" applyBorder="1"/>
    <xf numFmtId="0" fontId="0" fillId="6" borderId="75" xfId="0" applyFill="1" applyBorder="1" applyAlignment="1">
      <alignment horizontal="center"/>
    </xf>
    <xf numFmtId="0" fontId="3" fillId="6" borderId="0" xfId="0" applyFont="1" applyFill="1" applyBorder="1" applyAlignment="1">
      <alignment horizontal="left"/>
    </xf>
    <xf numFmtId="0" fontId="3" fillId="6" borderId="106" xfId="0" applyFont="1" applyFill="1" applyBorder="1" applyAlignment="1">
      <alignment horizontal="left"/>
    </xf>
    <xf numFmtId="167" fontId="8" fillId="6" borderId="15" xfId="5" applyNumberFormat="1" applyFont="1" applyFill="1" applyBorder="1"/>
    <xf numFmtId="0" fontId="0" fillId="12" borderId="75" xfId="0" applyFill="1" applyBorder="1" applyAlignment="1">
      <alignment horizontal="center"/>
    </xf>
    <xf numFmtId="167" fontId="8" fillId="12" borderId="15" xfId="5" applyNumberFormat="1" applyFont="1" applyFill="1" applyBorder="1"/>
    <xf numFmtId="167" fontId="8" fillId="12" borderId="77" xfId="5" applyNumberFormat="1" applyFont="1" applyFill="1" applyBorder="1"/>
    <xf numFmtId="0" fontId="0" fillId="12" borderId="14" xfId="0" applyFill="1" applyBorder="1" applyAlignment="1">
      <alignment horizontal="center"/>
    </xf>
    <xf numFmtId="0" fontId="5" fillId="12" borderId="106" xfId="0" applyFont="1" applyFill="1" applyBorder="1"/>
    <xf numFmtId="0" fontId="0" fillId="12" borderId="87" xfId="0" applyFill="1" applyBorder="1"/>
    <xf numFmtId="171" fontId="8" fillId="12" borderId="15" xfId="4" applyNumberFormat="1" applyFont="1" applyFill="1" applyBorder="1" applyAlignment="1">
      <alignment horizontal="center"/>
    </xf>
    <xf numFmtId="0" fontId="3" fillId="12" borderId="14" xfId="0" applyFont="1" applyFill="1" applyBorder="1" applyAlignment="1">
      <alignment horizontal="center"/>
    </xf>
    <xf numFmtId="167" fontId="8" fillId="12" borderId="15" xfId="0" applyNumberFormat="1" applyFont="1" applyFill="1" applyBorder="1"/>
    <xf numFmtId="0" fontId="5" fillId="12" borderId="0" xfId="0" applyFont="1" applyFill="1" applyBorder="1" applyAlignment="1">
      <alignment horizontal="left"/>
    </xf>
    <xf numFmtId="167" fontId="63" fillId="12" borderId="15" xfId="5" applyNumberFormat="1" applyFont="1" applyFill="1" applyBorder="1"/>
    <xf numFmtId="0" fontId="24" fillId="12" borderId="0" xfId="0" applyFont="1" applyFill="1" applyBorder="1" applyAlignment="1">
      <alignment horizontal="left"/>
    </xf>
    <xf numFmtId="167" fontId="6" fillId="6" borderId="24" xfId="5" applyNumberFormat="1" applyFont="1" applyFill="1" applyBorder="1" applyProtection="1">
      <protection hidden="1"/>
    </xf>
    <xf numFmtId="0" fontId="8" fillId="0" borderId="0" xfId="0" applyFont="1" applyFill="1" applyBorder="1" applyAlignment="1" applyProtection="1">
      <alignment vertical="justify"/>
      <protection hidden="1"/>
    </xf>
    <xf numFmtId="0" fontId="3" fillId="0" borderId="0" xfId="0" applyFont="1" applyFill="1" applyBorder="1" applyProtection="1">
      <protection hidden="1"/>
    </xf>
    <xf numFmtId="0" fontId="0" fillId="5" borderId="0" xfId="0" applyFill="1"/>
    <xf numFmtId="0" fontId="5" fillId="5" borderId="2" xfId="0" applyFont="1" applyFill="1" applyBorder="1" applyAlignment="1">
      <alignment horizontal="left"/>
    </xf>
    <xf numFmtId="0" fontId="0" fillId="5" borderId="3" xfId="0" applyFill="1" applyBorder="1" applyAlignment="1">
      <alignment horizontal="center"/>
    </xf>
    <xf numFmtId="0" fontId="5" fillId="5" borderId="0" xfId="0" applyFont="1" applyFill="1" applyAlignment="1">
      <alignment horizontal="center"/>
    </xf>
    <xf numFmtId="167" fontId="56" fillId="5" borderId="0" xfId="5" applyNumberFormat="1" applyFont="1" applyFill="1"/>
    <xf numFmtId="0" fontId="0" fillId="5" borderId="2" xfId="0" applyFill="1" applyBorder="1"/>
    <xf numFmtId="0" fontId="0" fillId="5" borderId="3" xfId="0" applyFill="1" applyBorder="1"/>
    <xf numFmtId="0" fontId="0" fillId="5" borderId="8" xfId="0" applyFill="1" applyBorder="1"/>
    <xf numFmtId="0" fontId="5" fillId="5" borderId="4" xfId="0" applyFont="1" applyFill="1" applyBorder="1" applyAlignment="1">
      <alignment horizontal="right"/>
    </xf>
    <xf numFmtId="0" fontId="0" fillId="5" borderId="5" xfId="0" applyFill="1" applyBorder="1"/>
    <xf numFmtId="167" fontId="59" fillId="5" borderId="9" xfId="6" applyNumberFormat="1" applyFont="1" applyFill="1" applyBorder="1"/>
    <xf numFmtId="0" fontId="5" fillId="5" borderId="6" xfId="0" applyFont="1" applyFill="1" applyBorder="1" applyAlignment="1">
      <alignment horizontal="right"/>
    </xf>
    <xf numFmtId="0" fontId="0" fillId="5" borderId="7" xfId="0" applyFill="1" applyBorder="1"/>
    <xf numFmtId="167" fontId="59" fillId="5" borderId="10" xfId="6" applyNumberFormat="1" applyFont="1" applyFill="1" applyBorder="1"/>
    <xf numFmtId="0" fontId="5" fillId="5" borderId="0" xfId="0" applyFont="1" applyFill="1" applyBorder="1" applyAlignment="1">
      <alignment horizontal="right"/>
    </xf>
    <xf numFmtId="0" fontId="0" fillId="5" borderId="0" xfId="0" applyFill="1" applyBorder="1"/>
    <xf numFmtId="167" fontId="56" fillId="5" borderId="0" xfId="5" applyNumberFormat="1" applyFont="1" applyFill="1" applyBorder="1"/>
    <xf numFmtId="9" fontId="64" fillId="6" borderId="0" xfId="0" applyNumberFormat="1" applyFont="1" applyFill="1" applyBorder="1" applyAlignment="1">
      <alignment horizontal="left" vertical="center"/>
    </xf>
    <xf numFmtId="0" fontId="0" fillId="0" borderId="75" xfId="0" applyFill="1" applyBorder="1" applyAlignment="1">
      <alignment horizontal="center"/>
    </xf>
    <xf numFmtId="0" fontId="66" fillId="0" borderId="0" xfId="0" applyFont="1" applyFill="1" applyBorder="1" applyAlignment="1">
      <alignment horizontal="left"/>
    </xf>
    <xf numFmtId="167" fontId="69" fillId="0" borderId="15" xfId="5" applyNumberFormat="1" applyFont="1" applyFill="1" applyBorder="1"/>
    <xf numFmtId="0" fontId="0" fillId="0" borderId="103" xfId="0" applyFill="1" applyBorder="1" applyAlignment="1">
      <alignment horizontal="center"/>
    </xf>
    <xf numFmtId="0" fontId="0" fillId="0" borderId="104" xfId="0" applyFill="1" applyBorder="1" applyAlignment="1">
      <alignment horizontal="left"/>
    </xf>
    <xf numFmtId="167" fontId="8" fillId="0" borderId="105" xfId="5" applyNumberFormat="1" applyFont="1" applyFill="1" applyBorder="1"/>
    <xf numFmtId="0" fontId="0" fillId="13" borderId="75" xfId="0" applyFill="1" applyBorder="1" applyAlignment="1">
      <alignment horizontal="center"/>
    </xf>
    <xf numFmtId="0" fontId="3" fillId="13" borderId="14" xfId="0" applyFont="1" applyFill="1" applyBorder="1" applyAlignment="1">
      <alignment horizontal="center"/>
    </xf>
    <xf numFmtId="171" fontId="8" fillId="13" borderId="15" xfId="4" applyNumberFormat="1" applyFont="1" applyFill="1" applyBorder="1" applyAlignment="1">
      <alignment horizontal="center"/>
    </xf>
    <xf numFmtId="0" fontId="0" fillId="13" borderId="14" xfId="0" applyFill="1" applyBorder="1" applyAlignment="1">
      <alignment horizontal="center"/>
    </xf>
    <xf numFmtId="167" fontId="8" fillId="13" borderId="15" xfId="5" applyNumberFormat="1" applyFont="1" applyFill="1" applyBorder="1"/>
    <xf numFmtId="0" fontId="3" fillId="13" borderId="0" xfId="0" applyFont="1" applyFill="1" applyBorder="1" applyAlignment="1">
      <alignment horizontal="left"/>
    </xf>
    <xf numFmtId="0" fontId="3" fillId="13" borderId="106" xfId="0" applyFont="1" applyFill="1" applyBorder="1" applyAlignment="1">
      <alignment horizontal="left"/>
    </xf>
    <xf numFmtId="167" fontId="8" fillId="13" borderId="77" xfId="5" applyNumberFormat="1" applyFont="1" applyFill="1" applyBorder="1"/>
    <xf numFmtId="167" fontId="69" fillId="13" borderId="15" xfId="5" applyNumberFormat="1" applyFont="1" applyFill="1" applyBorder="1"/>
    <xf numFmtId="0" fontId="66" fillId="13" borderId="0" xfId="0" applyFont="1" applyFill="1" applyBorder="1" applyAlignment="1">
      <alignment horizontal="left"/>
    </xf>
    <xf numFmtId="167" fontId="8" fillId="13" borderId="15" xfId="0" applyNumberFormat="1" applyFont="1" applyFill="1" applyBorder="1"/>
    <xf numFmtId="0" fontId="2" fillId="12" borderId="0" xfId="0" applyFont="1" applyFill="1" applyBorder="1" applyAlignment="1">
      <alignment horizontal="left"/>
    </xf>
    <xf numFmtId="0" fontId="68" fillId="0" borderId="1" xfId="0" quotePrefix="1" applyNumberFormat="1" applyFont="1" applyBorder="1" applyAlignment="1">
      <alignment horizontal="center"/>
    </xf>
    <xf numFmtId="14" fontId="68" fillId="0" borderId="5" xfId="0" applyNumberFormat="1" applyFont="1" applyFill="1" applyBorder="1" applyAlignment="1">
      <alignment horizontal="center"/>
    </xf>
    <xf numFmtId="0" fontId="6" fillId="0" borderId="0" xfId="0" applyFont="1"/>
    <xf numFmtId="0" fontId="75" fillId="0" borderId="0" xfId="0" applyFont="1" applyBorder="1" applyAlignment="1" applyProtection="1">
      <alignment horizontal="left"/>
      <protection hidden="1"/>
    </xf>
    <xf numFmtId="0" fontId="75" fillId="0" borderId="0" xfId="0" applyFont="1" applyFill="1" applyBorder="1" applyAlignment="1" applyProtection="1">
      <alignment horizontal="left" indent="1"/>
      <protection hidden="1"/>
    </xf>
    <xf numFmtId="0" fontId="2" fillId="0" borderId="0" xfId="0" applyFont="1" applyAlignment="1">
      <alignment horizontal="left" indent="1"/>
    </xf>
    <xf numFmtId="0" fontId="8" fillId="0" borderId="0" xfId="0" applyFont="1" applyAlignment="1">
      <alignment horizontal="left" vertical="justify" indent="1"/>
    </xf>
    <xf numFmtId="0" fontId="25" fillId="0" borderId="0" xfId="0" applyFont="1"/>
    <xf numFmtId="171" fontId="0" fillId="0" borderId="0" xfId="4" applyNumberFormat="1" applyFont="1"/>
    <xf numFmtId="0" fontId="2" fillId="0" borderId="0" xfId="0" applyFont="1" applyBorder="1" applyAlignment="1" applyProtection="1">
      <alignment horizontal="left" indent="1"/>
      <protection hidden="1"/>
    </xf>
    <xf numFmtId="0" fontId="6" fillId="0" borderId="0" xfId="0" applyFont="1" applyAlignment="1">
      <alignment horizontal="left" vertical="justify"/>
    </xf>
    <xf numFmtId="0" fontId="8" fillId="0" borderId="0" xfId="0" applyFont="1" applyAlignment="1">
      <alignment horizontal="left" vertical="center" indent="1"/>
    </xf>
    <xf numFmtId="0" fontId="6" fillId="0" borderId="0" xfId="0" applyFont="1" applyBorder="1" applyAlignment="1" applyProtection="1">
      <alignment horizontal="left"/>
      <protection hidden="1"/>
    </xf>
    <xf numFmtId="0" fontId="2" fillId="10" borderId="1" xfId="0" applyFont="1" applyFill="1" applyBorder="1" applyAlignment="1">
      <alignment horizontal="center"/>
    </xf>
    <xf numFmtId="0" fontId="4" fillId="0" borderId="1" xfId="0" applyFont="1" applyBorder="1"/>
    <xf numFmtId="0" fontId="8" fillId="0" borderId="0" xfId="0" applyFont="1" applyAlignment="1">
      <alignment vertical="justify"/>
    </xf>
    <xf numFmtId="0" fontId="6" fillId="0" borderId="0" xfId="0" applyFont="1" applyFill="1" applyAlignment="1">
      <alignment horizontal="left" vertical="justify"/>
    </xf>
    <xf numFmtId="0" fontId="14" fillId="0" borderId="0" xfId="0" applyFont="1" applyFill="1" applyAlignment="1">
      <alignment horizontal="left" vertical="justify"/>
    </xf>
    <xf numFmtId="171" fontId="0" fillId="0" borderId="18" xfId="4" applyNumberFormat="1" applyFont="1" applyBorder="1"/>
    <xf numFmtId="171" fontId="0" fillId="0" borderId="17" xfId="4" applyNumberFormat="1" applyFont="1" applyBorder="1"/>
    <xf numFmtId="0" fontId="6" fillId="0" borderId="0" xfId="0" applyFont="1" applyBorder="1" applyAlignment="1" applyProtection="1">
      <alignment horizontal="left"/>
      <protection hidden="1"/>
    </xf>
    <xf numFmtId="1" fontId="77" fillId="0" borderId="0" xfId="4" applyNumberFormat="1" applyFont="1" applyAlignment="1">
      <alignment horizontal="center" vertical="center"/>
    </xf>
    <xf numFmtId="0" fontId="75" fillId="0" borderId="0" xfId="0" applyFont="1" applyBorder="1" applyAlignment="1" applyProtection="1">
      <alignment horizontal="left" indent="1"/>
      <protection hidden="1"/>
    </xf>
    <xf numFmtId="0" fontId="8" fillId="0" borderId="0" xfId="0" applyFont="1" applyAlignment="1">
      <alignment horizontal="justify" vertical="justify"/>
    </xf>
    <xf numFmtId="0" fontId="6" fillId="0" borderId="0" xfId="0" applyFont="1" applyFill="1" applyBorder="1" applyAlignment="1" applyProtection="1">
      <alignment horizontal="left"/>
      <protection hidden="1"/>
    </xf>
    <xf numFmtId="0" fontId="75" fillId="0" borderId="0" xfId="0" applyFont="1" applyFill="1" applyBorder="1" applyAlignment="1" applyProtection="1">
      <alignment horizontal="left"/>
      <protection hidden="1"/>
    </xf>
    <xf numFmtId="0" fontId="67" fillId="5" borderId="26" xfId="0" applyFont="1" applyFill="1" applyBorder="1" applyAlignment="1" applyProtection="1">
      <alignment horizontal="center" vertical="center"/>
      <protection locked="0"/>
    </xf>
    <xf numFmtId="49" fontId="69" fillId="5" borderId="26" xfId="0" applyNumberFormat="1" applyFont="1" applyFill="1" applyBorder="1" applyAlignment="1" applyProtection="1">
      <alignment horizontal="left" vertical="center" indent="12"/>
      <protection locked="0"/>
    </xf>
    <xf numFmtId="171" fontId="24" fillId="0" borderId="0" xfId="4" applyNumberFormat="1" applyFont="1" applyBorder="1" applyAlignment="1" applyProtection="1">
      <alignment horizontal="left"/>
      <protection hidden="1"/>
    </xf>
    <xf numFmtId="171" fontId="24" fillId="0" borderId="18" xfId="4" applyNumberFormat="1" applyFont="1" applyBorder="1" applyAlignment="1" applyProtection="1">
      <alignment horizontal="left"/>
      <protection hidden="1"/>
    </xf>
    <xf numFmtId="0" fontId="2" fillId="0" borderId="42" xfId="0" applyFont="1" applyFill="1" applyBorder="1" applyAlignment="1" applyProtection="1">
      <alignment horizontal="left"/>
      <protection hidden="1"/>
    </xf>
    <xf numFmtId="171" fontId="16" fillId="5" borderId="7" xfId="4" applyNumberFormat="1" applyFont="1" applyFill="1" applyBorder="1" applyProtection="1">
      <protection locked="0"/>
    </xf>
    <xf numFmtId="0" fontId="6" fillId="0" borderId="0" xfId="0" applyFont="1" applyBorder="1" applyAlignment="1" applyProtection="1">
      <alignment horizontal="left"/>
      <protection hidden="1"/>
    </xf>
    <xf numFmtId="171" fontId="0" fillId="0" borderId="0" xfId="4" applyNumberFormat="1" applyFont="1" applyFill="1"/>
    <xf numFmtId="171" fontId="75" fillId="0" borderId="0" xfId="4" applyNumberFormat="1" applyFont="1" applyBorder="1" applyAlignment="1">
      <alignment vertical="center"/>
    </xf>
    <xf numFmtId="0" fontId="0" fillId="10" borderId="0" xfId="0" applyFill="1" applyBorder="1" applyAlignment="1" applyProtection="1">
      <alignment horizontal="center"/>
      <protection hidden="1"/>
    </xf>
    <xf numFmtId="0" fontId="8" fillId="0" borderId="0" xfId="0" applyFont="1" applyBorder="1"/>
    <xf numFmtId="0" fontId="25" fillId="0" borderId="0" xfId="0" applyFont="1" applyBorder="1" applyAlignment="1">
      <alignment vertical="justify"/>
    </xf>
    <xf numFmtId="0" fontId="8" fillId="0" borderId="0" xfId="0" applyFont="1" applyBorder="1" applyAlignment="1">
      <alignment vertical="justify"/>
    </xf>
    <xf numFmtId="0" fontId="6" fillId="0" borderId="0" xfId="0" applyFont="1" applyBorder="1"/>
    <xf numFmtId="0" fontId="2" fillId="0" borderId="0" xfId="0" applyFont="1" applyBorder="1" applyAlignment="1">
      <alignment horizontal="left" indent="1"/>
    </xf>
    <xf numFmtId="0" fontId="25" fillId="0" borderId="0" xfId="0" applyFont="1" applyBorder="1"/>
    <xf numFmtId="0" fontId="25" fillId="0" borderId="0" xfId="0" applyFont="1" applyBorder="1" applyAlignment="1">
      <alignment horizontal="center" vertical="center"/>
    </xf>
    <xf numFmtId="0" fontId="8" fillId="0" borderId="0" xfId="0" applyFont="1" applyBorder="1" applyAlignment="1">
      <alignment horizontal="left" vertical="center" indent="1"/>
    </xf>
    <xf numFmtId="0" fontId="6" fillId="0" borderId="0" xfId="0" applyFont="1" applyFill="1" applyBorder="1" applyAlignment="1">
      <alignment horizontal="left" vertical="justify"/>
    </xf>
    <xf numFmtId="0" fontId="14" fillId="0" borderId="0" xfId="0" applyFont="1" applyFill="1" applyBorder="1" applyAlignment="1">
      <alignment horizontal="left" vertical="justify"/>
    </xf>
    <xf numFmtId="0" fontId="6" fillId="0" borderId="0" xfId="0" applyFont="1" applyBorder="1" applyAlignment="1">
      <alignment horizontal="left" vertical="justify"/>
    </xf>
    <xf numFmtId="0" fontId="9" fillId="0" borderId="0" xfId="0" applyFont="1" applyAlignment="1">
      <alignment horizontal="left" vertical="justify" indent="1"/>
    </xf>
    <xf numFmtId="0" fontId="0" fillId="0" borderId="1" xfId="0" applyBorder="1" applyAlignment="1" applyProtection="1">
      <alignment horizontal="center"/>
      <protection hidden="1"/>
    </xf>
    <xf numFmtId="0" fontId="0" fillId="0" borderId="0" xfId="0" applyAlignment="1" applyProtection="1">
      <alignment horizontal="center"/>
      <protection hidden="1"/>
    </xf>
    <xf numFmtId="0" fontId="0" fillId="0" borderId="0" xfId="0" applyBorder="1" applyAlignment="1" applyProtection="1">
      <alignment horizontal="center"/>
      <protection hidden="1"/>
    </xf>
    <xf numFmtId="0" fontId="66" fillId="0" borderId="2" xfId="0" applyFont="1" applyBorder="1" applyAlignment="1" applyProtection="1">
      <alignment horizontal="left"/>
      <protection locked="0"/>
    </xf>
    <xf numFmtId="0" fontId="0" fillId="0" borderId="3" xfId="0" applyFont="1" applyBorder="1" applyAlignment="1" applyProtection="1">
      <alignment horizontal="center"/>
      <protection locked="0"/>
    </xf>
    <xf numFmtId="0" fontId="0" fillId="0" borderId="0" xfId="0" applyFont="1" applyProtection="1">
      <protection locked="0"/>
    </xf>
    <xf numFmtId="0" fontId="66" fillId="0" borderId="0" xfId="0" applyFont="1" applyAlignment="1" applyProtection="1">
      <alignment horizontal="center"/>
      <protection locked="0"/>
    </xf>
    <xf numFmtId="167" fontId="1" fillId="0" borderId="0" xfId="6" applyNumberFormat="1" applyFont="1" applyProtection="1">
      <protection locked="0"/>
    </xf>
    <xf numFmtId="0" fontId="0" fillId="0" borderId="2" xfId="0" applyFont="1" applyBorder="1" applyProtection="1">
      <protection locked="0"/>
    </xf>
    <xf numFmtId="0" fontId="0" fillId="0" borderId="3" xfId="0" applyFont="1" applyBorder="1" applyProtection="1">
      <protection locked="0"/>
    </xf>
    <xf numFmtId="0" fontId="0" fillId="0" borderId="8" xfId="0" applyFont="1" applyBorder="1" applyProtection="1">
      <protection locked="0"/>
    </xf>
    <xf numFmtId="0" fontId="66" fillId="0" borderId="4" xfId="0" applyFont="1" applyBorder="1" applyAlignment="1" applyProtection="1">
      <alignment horizontal="right"/>
      <protection locked="0"/>
    </xf>
    <xf numFmtId="0" fontId="0" fillId="0" borderId="5" xfId="0" applyFont="1" applyBorder="1" applyProtection="1">
      <protection locked="0"/>
    </xf>
    <xf numFmtId="167" fontId="1" fillId="0" borderId="9" xfId="6" applyNumberFormat="1" applyFont="1" applyBorder="1" applyProtection="1">
      <protection locked="0"/>
    </xf>
    <xf numFmtId="0" fontId="66" fillId="0" borderId="6" xfId="0" applyFont="1" applyBorder="1" applyAlignment="1" applyProtection="1">
      <alignment horizontal="right"/>
      <protection locked="0"/>
    </xf>
    <xf numFmtId="0" fontId="0" fillId="0" borderId="7" xfId="0" applyFont="1" applyBorder="1" applyProtection="1">
      <protection locked="0"/>
    </xf>
    <xf numFmtId="167" fontId="1" fillId="0" borderId="10" xfId="6" applyNumberFormat="1" applyFont="1" applyBorder="1" applyProtection="1">
      <protection locked="0"/>
    </xf>
    <xf numFmtId="0" fontId="0" fillId="0" borderId="65" xfId="0" applyFont="1" applyBorder="1" applyAlignment="1" applyProtection="1">
      <alignment horizontal="right"/>
      <protection locked="0"/>
    </xf>
    <xf numFmtId="0" fontId="0" fillId="0" borderId="32" xfId="0" applyFont="1" applyBorder="1" applyProtection="1">
      <protection locked="0"/>
    </xf>
    <xf numFmtId="0" fontId="2" fillId="0" borderId="0" xfId="0" applyFont="1"/>
    <xf numFmtId="0" fontId="0" fillId="0" borderId="0" xfId="0" applyBorder="1" applyAlignment="1" applyProtection="1">
      <alignment horizontal="center"/>
      <protection hidden="1"/>
    </xf>
    <xf numFmtId="0" fontId="9" fillId="9" borderId="0" xfId="0" applyFont="1" applyFill="1" applyBorder="1" applyAlignment="1" applyProtection="1">
      <alignment horizontal="left" vertical="center"/>
      <protection hidden="1"/>
    </xf>
    <xf numFmtId="0" fontId="9" fillId="0" borderId="0" xfId="0" applyFont="1" applyFill="1" applyBorder="1" applyAlignment="1" applyProtection="1">
      <alignment vertical="center"/>
      <protection hidden="1"/>
    </xf>
    <xf numFmtId="0" fontId="9" fillId="9" borderId="0" xfId="0" applyFont="1" applyFill="1" applyBorder="1" applyAlignment="1" applyProtection="1">
      <alignment vertical="center"/>
      <protection hidden="1"/>
    </xf>
    <xf numFmtId="0" fontId="14" fillId="0" borderId="0" xfId="0" applyFont="1" applyFill="1" applyBorder="1" applyAlignment="1" applyProtection="1">
      <alignment vertical="center"/>
      <protection hidden="1"/>
    </xf>
    <xf numFmtId="0" fontId="0" fillId="0" borderId="133" xfId="0" applyBorder="1" applyAlignment="1" applyProtection="1">
      <alignment horizontal="center"/>
      <protection hidden="1"/>
    </xf>
    <xf numFmtId="171" fontId="8" fillId="0" borderId="134" xfId="4" applyNumberFormat="1" applyFont="1" applyBorder="1" applyProtection="1">
      <protection hidden="1"/>
    </xf>
    <xf numFmtId="171" fontId="8" fillId="9" borderId="136" xfId="4" applyNumberFormat="1" applyFont="1" applyFill="1" applyBorder="1" applyProtection="1">
      <protection hidden="1"/>
    </xf>
    <xf numFmtId="171" fontId="8" fillId="0" borderId="136" xfId="4" applyNumberFormat="1" applyFont="1" applyBorder="1" applyProtection="1">
      <protection hidden="1"/>
    </xf>
    <xf numFmtId="0" fontId="0" fillId="9" borderId="138" xfId="0" applyFill="1" applyBorder="1" applyAlignment="1" applyProtection="1">
      <alignment horizontal="center"/>
      <protection hidden="1"/>
    </xf>
    <xf numFmtId="171" fontId="8" fillId="9" borderId="139" xfId="4" applyNumberFormat="1" applyFont="1" applyFill="1" applyBorder="1" applyProtection="1">
      <protection hidden="1"/>
    </xf>
    <xf numFmtId="0" fontId="0" fillId="0" borderId="138" xfId="0" applyBorder="1" applyAlignment="1" applyProtection="1">
      <alignment horizontal="center"/>
      <protection hidden="1"/>
    </xf>
    <xf numFmtId="171" fontId="8" fillId="0" borderId="139" xfId="4" applyNumberFormat="1" applyFont="1" applyBorder="1" applyProtection="1">
      <protection hidden="1"/>
    </xf>
    <xf numFmtId="0" fontId="0" fillId="9" borderId="133" xfId="0" applyFill="1" applyBorder="1" applyAlignment="1" applyProtection="1">
      <alignment horizontal="center"/>
      <protection hidden="1"/>
    </xf>
    <xf numFmtId="171" fontId="8" fillId="9" borderId="134" xfId="4" applyNumberFormat="1" applyFont="1" applyFill="1" applyBorder="1" applyProtection="1">
      <protection hidden="1"/>
    </xf>
    <xf numFmtId="0" fontId="0" fillId="0" borderId="138" xfId="0" applyFill="1" applyBorder="1" applyAlignment="1" applyProtection="1">
      <alignment horizontal="center"/>
      <protection hidden="1"/>
    </xf>
    <xf numFmtId="171" fontId="8" fillId="0" borderId="139" xfId="4" applyNumberFormat="1" applyFont="1" applyFill="1" applyBorder="1" applyProtection="1">
      <protection hidden="1"/>
    </xf>
    <xf numFmtId="0" fontId="79" fillId="17" borderId="0" xfId="0" applyFont="1" applyFill="1" applyBorder="1" applyAlignment="1">
      <alignment vertical="center"/>
    </xf>
    <xf numFmtId="0" fontId="81" fillId="17" borderId="0" xfId="0" applyFont="1" applyFill="1" applyBorder="1"/>
    <xf numFmtId="0" fontId="81" fillId="17" borderId="136" xfId="0" applyFont="1" applyFill="1" applyBorder="1"/>
    <xf numFmtId="0" fontId="8" fillId="9" borderId="133" xfId="0" applyFont="1" applyFill="1" applyBorder="1" applyAlignment="1" applyProtection="1">
      <alignment vertical="justify"/>
      <protection hidden="1"/>
    </xf>
    <xf numFmtId="0" fontId="2" fillId="0" borderId="0" xfId="0" applyFont="1" applyBorder="1"/>
    <xf numFmtId="0" fontId="8" fillId="0" borderId="0" xfId="0" applyFont="1" applyBorder="1" applyAlignment="1">
      <alignment horizontal="justify" vertical="justify"/>
    </xf>
    <xf numFmtId="171" fontId="8" fillId="0" borderId="136" xfId="4" applyNumberFormat="1" applyFont="1" applyFill="1" applyBorder="1" applyProtection="1">
      <protection hidden="1"/>
    </xf>
    <xf numFmtId="0" fontId="8" fillId="9" borderId="138" xfId="0" applyFont="1" applyFill="1" applyBorder="1" applyAlignment="1" applyProtection="1">
      <alignment vertical="justify"/>
      <protection hidden="1"/>
    </xf>
    <xf numFmtId="0" fontId="4" fillId="0" borderId="138" xfId="0" applyFont="1" applyBorder="1" applyProtection="1">
      <protection hidden="1"/>
    </xf>
    <xf numFmtId="167" fontId="8" fillId="9" borderId="134" xfId="5" applyNumberFormat="1" applyFont="1" applyFill="1" applyBorder="1" applyProtection="1">
      <protection hidden="1"/>
    </xf>
    <xf numFmtId="171" fontId="8" fillId="0" borderId="136" xfId="0" applyNumberFormat="1" applyFont="1" applyBorder="1" applyProtection="1">
      <protection hidden="1"/>
    </xf>
    <xf numFmtId="0" fontId="9" fillId="0" borderId="135" xfId="0" applyFont="1" applyFill="1" applyBorder="1" applyAlignment="1" applyProtection="1">
      <alignment vertical="center"/>
      <protection hidden="1"/>
    </xf>
    <xf numFmtId="0" fontId="9" fillId="9" borderId="135" xfId="0" applyFont="1" applyFill="1" applyBorder="1" applyAlignment="1" applyProtection="1">
      <alignment horizontal="left" vertical="center"/>
      <protection hidden="1"/>
    </xf>
    <xf numFmtId="0" fontId="9" fillId="9" borderId="135" xfId="0" applyFont="1" applyFill="1" applyBorder="1" applyAlignment="1" applyProtection="1">
      <alignment vertical="center"/>
      <protection hidden="1"/>
    </xf>
    <xf numFmtId="0" fontId="14" fillId="0" borderId="135" xfId="0" applyFont="1" applyFill="1" applyBorder="1" applyAlignment="1" applyProtection="1">
      <alignment vertical="center"/>
      <protection hidden="1"/>
    </xf>
    <xf numFmtId="0" fontId="9" fillId="0" borderId="137" xfId="0" applyFont="1" applyFill="1" applyBorder="1" applyAlignment="1" applyProtection="1">
      <alignment horizontal="left" vertical="center"/>
      <protection hidden="1"/>
    </xf>
    <xf numFmtId="0" fontId="9" fillId="0" borderId="138" xfId="0" applyFont="1" applyFill="1" applyBorder="1" applyAlignment="1" applyProtection="1">
      <alignment horizontal="left" vertical="center"/>
      <protection hidden="1"/>
    </xf>
    <xf numFmtId="0" fontId="25" fillId="0" borderId="138" xfId="0" applyFont="1" applyBorder="1" applyAlignment="1" applyProtection="1">
      <alignment horizontal="center"/>
      <protection hidden="1"/>
    </xf>
    <xf numFmtId="171" fontId="2" fillId="0" borderId="0" xfId="0" applyNumberFormat="1" applyFont="1" applyProtection="1">
      <protection hidden="1"/>
    </xf>
    <xf numFmtId="0" fontId="5" fillId="6" borderId="4" xfId="0" applyFont="1" applyFill="1" applyBorder="1" applyAlignment="1" applyProtection="1">
      <alignment horizontal="left" vertical="center"/>
      <protection hidden="1"/>
    </xf>
    <xf numFmtId="167" fontId="8" fillId="6" borderId="1" xfId="5" applyNumberFormat="1" applyFont="1" applyFill="1" applyBorder="1" applyAlignment="1" applyProtection="1">
      <alignment horizontal="right"/>
      <protection hidden="1"/>
    </xf>
    <xf numFmtId="173" fontId="20" fillId="6" borderId="27" xfId="5" applyNumberFormat="1" applyFont="1" applyFill="1" applyBorder="1" applyAlignment="1" applyProtection="1">
      <alignment horizontal="right"/>
      <protection hidden="1"/>
    </xf>
    <xf numFmtId="0" fontId="2" fillId="20" borderId="0" xfId="0" applyFont="1" applyFill="1" applyProtection="1">
      <protection hidden="1"/>
    </xf>
    <xf numFmtId="167" fontId="2" fillId="20" borderId="0" xfId="6" applyNumberFormat="1" applyFont="1" applyFill="1" applyProtection="1">
      <protection hidden="1"/>
    </xf>
    <xf numFmtId="167" fontId="2" fillId="20" borderId="0" xfId="0" applyNumberFormat="1" applyFont="1" applyFill="1" applyProtection="1">
      <protection hidden="1"/>
    </xf>
    <xf numFmtId="171" fontId="2" fillId="20" borderId="0" xfId="0" applyNumberFormat="1" applyFont="1" applyFill="1" applyProtection="1">
      <protection hidden="1"/>
    </xf>
    <xf numFmtId="171" fontId="2" fillId="20" borderId="0" xfId="4" applyNumberFormat="1" applyFont="1" applyFill="1" applyProtection="1">
      <protection hidden="1"/>
    </xf>
    <xf numFmtId="0" fontId="5" fillId="20" borderId="0" xfId="0" applyFont="1" applyFill="1" applyProtection="1">
      <protection hidden="1"/>
    </xf>
    <xf numFmtId="43" fontId="0" fillId="20" borderId="0" xfId="4" applyFont="1" applyFill="1" applyProtection="1">
      <protection hidden="1"/>
    </xf>
    <xf numFmtId="0" fontId="0" fillId="20" borderId="0" xfId="0" applyFill="1" applyProtection="1">
      <protection hidden="1"/>
    </xf>
    <xf numFmtId="167" fontId="0" fillId="20" borderId="0" xfId="6" applyNumberFormat="1" applyFont="1" applyFill="1" applyProtection="1">
      <protection hidden="1"/>
    </xf>
    <xf numFmtId="167" fontId="5" fillId="20" borderId="0" xfId="6" applyNumberFormat="1" applyFont="1" applyFill="1" applyProtection="1">
      <protection hidden="1"/>
    </xf>
    <xf numFmtId="167" fontId="0" fillId="20" borderId="0" xfId="0" applyNumberFormat="1" applyFill="1" applyProtection="1">
      <protection hidden="1"/>
    </xf>
    <xf numFmtId="0" fontId="2" fillId="0" borderId="0" xfId="0" applyFont="1" applyBorder="1" applyAlignment="1" applyProtection="1">
      <alignment vertical="center"/>
      <protection hidden="1"/>
    </xf>
    <xf numFmtId="0" fontId="3" fillId="9" borderId="0" xfId="0" applyFont="1" applyFill="1" applyBorder="1" applyAlignment="1" applyProtection="1">
      <alignment vertical="center"/>
      <protection hidden="1"/>
    </xf>
    <xf numFmtId="0" fontId="3" fillId="9" borderId="0" xfId="0" applyFont="1" applyFill="1" applyBorder="1" applyAlignment="1" applyProtection="1">
      <alignment horizontal="center" vertical="center"/>
      <protection hidden="1"/>
    </xf>
    <xf numFmtId="171" fontId="8" fillId="9" borderId="0" xfId="4" applyNumberFormat="1" applyFont="1" applyFill="1" applyBorder="1" applyAlignment="1" applyProtection="1">
      <alignment horizontal="center"/>
      <protection hidden="1"/>
    </xf>
    <xf numFmtId="0" fontId="25" fillId="0" borderId="0" xfId="0" applyFont="1" applyBorder="1" applyAlignment="1" applyProtection="1">
      <alignment horizontal="justify" vertical="justify"/>
      <protection hidden="1"/>
    </xf>
    <xf numFmtId="0" fontId="8" fillId="0" borderId="143" xfId="0" applyFont="1" applyBorder="1"/>
    <xf numFmtId="0" fontId="8" fillId="0" borderId="143" xfId="0" applyFont="1" applyBorder="1" applyAlignment="1">
      <alignment horizontal="justify" vertical="justify"/>
    </xf>
    <xf numFmtId="0" fontId="8" fillId="0" borderId="143" xfId="0" applyFont="1" applyBorder="1" applyAlignment="1">
      <alignment vertical="justify"/>
    </xf>
    <xf numFmtId="0" fontId="8" fillId="0" borderId="143" xfId="0" applyFont="1" applyBorder="1" applyAlignment="1">
      <alignment vertical="center"/>
    </xf>
    <xf numFmtId="0" fontId="8" fillId="0" borderId="143" xfId="0" applyFont="1" applyFill="1" applyBorder="1" applyAlignment="1" applyProtection="1">
      <alignment horizontal="left" indent="1"/>
      <protection hidden="1"/>
    </xf>
    <xf numFmtId="0" fontId="8" fillId="0" borderId="143" xfId="0" applyFont="1" applyBorder="1" applyAlignment="1">
      <alignment horizontal="left" vertical="justify" indent="1"/>
    </xf>
    <xf numFmtId="0" fontId="8" fillId="0" borderId="143" xfId="0" applyFont="1" applyBorder="1" applyAlignment="1">
      <alignment horizontal="left" vertical="center" indent="1"/>
    </xf>
    <xf numFmtId="0" fontId="25" fillId="0" borderId="143" xfId="0" applyFont="1" applyBorder="1" applyAlignment="1">
      <alignment horizontal="left" vertical="justify" indent="1"/>
    </xf>
    <xf numFmtId="0" fontId="8" fillId="0" borderId="143" xfId="0" applyFont="1" applyBorder="1" applyAlignment="1">
      <alignment horizontal="left" indent="1"/>
    </xf>
    <xf numFmtId="0" fontId="8" fillId="0" borderId="143" xfId="0" applyFont="1" applyBorder="1" applyAlignment="1" applyProtection="1">
      <alignment horizontal="left" indent="1"/>
      <protection hidden="1"/>
    </xf>
    <xf numFmtId="0" fontId="8" fillId="0" borderId="144" xfId="0" applyFont="1" applyBorder="1"/>
    <xf numFmtId="0" fontId="8" fillId="0" borderId="144" xfId="0" applyFont="1" applyBorder="1" applyAlignment="1">
      <alignment horizontal="left" vertical="justify" indent="1"/>
    </xf>
    <xf numFmtId="0" fontId="2" fillId="0" borderId="0" xfId="0" applyFont="1" applyAlignment="1">
      <alignment horizontal="justify" vertical="justify"/>
    </xf>
    <xf numFmtId="0" fontId="24" fillId="0" borderId="0" xfId="0" applyFont="1" applyBorder="1" applyAlignment="1" applyProtection="1">
      <alignment horizontal="left" indent="1"/>
      <protection hidden="1"/>
    </xf>
    <xf numFmtId="0" fontId="9" fillId="6" borderId="42" xfId="0" applyFont="1" applyFill="1" applyBorder="1" applyAlignment="1" applyProtection="1">
      <alignment horizontal="left" vertical="center"/>
      <protection hidden="1"/>
    </xf>
    <xf numFmtId="0" fontId="9" fillId="6" borderId="26" xfId="0" applyFont="1" applyFill="1" applyBorder="1" applyAlignment="1" applyProtection="1">
      <alignment horizontal="left" vertical="center"/>
      <protection hidden="1"/>
    </xf>
    <xf numFmtId="0" fontId="17" fillId="6" borderId="1" xfId="0" applyFont="1" applyFill="1" applyBorder="1" applyAlignment="1" applyProtection="1">
      <alignment horizontal="left" vertical="justify"/>
      <protection hidden="1"/>
    </xf>
    <xf numFmtId="0" fontId="2" fillId="6" borderId="6" xfId="0" applyFont="1" applyFill="1" applyBorder="1" applyProtection="1">
      <protection hidden="1"/>
    </xf>
    <xf numFmtId="0" fontId="2" fillId="6" borderId="27" xfId="0" applyFont="1" applyFill="1" applyBorder="1" applyProtection="1">
      <protection hidden="1"/>
    </xf>
    <xf numFmtId="0" fontId="0" fillId="6" borderId="27" xfId="0" applyFill="1" applyBorder="1" applyProtection="1">
      <protection hidden="1"/>
    </xf>
    <xf numFmtId="9" fontId="0" fillId="10" borderId="0" xfId="11" applyFont="1" applyFill="1" applyProtection="1">
      <protection locked="0"/>
    </xf>
    <xf numFmtId="0" fontId="71" fillId="5" borderId="4" xfId="0" applyFont="1" applyFill="1" applyBorder="1" applyAlignment="1" applyProtection="1">
      <alignment horizontal="left" vertical="center" indent="12"/>
      <protection locked="0"/>
    </xf>
    <xf numFmtId="167" fontId="3" fillId="0" borderId="1" xfId="5" applyNumberFormat="1" applyFont="1" applyFill="1" applyBorder="1" applyProtection="1">
      <protection locked="0"/>
    </xf>
    <xf numFmtId="171" fontId="0" fillId="0" borderId="0" xfId="0" applyNumberFormat="1"/>
    <xf numFmtId="171" fontId="8" fillId="5" borderId="27" xfId="4" applyNumberFormat="1" applyFont="1" applyFill="1" applyBorder="1" applyProtection="1">
      <protection locked="0"/>
    </xf>
    <xf numFmtId="0" fontId="4" fillId="0" borderId="1" xfId="0" applyFont="1" applyBorder="1" applyAlignment="1">
      <alignment vertical="center"/>
    </xf>
    <xf numFmtId="0" fontId="2" fillId="0" borderId="0" xfId="0" applyFont="1" applyProtection="1">
      <protection locked="0"/>
    </xf>
    <xf numFmtId="0" fontId="2" fillId="0" borderId="0" xfId="0" applyFont="1" applyAlignment="1" applyProtection="1">
      <alignment wrapText="1"/>
      <protection locked="0"/>
    </xf>
    <xf numFmtId="171" fontId="5" fillId="0" borderId="5" xfId="4" applyNumberFormat="1" applyFont="1" applyFill="1" applyBorder="1" applyAlignment="1" applyProtection="1">
      <alignment horizontal="center" vertical="center"/>
      <protection hidden="1"/>
    </xf>
    <xf numFmtId="0" fontId="4" fillId="6" borderId="63" xfId="0" applyFont="1" applyFill="1" applyBorder="1" applyAlignment="1" applyProtection="1">
      <alignment vertical="center"/>
      <protection hidden="1"/>
    </xf>
    <xf numFmtId="0" fontId="7" fillId="6" borderId="64" xfId="0" applyFont="1" applyFill="1" applyBorder="1" applyAlignment="1" applyProtection="1">
      <alignment horizontal="left" indent="3"/>
      <protection hidden="1"/>
    </xf>
    <xf numFmtId="171" fontId="3" fillId="5" borderId="39" xfId="4" applyNumberFormat="1" applyFont="1" applyFill="1" applyBorder="1" applyAlignment="1" applyProtection="1">
      <alignment horizontal="left"/>
      <protection locked="0"/>
    </xf>
    <xf numFmtId="167" fontId="85" fillId="0" borderId="5" xfId="5" applyNumberFormat="1" applyFont="1" applyFill="1" applyBorder="1" applyAlignment="1" applyProtection="1">
      <alignment horizontal="center"/>
      <protection hidden="1"/>
    </xf>
    <xf numFmtId="167" fontId="69" fillId="5" borderId="5" xfId="5" applyNumberFormat="1" applyFont="1" applyFill="1" applyBorder="1" applyProtection="1">
      <protection locked="0"/>
    </xf>
    <xf numFmtId="0" fontId="0" fillId="0" borderId="0" xfId="0" applyBorder="1" applyAlignment="1" applyProtection="1">
      <alignment horizontal="center"/>
      <protection hidden="1"/>
    </xf>
    <xf numFmtId="0" fontId="3" fillId="5" borderId="25" xfId="0" applyFont="1" applyFill="1" applyBorder="1" applyAlignment="1" applyProtection="1">
      <alignment horizontal="left"/>
      <protection locked="0"/>
    </xf>
    <xf numFmtId="0" fontId="3" fillId="5" borderId="40" xfId="0" applyFont="1" applyFill="1" applyBorder="1" applyAlignment="1" applyProtection="1">
      <alignment horizontal="left"/>
      <protection locked="0"/>
    </xf>
    <xf numFmtId="0" fontId="3" fillId="5" borderId="26" xfId="0" applyFont="1" applyFill="1" applyBorder="1" applyAlignment="1" applyProtection="1">
      <alignment horizontal="left"/>
      <protection locked="0"/>
    </xf>
    <xf numFmtId="0" fontId="8" fillId="5" borderId="1" xfId="0" applyFont="1" applyFill="1" applyBorder="1" applyAlignment="1" applyProtection="1">
      <alignment horizontal="center"/>
      <protection locked="0"/>
    </xf>
    <xf numFmtId="49" fontId="3" fillId="5" borderId="1" xfId="0" applyNumberFormat="1" applyFont="1" applyFill="1" applyBorder="1" applyAlignment="1" applyProtection="1">
      <alignment horizontal="center"/>
      <protection locked="0"/>
    </xf>
    <xf numFmtId="167" fontId="5" fillId="5" borderId="5" xfId="5" applyNumberFormat="1" applyFont="1" applyFill="1" applyBorder="1" applyProtection="1">
      <protection locked="0"/>
    </xf>
    <xf numFmtId="167" fontId="5" fillId="5" borderId="5" xfId="5" applyNumberFormat="1" applyFont="1" applyFill="1" applyBorder="1" applyAlignment="1" applyProtection="1">
      <alignment vertical="center"/>
      <protection locked="0"/>
    </xf>
    <xf numFmtId="0" fontId="17" fillId="0" borderId="1" xfId="0" applyFont="1" applyFill="1" applyBorder="1" applyAlignment="1" applyProtection="1">
      <alignment horizontal="center" vertical="justify"/>
      <protection hidden="1"/>
    </xf>
    <xf numFmtId="171" fontId="24" fillId="0" borderId="1" xfId="4" applyNumberFormat="1" applyFont="1" applyFill="1" applyBorder="1" applyAlignment="1" applyProtection="1">
      <alignment horizontal="left"/>
      <protection hidden="1"/>
    </xf>
    <xf numFmtId="171" fontId="8" fillId="5" borderId="5" xfId="4" applyNumberFormat="1" applyFont="1" applyFill="1" applyBorder="1" applyProtection="1">
      <protection locked="0"/>
    </xf>
    <xf numFmtId="0" fontId="6" fillId="0" borderId="0" xfId="0" applyFont="1" applyBorder="1" applyAlignment="1" applyProtection="1">
      <alignment horizontal="center"/>
      <protection hidden="1"/>
    </xf>
    <xf numFmtId="171" fontId="15" fillId="0" borderId="0" xfId="4" applyNumberFormat="1" applyFont="1" applyBorder="1" applyProtection="1">
      <protection hidden="1"/>
    </xf>
    <xf numFmtId="0" fontId="20" fillId="5" borderId="28" xfId="0" applyFont="1" applyFill="1" applyBorder="1" applyAlignment="1" applyProtection="1">
      <alignment horizontal="left" vertical="center"/>
      <protection locked="0"/>
    </xf>
    <xf numFmtId="0" fontId="20" fillId="6" borderId="4" xfId="0" applyFont="1" applyFill="1" applyBorder="1" applyAlignment="1" applyProtection="1">
      <alignment horizontal="left" vertical="justify"/>
      <protection hidden="1"/>
    </xf>
    <xf numFmtId="0" fontId="20" fillId="6" borderId="1" xfId="0" applyFont="1" applyFill="1" applyBorder="1" applyAlignment="1" applyProtection="1">
      <alignment horizontal="left" vertical="justify"/>
      <protection hidden="1"/>
    </xf>
    <xf numFmtId="0" fontId="9" fillId="6" borderId="4" xfId="0" applyFont="1" applyFill="1" applyBorder="1" applyAlignment="1" applyProtection="1">
      <alignment horizontal="left" vertical="center"/>
      <protection hidden="1"/>
    </xf>
    <xf numFmtId="0" fontId="9" fillId="6" borderId="4" xfId="0" applyFont="1" applyFill="1" applyBorder="1" applyAlignment="1" applyProtection="1">
      <alignment horizontal="left" vertical="justify"/>
      <protection hidden="1"/>
    </xf>
    <xf numFmtId="0" fontId="9" fillId="6" borderId="1" xfId="0" applyFont="1" applyFill="1" applyBorder="1" applyAlignment="1" applyProtection="1">
      <alignment horizontal="left" vertical="justify"/>
      <protection hidden="1"/>
    </xf>
    <xf numFmtId="0" fontId="14" fillId="6" borderId="4" xfId="0" applyFont="1" applyFill="1" applyBorder="1" applyAlignment="1" applyProtection="1">
      <alignment horizontal="left" vertical="justify"/>
      <protection hidden="1"/>
    </xf>
    <xf numFmtId="0" fontId="8" fillId="0" borderId="4" xfId="0" applyFont="1" applyBorder="1" applyAlignment="1" applyProtection="1">
      <alignment horizontal="justify" vertical="justify"/>
      <protection hidden="1"/>
    </xf>
    <xf numFmtId="0" fontId="7" fillId="6" borderId="0" xfId="0" applyFont="1" applyFill="1" applyBorder="1" applyAlignment="1" applyProtection="1">
      <alignment horizontal="center"/>
      <protection hidden="1"/>
    </xf>
    <xf numFmtId="0" fontId="14" fillId="6" borderId="27" xfId="0" applyFont="1" applyFill="1" applyBorder="1" applyAlignment="1" applyProtection="1">
      <alignment horizontal="left" vertical="justify"/>
      <protection hidden="1"/>
    </xf>
    <xf numFmtId="171" fontId="5" fillId="0" borderId="5" xfId="4" applyNumberFormat="1" applyFont="1" applyFill="1" applyBorder="1" applyAlignment="1" applyProtection="1">
      <alignment horizontal="center"/>
      <protection hidden="1"/>
    </xf>
    <xf numFmtId="171" fontId="5" fillId="0" borderId="7" xfId="4" applyNumberFormat="1" applyFont="1" applyFill="1" applyBorder="1" applyAlignment="1" applyProtection="1">
      <alignment horizontal="center"/>
      <protection hidden="1"/>
    </xf>
    <xf numFmtId="171" fontId="8" fillId="0" borderId="0" xfId="4" applyNumberFormat="1" applyFont="1" applyFill="1" applyBorder="1" applyAlignment="1" applyProtection="1">
      <alignment horizontal="center"/>
      <protection hidden="1"/>
    </xf>
    <xf numFmtId="0" fontId="25" fillId="0" borderId="0" xfId="0" applyFont="1" applyBorder="1" applyAlignment="1">
      <alignment horizontal="left" vertical="center" indent="2"/>
    </xf>
    <xf numFmtId="0" fontId="2" fillId="0" borderId="0" xfId="0" applyFont="1" applyBorder="1" applyAlignment="1">
      <alignment horizontal="left" vertical="center" indent="2"/>
    </xf>
    <xf numFmtId="0" fontId="17" fillId="0" borderId="1" xfId="0" applyFont="1" applyFill="1" applyBorder="1" applyAlignment="1" applyProtection="1">
      <alignment horizontal="center" vertical="center"/>
      <protection hidden="1"/>
    </xf>
    <xf numFmtId="0" fontId="25" fillId="0" borderId="143" xfId="0" applyFont="1" applyBorder="1" applyAlignment="1">
      <alignment horizontal="justify" vertical="justify"/>
    </xf>
    <xf numFmtId="0" fontId="25" fillId="0" borderId="143" xfId="0" applyFont="1" applyBorder="1" applyAlignment="1">
      <alignment horizontal="justify" vertical="center"/>
    </xf>
    <xf numFmtId="0" fontId="2" fillId="0" borderId="143" xfId="0" applyFont="1" applyBorder="1" applyAlignment="1">
      <alignment horizontal="justify" vertical="center"/>
    </xf>
    <xf numFmtId="0" fontId="8" fillId="0" borderId="143" xfId="0" applyFont="1" applyBorder="1" applyAlignment="1">
      <alignment horizontal="left" vertical="center" indent="2"/>
    </xf>
    <xf numFmtId="0" fontId="25" fillId="0" borderId="143" xfId="0" applyFont="1" applyBorder="1" applyAlignment="1">
      <alignment horizontal="left" vertical="justify" indent="2"/>
    </xf>
    <xf numFmtId="0" fontId="25" fillId="0" borderId="143" xfId="0" applyFont="1" applyBorder="1" applyAlignment="1">
      <alignment horizontal="left" vertical="center" indent="2"/>
    </xf>
    <xf numFmtId="0" fontId="25" fillId="0" borderId="143" xfId="0" applyFont="1" applyBorder="1" applyAlignment="1">
      <alignment vertical="justify"/>
    </xf>
    <xf numFmtId="0" fontId="2" fillId="0" borderId="143" xfId="0" applyFont="1" applyBorder="1" applyAlignment="1" applyProtection="1">
      <alignment horizontal="left" indent="1"/>
      <protection hidden="1"/>
    </xf>
    <xf numFmtId="0" fontId="25" fillId="0" borderId="143" xfId="0" applyFont="1" applyBorder="1" applyAlignment="1" applyProtection="1">
      <alignment horizontal="left" indent="1"/>
      <protection hidden="1"/>
    </xf>
    <xf numFmtId="171" fontId="8" fillId="21" borderId="136" xfId="4" applyNumberFormat="1" applyFont="1" applyFill="1" applyBorder="1" applyProtection="1">
      <protection hidden="1"/>
    </xf>
    <xf numFmtId="0" fontId="0" fillId="21" borderId="0" xfId="0" applyFill="1" applyBorder="1" applyAlignment="1" applyProtection="1">
      <alignment horizontal="center"/>
      <protection hidden="1"/>
    </xf>
    <xf numFmtId="0" fontId="75" fillId="0" borderId="143" xfId="0" applyFont="1" applyBorder="1" applyAlignment="1" applyProtection="1">
      <alignment horizontal="left"/>
      <protection hidden="1"/>
    </xf>
    <xf numFmtId="0" fontId="68" fillId="0" borderId="143" xfId="0" applyFont="1" applyBorder="1" applyAlignment="1" applyProtection="1">
      <alignment horizontal="left" wrapText="1"/>
      <protection hidden="1"/>
    </xf>
    <xf numFmtId="0" fontId="2" fillId="0" borderId="143" xfId="0" applyFont="1" applyBorder="1" applyAlignment="1">
      <alignment horizontal="left" vertical="center" indent="1"/>
    </xf>
    <xf numFmtId="167" fontId="4" fillId="5" borderId="1" xfId="5" applyNumberFormat="1" applyFont="1" applyFill="1" applyBorder="1" applyAlignment="1" applyProtection="1">
      <alignment vertical="center"/>
      <protection locked="0"/>
    </xf>
    <xf numFmtId="0" fontId="4" fillId="0" borderId="29" xfId="0" applyFont="1" applyBorder="1"/>
    <xf numFmtId="0" fontId="2" fillId="10" borderId="29" xfId="0" applyFont="1" applyFill="1" applyBorder="1" applyAlignment="1">
      <alignment horizontal="center"/>
    </xf>
    <xf numFmtId="0" fontId="25" fillId="0" borderId="0" xfId="0" applyFont="1" applyBorder="1" applyAlignment="1">
      <alignment horizontal="justify" vertical="justify"/>
    </xf>
    <xf numFmtId="0" fontId="8" fillId="0" borderId="0" xfId="0" applyFont="1" applyBorder="1" applyAlignment="1">
      <alignment vertical="center"/>
    </xf>
    <xf numFmtId="171" fontId="8" fillId="0" borderId="15" xfId="4" applyNumberFormat="1" applyFont="1" applyFill="1" applyBorder="1" applyAlignment="1" applyProtection="1">
      <alignment horizontal="center"/>
      <protection hidden="1"/>
    </xf>
    <xf numFmtId="0" fontId="4" fillId="0" borderId="0" xfId="0" applyFont="1" applyBorder="1"/>
    <xf numFmtId="171" fontId="0" fillId="0" borderId="15" xfId="4" applyNumberFormat="1" applyFont="1" applyFill="1" applyBorder="1"/>
    <xf numFmtId="0" fontId="75" fillId="0" borderId="0" xfId="0" applyFont="1" applyFill="1" applyBorder="1" applyAlignment="1">
      <alignment horizontal="right" textRotation="90"/>
    </xf>
    <xf numFmtId="0" fontId="0" fillId="0" borderId="15" xfId="0" applyBorder="1" applyAlignment="1">
      <alignment horizontal="center"/>
    </xf>
    <xf numFmtId="0" fontId="6" fillId="0" borderId="14" xfId="0" applyFont="1" applyFill="1" applyBorder="1" applyAlignment="1" applyProtection="1">
      <alignment horizontal="center"/>
      <protection hidden="1"/>
    </xf>
    <xf numFmtId="0" fontId="9" fillId="10" borderId="14" xfId="0" applyFont="1" applyFill="1" applyBorder="1" applyAlignment="1" applyProtection="1">
      <alignment wrapText="1"/>
      <protection hidden="1"/>
    </xf>
    <xf numFmtId="0" fontId="6" fillId="0" borderId="14" xfId="0" applyFont="1" applyBorder="1" applyAlignment="1" applyProtection="1">
      <alignment horizontal="left"/>
      <protection hidden="1"/>
    </xf>
    <xf numFmtId="0" fontId="6" fillId="0" borderId="14" xfId="0" applyFont="1" applyFill="1" applyBorder="1" applyAlignment="1" applyProtection="1">
      <alignment horizontal="left"/>
      <protection hidden="1"/>
    </xf>
    <xf numFmtId="0" fontId="25" fillId="0" borderId="14" xfId="0" applyFont="1" applyBorder="1"/>
    <xf numFmtId="0" fontId="25" fillId="0" borderId="14" xfId="0" applyFont="1" applyBorder="1" applyAlignment="1">
      <alignment horizontal="center" vertical="center"/>
    </xf>
    <xf numFmtId="0" fontId="6" fillId="0" borderId="14" xfId="0" applyFont="1" applyFill="1" applyBorder="1" applyAlignment="1">
      <alignment horizontal="left" vertical="justify"/>
    </xf>
    <xf numFmtId="0" fontId="6" fillId="0" borderId="14" xfId="0" applyFont="1" applyBorder="1" applyAlignment="1">
      <alignment horizontal="left" vertical="justify"/>
    </xf>
    <xf numFmtId="171" fontId="0" fillId="0" borderId="148" xfId="4" applyNumberFormat="1" applyFont="1" applyBorder="1"/>
    <xf numFmtId="171" fontId="0" fillId="0" borderId="149" xfId="4" applyNumberFormat="1" applyFont="1" applyBorder="1"/>
    <xf numFmtId="171" fontId="25" fillId="0" borderId="149" xfId="4" applyNumberFormat="1" applyFont="1" applyBorder="1"/>
    <xf numFmtId="171" fontId="0" fillId="0" borderId="147" xfId="4" applyNumberFormat="1" applyFont="1" applyBorder="1"/>
    <xf numFmtId="171" fontId="24" fillId="0" borderId="150" xfId="4" applyNumberFormat="1" applyFont="1" applyBorder="1" applyAlignment="1" applyProtection="1">
      <alignment horizontal="left"/>
      <protection hidden="1"/>
    </xf>
    <xf numFmtId="171" fontId="24" fillId="0" borderId="151" xfId="4" applyNumberFormat="1" applyFont="1" applyBorder="1" applyAlignment="1" applyProtection="1">
      <alignment horizontal="left"/>
      <protection hidden="1"/>
    </xf>
    <xf numFmtId="0" fontId="0" fillId="0" borderId="150" xfId="0" applyBorder="1"/>
    <xf numFmtId="171" fontId="8" fillId="0" borderId="151" xfId="4" applyNumberFormat="1" applyFont="1" applyBorder="1"/>
    <xf numFmtId="171" fontId="8" fillId="0" borderId="152" xfId="4" applyNumberFormat="1" applyFont="1" applyBorder="1"/>
    <xf numFmtId="0" fontId="0" fillId="0" borderId="153" xfId="0" applyBorder="1"/>
    <xf numFmtId="171" fontId="0" fillId="0" borderId="151" xfId="4" applyNumberFormat="1" applyFont="1" applyBorder="1"/>
    <xf numFmtId="171" fontId="0" fillId="0" borderId="154" xfId="4" applyNumberFormat="1" applyFont="1" applyBorder="1"/>
    <xf numFmtId="171" fontId="0" fillId="0" borderId="150" xfId="4" applyNumberFormat="1" applyFont="1" applyBorder="1"/>
    <xf numFmtId="171" fontId="0" fillId="0" borderId="155" xfId="4" applyNumberFormat="1" applyFont="1" applyBorder="1"/>
    <xf numFmtId="0" fontId="0" fillId="0" borderId="151" xfId="0" applyBorder="1"/>
    <xf numFmtId="0" fontId="25" fillId="0" borderId="143" xfId="0" applyFont="1" applyFill="1" applyBorder="1" applyAlignment="1" applyProtection="1">
      <alignment horizontal="left" indent="1"/>
      <protection hidden="1"/>
    </xf>
    <xf numFmtId="171" fontId="75" fillId="0" borderId="150" xfId="0" applyNumberFormat="1" applyFont="1" applyFill="1" applyBorder="1"/>
    <xf numFmtId="171" fontId="75" fillId="0" borderId="150" xfId="4" applyNumberFormat="1" applyFont="1" applyBorder="1"/>
    <xf numFmtId="171" fontId="75" fillId="0" borderId="155" xfId="4" applyNumberFormat="1" applyFont="1" applyBorder="1" applyAlignment="1">
      <alignment vertical="center"/>
    </xf>
    <xf numFmtId="171" fontId="75" fillId="0" borderId="150" xfId="4" applyNumberFormat="1" applyFont="1" applyBorder="1" applyAlignment="1">
      <alignment vertical="center"/>
    </xf>
    <xf numFmtId="171" fontId="0" fillId="0" borderId="156" xfId="4" applyNumberFormat="1" applyFont="1" applyBorder="1"/>
    <xf numFmtId="171" fontId="0" fillId="0" borderId="157" xfId="4" applyNumberFormat="1" applyFont="1" applyBorder="1"/>
    <xf numFmtId="171" fontId="0" fillId="0" borderId="158" xfId="4" applyNumberFormat="1" applyFont="1" applyBorder="1"/>
    <xf numFmtId="171" fontId="86" fillId="0" borderId="151" xfId="4" applyNumberFormat="1" applyFont="1" applyBorder="1"/>
    <xf numFmtId="171" fontId="2" fillId="0" borderId="151" xfId="4" applyNumberFormat="1" applyFont="1" applyBorder="1"/>
    <xf numFmtId="0" fontId="25" fillId="0" borderId="143" xfId="0" applyFont="1" applyBorder="1" applyAlignment="1" applyProtection="1">
      <alignment horizontal="left" indent="3"/>
      <protection hidden="1"/>
    </xf>
    <xf numFmtId="171" fontId="75" fillId="0" borderId="151" xfId="4" applyNumberFormat="1" applyFont="1" applyBorder="1"/>
    <xf numFmtId="171" fontId="75" fillId="0" borderId="159" xfId="4" applyNumberFormat="1" applyFont="1" applyBorder="1" applyAlignment="1">
      <alignment vertical="center"/>
    </xf>
    <xf numFmtId="171" fontId="0" fillId="0" borderId="159" xfId="4" applyNumberFormat="1" applyFont="1" applyBorder="1"/>
    <xf numFmtId="171" fontId="2" fillId="0" borderId="160" xfId="4" applyNumberFormat="1" applyFont="1" applyFill="1" applyBorder="1" applyAlignment="1" applyProtection="1">
      <alignment horizontal="left"/>
      <protection hidden="1"/>
    </xf>
    <xf numFmtId="0" fontId="0" fillId="0" borderId="148" xfId="0" applyBorder="1"/>
    <xf numFmtId="171" fontId="3" fillId="0" borderId="147" xfId="4" applyNumberFormat="1" applyFont="1" applyBorder="1"/>
    <xf numFmtId="171" fontId="0" fillId="0" borderId="160" xfId="4" applyNumberFormat="1" applyFont="1" applyBorder="1"/>
    <xf numFmtId="0" fontId="24" fillId="0" borderId="0" xfId="0" applyFont="1" applyFill="1" applyBorder="1" applyAlignment="1" applyProtection="1">
      <alignment horizontal="left" indent="1"/>
      <protection hidden="1"/>
    </xf>
    <xf numFmtId="171" fontId="0" fillId="0" borderId="160" xfId="0" applyNumberFormat="1" applyFill="1" applyBorder="1"/>
    <xf numFmtId="0" fontId="2" fillId="10" borderId="1" xfId="0" applyFont="1" applyFill="1" applyBorder="1" applyAlignment="1">
      <alignment horizontal="center" vertical="center"/>
    </xf>
    <xf numFmtId="167" fontId="0" fillId="5" borderId="1" xfId="5" applyNumberFormat="1" applyFont="1" applyFill="1" applyBorder="1" applyProtection="1">
      <protection locked="0"/>
    </xf>
    <xf numFmtId="167" fontId="0" fillId="5" borderId="27" xfId="5" applyNumberFormat="1" applyFont="1" applyFill="1" applyBorder="1" applyProtection="1">
      <protection locked="0"/>
    </xf>
    <xf numFmtId="167" fontId="3" fillId="0" borderId="1" xfId="5" applyNumberFormat="1" applyFont="1" applyFill="1" applyBorder="1" applyProtection="1">
      <protection hidden="1"/>
    </xf>
    <xf numFmtId="0" fontId="3" fillId="5" borderId="4" xfId="0" applyFont="1" applyFill="1" applyBorder="1" applyAlignment="1" applyProtection="1">
      <alignment horizontal="left"/>
      <protection locked="0"/>
    </xf>
    <xf numFmtId="167" fontId="3" fillId="5" borderId="1" xfId="5" applyNumberFormat="1" applyFont="1" applyFill="1" applyBorder="1" applyAlignment="1" applyProtection="1">
      <alignment horizontal="right"/>
      <protection locked="0"/>
    </xf>
    <xf numFmtId="0" fontId="3" fillId="5" borderId="1" xfId="0" applyFont="1" applyFill="1" applyBorder="1" applyAlignment="1" applyProtection="1">
      <alignment horizontal="left"/>
      <protection locked="0"/>
    </xf>
    <xf numFmtId="171" fontId="0" fillId="5" borderId="127" xfId="4" applyNumberFormat="1" applyFont="1" applyFill="1" applyBorder="1" applyProtection="1">
      <protection locked="0"/>
    </xf>
    <xf numFmtId="171" fontId="0" fillId="5" borderId="128" xfId="4" applyNumberFormat="1" applyFont="1" applyFill="1" applyBorder="1" applyProtection="1">
      <protection locked="0"/>
    </xf>
    <xf numFmtId="171" fontId="10" fillId="5" borderId="129" xfId="4" applyNumberFormat="1" applyFont="1" applyFill="1" applyBorder="1" applyAlignment="1" applyProtection="1">
      <alignment horizontal="center"/>
      <protection locked="0"/>
    </xf>
    <xf numFmtId="171" fontId="10" fillId="5" borderId="130" xfId="4" applyNumberFormat="1" applyFont="1" applyFill="1" applyBorder="1" applyAlignment="1" applyProtection="1">
      <alignment horizontal="center"/>
      <protection locked="0"/>
    </xf>
    <xf numFmtId="171" fontId="3" fillId="5" borderId="1" xfId="4" applyNumberFormat="1" applyFont="1" applyFill="1" applyBorder="1" applyAlignment="1" applyProtection="1">
      <alignment horizontal="right"/>
      <protection locked="0"/>
    </xf>
    <xf numFmtId="167" fontId="10" fillId="0" borderId="0" xfId="5" applyNumberFormat="1" applyFont="1" applyFill="1" applyBorder="1" applyAlignment="1" applyProtection="1">
      <alignment horizontal="center"/>
      <protection locked="0"/>
    </xf>
    <xf numFmtId="171" fontId="0" fillId="5" borderId="1" xfId="4" applyNumberFormat="1" applyFont="1" applyFill="1" applyBorder="1" applyAlignment="1" applyProtection="1">
      <alignment vertical="center"/>
      <protection locked="0"/>
    </xf>
    <xf numFmtId="0" fontId="0" fillId="5" borderId="3" xfId="0" applyFill="1" applyBorder="1" applyProtection="1">
      <protection locked="0"/>
    </xf>
    <xf numFmtId="0" fontId="0" fillId="5" borderId="7" xfId="0" applyFill="1" applyBorder="1" applyProtection="1">
      <protection locked="0"/>
    </xf>
    <xf numFmtId="0" fontId="0" fillId="0" borderId="94" xfId="0" applyBorder="1" applyProtection="1">
      <protection locked="0"/>
    </xf>
    <xf numFmtId="0" fontId="0" fillId="0" borderId="90" xfId="0" applyBorder="1" applyProtection="1">
      <protection hidden="1"/>
    </xf>
    <xf numFmtId="0" fontId="0" fillId="0" borderId="92" xfId="0" applyBorder="1" applyProtection="1">
      <protection hidden="1"/>
    </xf>
    <xf numFmtId="0" fontId="2" fillId="0" borderId="13" xfId="0" applyFont="1" applyBorder="1" applyProtection="1">
      <protection hidden="1"/>
    </xf>
    <xf numFmtId="0" fontId="14" fillId="0" borderId="64" xfId="0" applyFont="1" applyBorder="1" applyAlignment="1" applyProtection="1">
      <alignment horizontal="center" vertical="justify"/>
      <protection hidden="1"/>
    </xf>
    <xf numFmtId="0" fontId="2" fillId="0" borderId="21" xfId="0" applyFont="1" applyBorder="1" applyProtection="1">
      <protection hidden="1"/>
    </xf>
    <xf numFmtId="0" fontId="17" fillId="0" borderId="27" xfId="0" applyFont="1" applyFill="1" applyBorder="1" applyAlignment="1" applyProtection="1">
      <alignment horizontal="center" vertical="justify"/>
      <protection hidden="1"/>
    </xf>
    <xf numFmtId="0" fontId="15" fillId="0" borderId="4" xfId="0" applyFont="1" applyBorder="1" applyProtection="1">
      <protection hidden="1"/>
    </xf>
    <xf numFmtId="0" fontId="0" fillId="0" borderId="14" xfId="0" applyBorder="1" applyProtection="1">
      <protection hidden="1"/>
    </xf>
    <xf numFmtId="171" fontId="27" fillId="0" borderId="1" xfId="4" applyNumberFormat="1" applyFont="1" applyFill="1" applyBorder="1" applyAlignment="1" applyProtection="1">
      <alignment vertical="center"/>
      <protection hidden="1"/>
    </xf>
    <xf numFmtId="171" fontId="0" fillId="0" borderId="0" xfId="4" applyNumberFormat="1" applyFont="1" applyFill="1" applyBorder="1" applyProtection="1">
      <protection hidden="1"/>
    </xf>
    <xf numFmtId="171" fontId="16" fillId="0" borderId="43" xfId="4" applyNumberFormat="1" applyFont="1" applyFill="1" applyBorder="1" applyProtection="1">
      <protection hidden="1"/>
    </xf>
    <xf numFmtId="167" fontId="0" fillId="0" borderId="1" xfId="5" applyNumberFormat="1" applyFont="1" applyBorder="1" applyProtection="1">
      <protection hidden="1"/>
    </xf>
    <xf numFmtId="167" fontId="8" fillId="0" borderId="1" xfId="5" applyNumberFormat="1" applyFont="1" applyBorder="1" applyProtection="1">
      <protection hidden="1"/>
    </xf>
    <xf numFmtId="173" fontId="25" fillId="0" borderId="1" xfId="5" applyNumberFormat="1" applyFont="1" applyBorder="1" applyAlignment="1" applyProtection="1">
      <alignment horizontal="right"/>
      <protection hidden="1"/>
    </xf>
    <xf numFmtId="0" fontId="77" fillId="5" borderId="45" xfId="0" applyFont="1" applyFill="1" applyBorder="1" applyAlignment="1" applyProtection="1">
      <alignment horizontal="center" vertical="center"/>
      <protection locked="0"/>
    </xf>
    <xf numFmtId="171" fontId="17" fillId="0" borderId="32" xfId="4" applyNumberFormat="1" applyFont="1" applyFill="1" applyBorder="1" applyAlignment="1" applyProtection="1">
      <alignment horizontal="center"/>
      <protection locked="0"/>
    </xf>
    <xf numFmtId="0" fontId="14" fillId="6" borderId="4" xfId="0" applyFont="1" applyFill="1" applyBorder="1" applyAlignment="1" applyProtection="1">
      <alignment horizontal="left" vertical="justify"/>
      <protection hidden="1"/>
    </xf>
    <xf numFmtId="0" fontId="6" fillId="18" borderId="0" xfId="0" applyFont="1" applyFill="1" applyBorder="1" applyAlignment="1" applyProtection="1">
      <alignment horizontal="center"/>
      <protection hidden="1"/>
    </xf>
    <xf numFmtId="171" fontId="8" fillId="18" borderId="0" xfId="4" applyNumberFormat="1" applyFont="1" applyFill="1" applyBorder="1" applyAlignment="1" applyProtection="1">
      <alignment horizontal="center"/>
      <protection hidden="1"/>
    </xf>
    <xf numFmtId="171" fontId="8" fillId="18" borderId="15" xfId="4" applyNumberFormat="1" applyFont="1" applyFill="1" applyBorder="1" applyAlignment="1" applyProtection="1">
      <alignment horizontal="center"/>
      <protection hidden="1"/>
    </xf>
    <xf numFmtId="14" fontId="68" fillId="0" borderId="24" xfId="0" applyNumberFormat="1" applyFont="1" applyFill="1" applyBorder="1" applyAlignment="1">
      <alignment horizontal="center"/>
    </xf>
    <xf numFmtId="14" fontId="68" fillId="0" borderId="1" xfId="0" applyNumberFormat="1" applyFont="1" applyFill="1" applyBorder="1" applyAlignment="1">
      <alignment horizontal="center"/>
    </xf>
    <xf numFmtId="167" fontId="6" fillId="0" borderId="22" xfId="0" applyNumberFormat="1" applyFont="1" applyFill="1" applyBorder="1" applyAlignment="1" applyProtection="1">
      <alignment horizontal="left"/>
      <protection hidden="1"/>
    </xf>
    <xf numFmtId="171" fontId="2" fillId="0" borderId="151" xfId="4" applyNumberFormat="1" applyFont="1" applyBorder="1" applyAlignment="1" applyProtection="1">
      <alignment horizontal="left"/>
      <protection hidden="1"/>
    </xf>
    <xf numFmtId="0" fontId="4" fillId="0" borderId="0" xfId="0" applyFont="1" applyBorder="1" applyAlignment="1">
      <alignment vertical="justify"/>
    </xf>
    <xf numFmtId="0" fontId="2" fillId="0" borderId="16" xfId="0" applyFont="1" applyBorder="1" applyProtection="1">
      <protection hidden="1"/>
    </xf>
    <xf numFmtId="167" fontId="38" fillId="0" borderId="1" xfId="5" applyNumberFormat="1" applyFont="1" applyFill="1" applyBorder="1" applyProtection="1">
      <protection hidden="1"/>
    </xf>
    <xf numFmtId="167" fontId="0" fillId="0" borderId="24" xfId="0" applyNumberFormat="1" applyBorder="1" applyAlignment="1" applyProtection="1">
      <alignment horizontal="center"/>
      <protection hidden="1"/>
    </xf>
    <xf numFmtId="0" fontId="0" fillId="0" borderId="1" xfId="0" applyBorder="1" applyAlignment="1" applyProtection="1">
      <alignment horizontal="center"/>
      <protection hidden="1"/>
    </xf>
    <xf numFmtId="0" fontId="0" fillId="0" borderId="0" xfId="0" applyAlignment="1" applyProtection="1">
      <alignment horizontal="center"/>
      <protection hidden="1"/>
    </xf>
    <xf numFmtId="0" fontId="0" fillId="0" borderId="0" xfId="0" applyBorder="1" applyAlignment="1" applyProtection="1">
      <alignment horizontal="center"/>
      <protection hidden="1"/>
    </xf>
    <xf numFmtId="0" fontId="74" fillId="0" borderId="0" xfId="0" applyFont="1" applyBorder="1" applyAlignment="1" applyProtection="1">
      <alignment horizontal="center"/>
      <protection hidden="1"/>
    </xf>
    <xf numFmtId="0" fontId="2" fillId="0" borderId="0" xfId="0" applyFont="1" applyBorder="1" applyAlignment="1">
      <alignment horizontal="left"/>
    </xf>
    <xf numFmtId="0" fontId="0" fillId="0" borderId="0" xfId="0" applyBorder="1" applyAlignment="1">
      <alignment horizontal="left"/>
    </xf>
    <xf numFmtId="0" fontId="2" fillId="0" borderId="0" xfId="0" applyFont="1" applyBorder="1" applyAlignment="1" applyProtection="1">
      <alignment horizontal="left" vertical="center"/>
      <protection hidden="1"/>
    </xf>
    <xf numFmtId="0" fontId="0" fillId="22" borderId="0" xfId="0" applyFill="1" applyBorder="1" applyAlignment="1" applyProtection="1">
      <alignment horizontal="center"/>
      <protection hidden="1"/>
    </xf>
    <xf numFmtId="0" fontId="0" fillId="0" borderId="162" xfId="0" applyBorder="1" applyAlignment="1" applyProtection="1">
      <alignment horizontal="center"/>
      <protection hidden="1"/>
    </xf>
    <xf numFmtId="171" fontId="8" fillId="0" borderId="162" xfId="4" applyNumberFormat="1" applyFont="1" applyBorder="1" applyProtection="1">
      <protection hidden="1"/>
    </xf>
    <xf numFmtId="0" fontId="2" fillId="0" borderId="163" xfId="0" applyFont="1" applyBorder="1" applyAlignment="1" applyProtection="1">
      <alignment horizontal="left"/>
      <protection hidden="1"/>
    </xf>
    <xf numFmtId="0" fontId="0" fillId="0" borderId="163" xfId="0" applyBorder="1" applyAlignment="1" applyProtection="1">
      <alignment horizontal="left"/>
      <protection hidden="1"/>
    </xf>
    <xf numFmtId="0" fontId="0" fillId="0" borderId="163" xfId="0" applyBorder="1" applyAlignment="1" applyProtection="1">
      <alignment horizontal="center"/>
      <protection hidden="1"/>
    </xf>
    <xf numFmtId="171" fontId="8" fillId="0" borderId="163" xfId="4" applyNumberFormat="1" applyFont="1" applyBorder="1" applyProtection="1">
      <protection hidden="1"/>
    </xf>
    <xf numFmtId="0" fontId="2" fillId="0" borderId="164" xfId="0" applyFont="1" applyBorder="1" applyAlignment="1" applyProtection="1">
      <alignment horizontal="left"/>
      <protection hidden="1"/>
    </xf>
    <xf numFmtId="0" fontId="0" fillId="0" borderId="164" xfId="0" applyBorder="1" applyAlignment="1" applyProtection="1">
      <alignment horizontal="left"/>
      <protection hidden="1"/>
    </xf>
    <xf numFmtId="0" fontId="0" fillId="0" borderId="164" xfId="0" applyBorder="1" applyAlignment="1" applyProtection="1">
      <alignment horizontal="center"/>
      <protection hidden="1"/>
    </xf>
    <xf numFmtId="171" fontId="8" fillId="0" borderId="164" xfId="4" applyNumberFormat="1" applyFont="1" applyBorder="1" applyProtection="1">
      <protection hidden="1"/>
    </xf>
    <xf numFmtId="0" fontId="9" fillId="22" borderId="163" xfId="0" applyFont="1" applyFill="1" applyBorder="1" applyAlignment="1" applyProtection="1">
      <alignment horizontal="left"/>
      <protection hidden="1"/>
    </xf>
    <xf numFmtId="0" fontId="0" fillId="22" borderId="163" xfId="0" applyFill="1" applyBorder="1" applyAlignment="1" applyProtection="1">
      <alignment horizontal="center"/>
      <protection hidden="1"/>
    </xf>
    <xf numFmtId="171" fontId="8" fillId="22" borderId="163" xfId="4" applyNumberFormat="1" applyFont="1" applyFill="1" applyBorder="1" applyProtection="1">
      <protection hidden="1"/>
    </xf>
    <xf numFmtId="0" fontId="0" fillId="22" borderId="162" xfId="0" applyFill="1" applyBorder="1" applyAlignment="1" applyProtection="1">
      <alignment horizontal="center"/>
      <protection hidden="1"/>
    </xf>
    <xf numFmtId="171" fontId="8" fillId="22" borderId="162" xfId="4" applyNumberFormat="1" applyFont="1" applyFill="1" applyBorder="1" applyProtection="1">
      <protection hidden="1"/>
    </xf>
    <xf numFmtId="0" fontId="25" fillId="0" borderId="163" xfId="0" applyFont="1" applyBorder="1" applyAlignment="1" applyProtection="1">
      <alignment horizontal="left"/>
      <protection hidden="1"/>
    </xf>
    <xf numFmtId="0" fontId="8" fillId="22" borderId="163" xfId="0" applyFont="1" applyFill="1" applyBorder="1" applyAlignment="1" applyProtection="1">
      <alignment horizontal="left"/>
      <protection hidden="1"/>
    </xf>
    <xf numFmtId="0" fontId="0" fillId="22" borderId="164" xfId="0" applyFill="1" applyBorder="1" applyAlignment="1" applyProtection="1">
      <alignment horizontal="center"/>
      <protection hidden="1"/>
    </xf>
    <xf numFmtId="171" fontId="8" fillId="22" borderId="164" xfId="4" applyNumberFormat="1" applyFont="1" applyFill="1" applyBorder="1" applyProtection="1">
      <protection hidden="1"/>
    </xf>
    <xf numFmtId="0" fontId="0" fillId="17" borderId="0" xfId="0" applyFill="1" applyProtection="1">
      <protection hidden="1"/>
    </xf>
    <xf numFmtId="0" fontId="8" fillId="17" borderId="0" xfId="0" applyFont="1" applyFill="1" applyBorder="1" applyAlignment="1" applyProtection="1">
      <alignment horizontal="left"/>
      <protection hidden="1"/>
    </xf>
    <xf numFmtId="0" fontId="2" fillId="22" borderId="0" xfId="0" applyFont="1" applyFill="1" applyBorder="1" applyAlignment="1" applyProtection="1">
      <alignment horizontal="left"/>
      <protection hidden="1"/>
    </xf>
    <xf numFmtId="0" fontId="0" fillId="22" borderId="0" xfId="0" applyFill="1" applyBorder="1" applyAlignment="1" applyProtection="1">
      <alignment horizontal="left"/>
      <protection hidden="1"/>
    </xf>
    <xf numFmtId="0" fontId="2" fillId="22" borderId="170" xfId="0" applyFont="1" applyFill="1" applyBorder="1" applyAlignment="1" applyProtection="1">
      <alignment horizontal="left"/>
      <protection hidden="1"/>
    </xf>
    <xf numFmtId="0" fontId="0" fillId="22" borderId="170" xfId="0" applyFill="1" applyBorder="1" applyAlignment="1" applyProtection="1">
      <alignment horizontal="left"/>
      <protection hidden="1"/>
    </xf>
    <xf numFmtId="171" fontId="8" fillId="22" borderId="173" xfId="4" applyNumberFormat="1" applyFont="1" applyFill="1" applyBorder="1" applyProtection="1">
      <protection hidden="1"/>
    </xf>
    <xf numFmtId="171" fontId="8" fillId="0" borderId="166" xfId="4" applyNumberFormat="1" applyFont="1" applyBorder="1" applyProtection="1">
      <protection hidden="1"/>
    </xf>
    <xf numFmtId="171" fontId="8" fillId="22" borderId="166" xfId="4" applyNumberFormat="1" applyFont="1" applyFill="1" applyBorder="1" applyProtection="1">
      <protection hidden="1"/>
    </xf>
    <xf numFmtId="171" fontId="8" fillId="0" borderId="163" xfId="4" applyNumberFormat="1" applyFont="1" applyFill="1" applyBorder="1" applyProtection="1">
      <protection hidden="1"/>
    </xf>
    <xf numFmtId="0" fontId="0" fillId="0" borderId="163" xfId="0" applyFill="1" applyBorder="1" applyAlignment="1" applyProtection="1">
      <alignment horizontal="center"/>
      <protection hidden="1"/>
    </xf>
    <xf numFmtId="0" fontId="0" fillId="0" borderId="164" xfId="0" applyFill="1" applyBorder="1" applyAlignment="1" applyProtection="1">
      <alignment horizontal="center"/>
      <protection hidden="1"/>
    </xf>
    <xf numFmtId="171" fontId="8" fillId="0" borderId="164" xfId="4" applyNumberFormat="1" applyFont="1" applyFill="1" applyBorder="1" applyProtection="1">
      <protection hidden="1"/>
    </xf>
    <xf numFmtId="0" fontId="2" fillId="0" borderId="162" xfId="0" applyFont="1" applyBorder="1" applyAlignment="1">
      <alignment horizontal="left"/>
    </xf>
    <xf numFmtId="0" fontId="0" fillId="0" borderId="162" xfId="0" applyBorder="1" applyAlignment="1">
      <alignment horizontal="left"/>
    </xf>
    <xf numFmtId="171" fontId="8" fillId="22" borderId="163" xfId="4" applyNumberFormat="1" applyFont="1" applyFill="1" applyBorder="1" applyAlignment="1" applyProtection="1">
      <alignment horizontal="left"/>
      <protection hidden="1"/>
    </xf>
    <xf numFmtId="0" fontId="2" fillId="0" borderId="163" xfId="0" applyFont="1" applyBorder="1" applyAlignment="1">
      <alignment horizontal="left"/>
    </xf>
    <xf numFmtId="0" fontId="0" fillId="0" borderId="163" xfId="0" applyBorder="1" applyAlignment="1">
      <alignment horizontal="left"/>
    </xf>
    <xf numFmtId="0" fontId="0" fillId="22" borderId="163" xfId="0" applyFill="1" applyBorder="1" applyProtection="1">
      <protection hidden="1"/>
    </xf>
    <xf numFmtId="171" fontId="0" fillId="0" borderId="162" xfId="0" applyNumberFormat="1" applyBorder="1" applyProtection="1">
      <protection hidden="1"/>
    </xf>
    <xf numFmtId="171" fontId="0" fillId="22" borderId="163" xfId="0" applyNumberFormat="1" applyFill="1" applyBorder="1" applyProtection="1">
      <protection hidden="1"/>
    </xf>
    <xf numFmtId="171" fontId="89" fillId="0" borderId="164" xfId="0" applyNumberFormat="1" applyFont="1" applyBorder="1" applyAlignment="1" applyProtection="1">
      <alignment horizontal="center"/>
      <protection hidden="1"/>
    </xf>
    <xf numFmtId="42" fontId="0" fillId="0" borderId="163" xfId="15" applyFont="1" applyBorder="1" applyProtection="1">
      <protection hidden="1"/>
    </xf>
    <xf numFmtId="0" fontId="8" fillId="22" borderId="176" xfId="0" applyFont="1" applyFill="1" applyBorder="1" applyAlignment="1">
      <alignment vertical="justify"/>
    </xf>
    <xf numFmtId="0" fontId="0" fillId="22" borderId="176" xfId="0" applyFill="1" applyBorder="1" applyAlignment="1" applyProtection="1">
      <alignment horizontal="center"/>
      <protection hidden="1"/>
    </xf>
    <xf numFmtId="0" fontId="8" fillId="0" borderId="176" xfId="0" applyFont="1" applyFill="1" applyBorder="1" applyAlignment="1" applyProtection="1">
      <alignment vertical="justify"/>
      <protection hidden="1"/>
    </xf>
    <xf numFmtId="0" fontId="0" fillId="0" borderId="176" xfId="0" applyFill="1" applyBorder="1" applyAlignment="1" applyProtection="1">
      <alignment horizontal="center"/>
      <protection hidden="1"/>
    </xf>
    <xf numFmtId="0" fontId="8" fillId="22" borderId="176" xfId="0" applyFont="1" applyFill="1" applyBorder="1" applyAlignment="1">
      <alignment horizontal="justify" vertical="justify"/>
    </xf>
    <xf numFmtId="171" fontId="0" fillId="22" borderId="178" xfId="0" applyNumberFormat="1" applyFill="1" applyBorder="1" applyProtection="1">
      <protection hidden="1"/>
    </xf>
    <xf numFmtId="171" fontId="8" fillId="0" borderId="178" xfId="4" applyNumberFormat="1" applyFont="1" applyFill="1" applyBorder="1" applyProtection="1">
      <protection hidden="1"/>
    </xf>
    <xf numFmtId="171" fontId="8" fillId="22" borderId="178" xfId="4" applyNumberFormat="1" applyFont="1" applyFill="1" applyBorder="1" applyProtection="1">
      <protection hidden="1"/>
    </xf>
    <xf numFmtId="0" fontId="8" fillId="0" borderId="176" xfId="0" applyFont="1" applyFill="1" applyBorder="1" applyAlignment="1">
      <alignment vertical="justify"/>
    </xf>
    <xf numFmtId="0" fontId="9" fillId="0" borderId="0" xfId="0" applyFont="1" applyFill="1" applyBorder="1" applyAlignment="1" applyProtection="1">
      <alignment horizontal="left" vertical="center"/>
      <protection hidden="1"/>
    </xf>
    <xf numFmtId="0" fontId="0" fillId="0" borderId="0" xfId="0" applyBorder="1" applyAlignment="1" applyProtection="1">
      <alignment horizontal="center"/>
      <protection hidden="1"/>
    </xf>
    <xf numFmtId="0" fontId="6" fillId="18" borderId="0" xfId="0" applyFont="1" applyFill="1" applyBorder="1" applyAlignment="1" applyProtection="1">
      <alignment horizontal="center"/>
      <protection hidden="1"/>
    </xf>
    <xf numFmtId="171" fontId="8" fillId="18" borderId="0" xfId="4" applyNumberFormat="1" applyFont="1" applyFill="1" applyBorder="1" applyAlignment="1" applyProtection="1">
      <alignment horizontal="center"/>
      <protection hidden="1"/>
    </xf>
    <xf numFmtId="171" fontId="8" fillId="18" borderId="15" xfId="4" applyNumberFormat="1" applyFont="1" applyFill="1" applyBorder="1" applyAlignment="1" applyProtection="1">
      <alignment horizontal="center"/>
      <protection hidden="1"/>
    </xf>
    <xf numFmtId="0" fontId="25" fillId="0" borderId="0" xfId="0" applyFont="1" applyFill="1" applyBorder="1" applyAlignment="1" applyProtection="1">
      <alignment horizontal="center"/>
      <protection hidden="1"/>
    </xf>
    <xf numFmtId="0" fontId="8" fillId="22" borderId="176" xfId="0" applyFont="1" applyFill="1" applyBorder="1" applyAlignment="1" applyProtection="1">
      <alignment horizontal="left" wrapText="1"/>
      <protection hidden="1"/>
    </xf>
    <xf numFmtId="0" fontId="3" fillId="0" borderId="179" xfId="0" applyFont="1" applyFill="1" applyBorder="1" applyAlignment="1" applyProtection="1">
      <alignment vertical="center"/>
      <protection hidden="1"/>
    </xf>
    <xf numFmtId="0" fontId="0" fillId="0" borderId="179" xfId="0" applyFill="1" applyBorder="1" applyAlignment="1" applyProtection="1">
      <alignment horizontal="center"/>
      <protection hidden="1"/>
    </xf>
    <xf numFmtId="171" fontId="8" fillId="0" borderId="179" xfId="4" applyNumberFormat="1" applyFont="1" applyFill="1" applyBorder="1" applyProtection="1">
      <protection hidden="1"/>
    </xf>
    <xf numFmtId="0" fontId="2" fillId="22" borderId="176" xfId="0" applyFont="1" applyFill="1" applyBorder="1" applyAlignment="1" applyProtection="1">
      <alignment vertical="center"/>
      <protection hidden="1"/>
    </xf>
    <xf numFmtId="171" fontId="8" fillId="22" borderId="176" xfId="4" applyNumberFormat="1" applyFont="1" applyFill="1" applyBorder="1" applyProtection="1">
      <protection hidden="1"/>
    </xf>
    <xf numFmtId="0" fontId="3" fillId="0" borderId="176" xfId="0" applyFont="1" applyFill="1" applyBorder="1" applyAlignment="1" applyProtection="1">
      <alignment vertical="center"/>
      <protection hidden="1"/>
    </xf>
    <xf numFmtId="0" fontId="3" fillId="0" borderId="176" xfId="0" applyFont="1" applyFill="1" applyBorder="1" applyAlignment="1" applyProtection="1">
      <alignment horizontal="center" vertical="center"/>
      <protection hidden="1"/>
    </xf>
    <xf numFmtId="171" fontId="8" fillId="0" borderId="176" xfId="4" applyNumberFormat="1" applyFont="1" applyFill="1" applyBorder="1" applyProtection="1">
      <protection hidden="1"/>
    </xf>
    <xf numFmtId="171" fontId="8" fillId="22" borderId="176" xfId="0" applyNumberFormat="1" applyFont="1" applyFill="1" applyBorder="1" applyProtection="1">
      <protection hidden="1"/>
    </xf>
    <xf numFmtId="0" fontId="9" fillId="22" borderId="176" xfId="0" applyFont="1" applyFill="1" applyBorder="1" applyAlignment="1" applyProtection="1">
      <alignment vertical="center"/>
      <protection hidden="1"/>
    </xf>
    <xf numFmtId="0" fontId="9" fillId="0" borderId="176" xfId="0" applyFont="1" applyFill="1" applyBorder="1" applyAlignment="1" applyProtection="1">
      <alignment horizontal="left" vertical="center"/>
      <protection hidden="1"/>
    </xf>
    <xf numFmtId="0" fontId="9" fillId="0" borderId="176" xfId="0" applyFont="1" applyFill="1" applyBorder="1" applyAlignment="1" applyProtection="1">
      <alignment vertical="center"/>
      <protection hidden="1"/>
    </xf>
    <xf numFmtId="0" fontId="25" fillId="22" borderId="176" xfId="0" applyFont="1" applyFill="1" applyBorder="1" applyAlignment="1" applyProtection="1">
      <alignment horizontal="center"/>
      <protection hidden="1"/>
    </xf>
    <xf numFmtId="0" fontId="25" fillId="0" borderId="176" xfId="0" applyFont="1" applyFill="1" applyBorder="1" applyAlignment="1" applyProtection="1">
      <alignment horizontal="center"/>
      <protection hidden="1"/>
    </xf>
    <xf numFmtId="0" fontId="14" fillId="22" borderId="176" xfId="0" applyFont="1" applyFill="1" applyBorder="1" applyAlignment="1" applyProtection="1">
      <alignment vertical="center"/>
      <protection hidden="1"/>
    </xf>
    <xf numFmtId="171" fontId="8" fillId="0" borderId="176" xfId="4" applyNumberFormat="1" applyFont="1" applyFill="1" applyBorder="1" applyAlignment="1" applyProtection="1">
      <alignment horizontal="center"/>
      <protection hidden="1"/>
    </xf>
    <xf numFmtId="0" fontId="25" fillId="22" borderId="180" xfId="0" applyFont="1" applyFill="1" applyBorder="1" applyAlignment="1" applyProtection="1">
      <alignment horizontal="center"/>
      <protection hidden="1"/>
    </xf>
    <xf numFmtId="171" fontId="8" fillId="22" borderId="180" xfId="4" applyNumberFormat="1" applyFont="1" applyFill="1" applyBorder="1" applyProtection="1">
      <protection hidden="1"/>
    </xf>
    <xf numFmtId="167" fontId="8" fillId="0" borderId="176" xfId="5" applyNumberFormat="1" applyFont="1" applyFill="1" applyBorder="1" applyProtection="1">
      <protection hidden="1"/>
    </xf>
    <xf numFmtId="0" fontId="4" fillId="22" borderId="181" xfId="0" applyFont="1" applyFill="1" applyBorder="1" applyProtection="1">
      <protection hidden="1"/>
    </xf>
    <xf numFmtId="0" fontId="0" fillId="22" borderId="181" xfId="0" applyFill="1" applyBorder="1" applyAlignment="1" applyProtection="1">
      <alignment horizontal="center"/>
      <protection hidden="1"/>
    </xf>
    <xf numFmtId="171" fontId="8" fillId="22" borderId="181" xfId="4" applyNumberFormat="1" applyFont="1" applyFill="1" applyBorder="1" applyProtection="1">
      <protection hidden="1"/>
    </xf>
    <xf numFmtId="0" fontId="20" fillId="0" borderId="176" xfId="0" applyFont="1" applyFill="1" applyBorder="1" applyAlignment="1" applyProtection="1">
      <alignment horizontal="left" vertical="center"/>
      <protection hidden="1"/>
    </xf>
    <xf numFmtId="0" fontId="0" fillId="22" borderId="12" xfId="0" applyFill="1" applyBorder="1" applyAlignment="1" applyProtection="1">
      <alignment horizontal="center"/>
      <protection hidden="1"/>
    </xf>
    <xf numFmtId="171" fontId="0" fillId="22" borderId="13" xfId="4" applyNumberFormat="1" applyFont="1" applyFill="1" applyBorder="1"/>
    <xf numFmtId="0" fontId="6" fillId="22" borderId="14" xfId="0" applyFont="1" applyFill="1" applyBorder="1" applyAlignment="1" applyProtection="1">
      <alignment horizontal="left"/>
      <protection hidden="1"/>
    </xf>
    <xf numFmtId="0" fontId="6" fillId="22" borderId="0" xfId="0" applyFont="1" applyFill="1" applyBorder="1" applyAlignment="1" applyProtection="1">
      <alignment horizontal="left"/>
      <protection hidden="1"/>
    </xf>
    <xf numFmtId="171" fontId="0" fillId="22" borderId="15" xfId="4" applyNumberFormat="1" applyFont="1" applyFill="1" applyBorder="1"/>
    <xf numFmtId="171" fontId="0" fillId="22" borderId="15" xfId="0" applyNumberFormat="1" applyFill="1" applyBorder="1"/>
    <xf numFmtId="0" fontId="0" fillId="22" borderId="0" xfId="0" applyFill="1" applyBorder="1" applyAlignment="1" applyProtection="1">
      <alignment horizontal="center" vertical="center"/>
      <protection hidden="1"/>
    </xf>
    <xf numFmtId="171" fontId="0" fillId="22" borderId="15" xfId="4" applyNumberFormat="1" applyFont="1" applyFill="1" applyBorder="1" applyAlignment="1" applyProtection="1">
      <alignment horizontal="center"/>
      <protection hidden="1"/>
    </xf>
    <xf numFmtId="0" fontId="0" fillId="22" borderId="15" xfId="0" applyFill="1" applyBorder="1" applyAlignment="1" applyProtection="1">
      <alignment horizontal="center"/>
      <protection hidden="1"/>
    </xf>
    <xf numFmtId="0" fontId="0" fillId="22" borderId="17" xfId="0" applyFill="1" applyBorder="1" applyAlignment="1" applyProtection="1">
      <alignment horizontal="center"/>
      <protection hidden="1"/>
    </xf>
    <xf numFmtId="171" fontId="0" fillId="22" borderId="19" xfId="4" applyNumberFormat="1" applyFont="1" applyFill="1" applyBorder="1"/>
    <xf numFmtId="171" fontId="0" fillId="22" borderId="0" xfId="4" applyNumberFormat="1" applyFont="1" applyFill="1"/>
    <xf numFmtId="171" fontId="0" fillId="22" borderId="0" xfId="0" applyNumberFormat="1" applyFill="1"/>
    <xf numFmtId="0" fontId="6" fillId="22" borderId="0" xfId="0" applyFont="1" applyFill="1" applyBorder="1" applyAlignment="1" applyProtection="1">
      <alignment horizontal="left"/>
      <protection hidden="1"/>
    </xf>
    <xf numFmtId="171" fontId="8" fillId="22" borderId="15" xfId="4" applyNumberFormat="1" applyFont="1" applyFill="1" applyBorder="1" applyAlignment="1" applyProtection="1">
      <alignment horizontal="center"/>
      <protection hidden="1"/>
    </xf>
    <xf numFmtId="0" fontId="0" fillId="22" borderId="0" xfId="0" applyFill="1" applyBorder="1"/>
    <xf numFmtId="0" fontId="0" fillId="22" borderId="17" xfId="0" applyFill="1" applyBorder="1" applyAlignment="1" applyProtection="1">
      <alignment horizontal="center" vertical="center"/>
      <protection hidden="1"/>
    </xf>
    <xf numFmtId="171" fontId="2" fillId="0" borderId="151" xfId="0" applyNumberFormat="1" applyFont="1" applyFill="1" applyBorder="1"/>
    <xf numFmtId="171" fontId="2" fillId="0" borderId="159" xfId="4" applyNumberFormat="1" applyFont="1" applyBorder="1" applyAlignment="1">
      <alignment vertical="center"/>
    </xf>
    <xf numFmtId="0" fontId="0" fillId="18" borderId="0" xfId="0" applyFill="1"/>
    <xf numFmtId="0" fontId="0" fillId="18" borderId="0" xfId="0" applyFill="1" applyBorder="1" applyAlignment="1" applyProtection="1">
      <alignment horizontal="center" vertical="center"/>
      <protection hidden="1"/>
    </xf>
    <xf numFmtId="0" fontId="0" fillId="22" borderId="0" xfId="0" applyFill="1"/>
    <xf numFmtId="171" fontId="0" fillId="22" borderId="0" xfId="4" applyNumberFormat="1" applyFont="1" applyFill="1" applyBorder="1" applyAlignment="1" applyProtection="1">
      <alignment horizontal="center"/>
      <protection hidden="1"/>
    </xf>
    <xf numFmtId="0" fontId="0" fillId="5" borderId="5" xfId="0" applyFill="1" applyBorder="1" applyProtection="1">
      <protection locked="0"/>
    </xf>
    <xf numFmtId="0" fontId="0" fillId="5" borderId="43" xfId="0" applyFill="1" applyBorder="1" applyProtection="1">
      <protection locked="0"/>
    </xf>
    <xf numFmtId="167" fontId="0" fillId="0" borderId="163" xfId="5" applyNumberFormat="1" applyFont="1" applyBorder="1" applyProtection="1">
      <protection hidden="1"/>
    </xf>
    <xf numFmtId="0" fontId="75" fillId="0" borderId="0" xfId="0" applyFont="1" applyBorder="1" applyAlignment="1" applyProtection="1">
      <protection hidden="1"/>
    </xf>
    <xf numFmtId="171" fontId="3" fillId="0" borderId="151" xfId="4" applyNumberFormat="1" applyFont="1" applyBorder="1" applyAlignment="1" applyProtection="1">
      <alignment horizontal="right"/>
      <protection hidden="1"/>
    </xf>
    <xf numFmtId="171" fontId="8" fillId="22" borderId="163" xfId="4" applyNumberFormat="1" applyFont="1" applyFill="1" applyBorder="1" applyAlignment="1" applyProtection="1">
      <protection hidden="1"/>
    </xf>
    <xf numFmtId="171" fontId="29" fillId="5" borderId="43" xfId="4" applyNumberFormat="1" applyFont="1" applyFill="1" applyBorder="1" applyProtection="1">
      <protection locked="0"/>
    </xf>
    <xf numFmtId="171" fontId="29" fillId="0" borderId="7" xfId="4" applyNumberFormat="1" applyFont="1" applyFill="1" applyBorder="1" applyProtection="1">
      <protection hidden="1"/>
    </xf>
    <xf numFmtId="0" fontId="2" fillId="0" borderId="0" xfId="0" applyFont="1" applyProtection="1">
      <protection hidden="1"/>
    </xf>
    <xf numFmtId="0" fontId="2" fillId="0" borderId="0" xfId="0" applyFont="1" applyAlignment="1" applyProtection="1">
      <alignment vertical="justify"/>
      <protection hidden="1"/>
    </xf>
    <xf numFmtId="0" fontId="2" fillId="0" borderId="0" xfId="0" applyFont="1" applyAlignment="1" applyProtection="1">
      <alignment horizontal="center"/>
      <protection hidden="1"/>
    </xf>
    <xf numFmtId="9" fontId="8" fillId="0" borderId="0" xfId="11" applyNumberFormat="1" applyFont="1" applyProtection="1">
      <protection hidden="1"/>
    </xf>
    <xf numFmtId="167" fontId="91" fillId="0" borderId="9" xfId="6" applyNumberFormat="1" applyFont="1" applyBorder="1" applyProtection="1">
      <protection locked="0"/>
    </xf>
    <xf numFmtId="171" fontId="0" fillId="0" borderId="186" xfId="4" applyNumberFormat="1" applyFont="1" applyBorder="1"/>
    <xf numFmtId="0" fontId="2" fillId="22" borderId="161" xfId="0" applyNumberFormat="1" applyFont="1" applyFill="1" applyBorder="1" applyAlignment="1" applyProtection="1">
      <alignment horizontal="center"/>
      <protection hidden="1"/>
    </xf>
    <xf numFmtId="171" fontId="8" fillId="22" borderId="169" xfId="4" applyNumberFormat="1" applyFont="1" applyFill="1" applyBorder="1" applyProtection="1">
      <protection locked="0"/>
    </xf>
    <xf numFmtId="0" fontId="8" fillId="0" borderId="0" xfId="0" applyFont="1" applyBorder="1" applyAlignment="1" applyProtection="1">
      <alignment horizontal="left" vertical="justify"/>
      <protection hidden="1"/>
    </xf>
    <xf numFmtId="0" fontId="9" fillId="0" borderId="0" xfId="0" applyFont="1" applyFill="1" applyBorder="1" applyAlignment="1" applyProtection="1">
      <alignment horizontal="left" vertical="center"/>
      <protection hidden="1"/>
    </xf>
    <xf numFmtId="0" fontId="8" fillId="9" borderId="0" xfId="0" applyFont="1" applyFill="1" applyBorder="1" applyAlignment="1" applyProtection="1">
      <alignment horizontal="left" vertical="center"/>
      <protection hidden="1"/>
    </xf>
    <xf numFmtId="0" fontId="0" fillId="0" borderId="1" xfId="0" applyBorder="1" applyAlignment="1" applyProtection="1">
      <alignment horizontal="center"/>
      <protection hidden="1"/>
    </xf>
    <xf numFmtId="0" fontId="0" fillId="0" borderId="0" xfId="0" applyAlignment="1" applyProtection="1">
      <alignment horizontal="center"/>
      <protection hidden="1"/>
    </xf>
    <xf numFmtId="0" fontId="0" fillId="0" borderId="0" xfId="0" applyBorder="1" applyAlignment="1" applyProtection="1">
      <alignment horizontal="center"/>
      <protection hidden="1"/>
    </xf>
    <xf numFmtId="0" fontId="2" fillId="0" borderId="0" xfId="0" applyFont="1" applyBorder="1" applyAlignment="1" applyProtection="1">
      <alignment horizontal="left"/>
      <protection hidden="1"/>
    </xf>
    <xf numFmtId="0" fontId="74" fillId="0" borderId="0" xfId="0" applyFont="1" applyBorder="1" applyAlignment="1" applyProtection="1">
      <alignment horizontal="center"/>
      <protection hidden="1"/>
    </xf>
    <xf numFmtId="0" fontId="2" fillId="0" borderId="0" xfId="0" applyFont="1" applyBorder="1" applyAlignment="1">
      <alignment horizontal="left"/>
    </xf>
    <xf numFmtId="0" fontId="0" fillId="0" borderId="0" xfId="0" applyBorder="1" applyAlignment="1">
      <alignment horizontal="left"/>
    </xf>
    <xf numFmtId="0" fontId="8" fillId="0" borderId="0" xfId="0" applyFont="1" applyBorder="1" applyAlignment="1" applyProtection="1">
      <alignment horizontal="justify" vertical="justify"/>
      <protection hidden="1"/>
    </xf>
    <xf numFmtId="0" fontId="2" fillId="0" borderId="0" xfId="0" applyFont="1" applyBorder="1" applyAlignment="1" applyProtection="1">
      <alignment horizontal="left" vertical="center"/>
      <protection hidden="1"/>
    </xf>
    <xf numFmtId="0" fontId="8" fillId="22" borderId="163" xfId="0" applyFont="1" applyFill="1" applyBorder="1" applyAlignment="1" applyProtection="1">
      <alignment horizontal="left" vertical="justify"/>
      <protection hidden="1"/>
    </xf>
    <xf numFmtId="0" fontId="25" fillId="0" borderId="176" xfId="0" applyFont="1" applyFill="1" applyBorder="1" applyAlignment="1" applyProtection="1">
      <alignment horizontal="left" vertical="justify"/>
      <protection hidden="1"/>
    </xf>
    <xf numFmtId="0" fontId="2" fillId="0" borderId="163" xfId="0" applyFont="1" applyBorder="1" applyAlignment="1">
      <alignment horizontal="left"/>
    </xf>
    <xf numFmtId="0" fontId="0" fillId="0" borderId="163" xfId="0" applyBorder="1" applyAlignment="1">
      <alignment horizontal="left"/>
    </xf>
    <xf numFmtId="171" fontId="8" fillId="22" borderId="163" xfId="4" applyNumberFormat="1" applyFont="1" applyFill="1" applyBorder="1" applyAlignment="1" applyProtection="1">
      <alignment horizontal="left"/>
      <protection hidden="1"/>
    </xf>
    <xf numFmtId="0" fontId="8" fillId="0" borderId="163" xfId="0" applyFont="1" applyBorder="1" applyAlignment="1" applyProtection="1">
      <alignment horizontal="left"/>
      <protection hidden="1"/>
    </xf>
    <xf numFmtId="0" fontId="25" fillId="22" borderId="176" xfId="0" applyFont="1" applyFill="1" applyBorder="1" applyAlignment="1" applyProtection="1">
      <alignment horizontal="left" vertical="justify"/>
      <protection hidden="1"/>
    </xf>
    <xf numFmtId="0" fontId="9" fillId="0" borderId="183" xfId="0" applyFont="1" applyFill="1" applyBorder="1" applyAlignment="1" applyProtection="1">
      <alignment horizontal="left" wrapText="1"/>
      <protection hidden="1"/>
    </xf>
    <xf numFmtId="0" fontId="9" fillId="0" borderId="183" xfId="0" applyFont="1" applyFill="1" applyBorder="1" applyAlignment="1" applyProtection="1">
      <alignment horizontal="left" vertical="justify"/>
      <protection hidden="1"/>
    </xf>
    <xf numFmtId="0" fontId="9" fillId="22" borderId="185" xfId="0" applyFont="1" applyFill="1" applyBorder="1" applyAlignment="1" applyProtection="1">
      <alignment horizontal="left" vertical="center" wrapText="1"/>
      <protection hidden="1"/>
    </xf>
    <xf numFmtId="0" fontId="9" fillId="0" borderId="176" xfId="0" applyFont="1" applyFill="1" applyBorder="1" applyAlignment="1" applyProtection="1">
      <alignment horizontal="left" vertical="center"/>
      <protection hidden="1"/>
    </xf>
    <xf numFmtId="0" fontId="9" fillId="22" borderId="176" xfId="0" applyFont="1" applyFill="1" applyBorder="1" applyAlignment="1" applyProtection="1">
      <alignment vertical="center"/>
      <protection hidden="1"/>
    </xf>
    <xf numFmtId="0" fontId="8" fillId="0" borderId="163" xfId="0" applyFont="1" applyBorder="1" applyAlignment="1" applyProtection="1">
      <alignment horizontal="justify" vertical="justify"/>
      <protection hidden="1"/>
    </xf>
    <xf numFmtId="0" fontId="8" fillId="0" borderId="163" xfId="0" applyFont="1" applyBorder="1" applyAlignment="1" applyProtection="1">
      <alignment horizontal="left" vertical="justify"/>
      <protection hidden="1"/>
    </xf>
    <xf numFmtId="0" fontId="9" fillId="22" borderId="166" xfId="0" applyFont="1" applyFill="1" applyBorder="1" applyAlignment="1" applyProtection="1">
      <alignment horizontal="left" vertical="justify"/>
      <protection hidden="1"/>
    </xf>
    <xf numFmtId="0" fontId="8" fillId="0" borderId="164" xfId="0" applyFont="1" applyBorder="1" applyAlignment="1" applyProtection="1">
      <alignment horizontal="left" vertical="center"/>
      <protection hidden="1"/>
    </xf>
    <xf numFmtId="0" fontId="8" fillId="22" borderId="162" xfId="0" applyFont="1" applyFill="1" applyBorder="1" applyAlignment="1" applyProtection="1">
      <alignment horizontal="justify" vertical="justify"/>
      <protection hidden="1"/>
    </xf>
    <xf numFmtId="0" fontId="25" fillId="22" borderId="163" xfId="0" applyFont="1" applyFill="1" applyBorder="1" applyAlignment="1" applyProtection="1">
      <alignment horizontal="left" vertical="justify"/>
      <protection hidden="1"/>
    </xf>
    <xf numFmtId="0" fontId="8" fillId="22" borderId="164" xfId="0" applyFont="1" applyFill="1" applyBorder="1" applyAlignment="1" applyProtection="1">
      <alignment horizontal="left"/>
      <protection hidden="1"/>
    </xf>
    <xf numFmtId="0" fontId="8" fillId="22" borderId="162" xfId="0" applyFont="1" applyFill="1" applyBorder="1" applyAlignment="1" applyProtection="1">
      <alignment horizontal="left" vertical="justify"/>
      <protection hidden="1"/>
    </xf>
    <xf numFmtId="0" fontId="0" fillId="22" borderId="170" xfId="0" applyFill="1" applyBorder="1" applyAlignment="1" applyProtection="1">
      <alignment horizontal="left"/>
      <protection hidden="1"/>
    </xf>
    <xf numFmtId="167" fontId="20" fillId="0" borderId="3" xfId="5" applyNumberFormat="1" applyFont="1" applyFill="1" applyBorder="1" applyAlignment="1" applyProtection="1">
      <alignment horizontal="center" vertical="center"/>
      <protection hidden="1"/>
    </xf>
    <xf numFmtId="0" fontId="8" fillId="9" borderId="0" xfId="0" applyFont="1" applyFill="1" applyBorder="1" applyAlignment="1" applyProtection="1">
      <alignment horizontal="left" vertical="center"/>
      <protection hidden="1"/>
    </xf>
    <xf numFmtId="0" fontId="9" fillId="0" borderId="0" xfId="0" applyFont="1" applyFill="1" applyBorder="1" applyAlignment="1" applyProtection="1">
      <alignment horizontal="left" vertical="center"/>
      <protection hidden="1"/>
    </xf>
    <xf numFmtId="0" fontId="8" fillId="0" borderId="0" xfId="0" applyFont="1" applyBorder="1" applyAlignment="1" applyProtection="1">
      <alignment horizontal="left" vertical="justify"/>
      <protection hidden="1"/>
    </xf>
    <xf numFmtId="0" fontId="2" fillId="0" borderId="0" xfId="0" applyFont="1" applyBorder="1" applyAlignment="1">
      <alignment horizontal="left"/>
    </xf>
    <xf numFmtId="0" fontId="2" fillId="0" borderId="0" xfId="0" applyFont="1" applyBorder="1" applyAlignment="1" applyProtection="1">
      <alignment horizontal="left" vertical="center"/>
      <protection hidden="1"/>
    </xf>
    <xf numFmtId="0" fontId="8" fillId="0" borderId="0" xfId="0" applyFont="1" applyBorder="1" applyAlignment="1" applyProtection="1">
      <alignment horizontal="justify" vertical="justify"/>
      <protection hidden="1"/>
    </xf>
    <xf numFmtId="0" fontId="2" fillId="0" borderId="0" xfId="0" applyFont="1" applyBorder="1" applyAlignment="1" applyProtection="1">
      <alignment horizontal="left"/>
      <protection hidden="1"/>
    </xf>
    <xf numFmtId="0" fontId="74" fillId="0" borderId="0" xfId="0" applyFont="1" applyBorder="1" applyAlignment="1" applyProtection="1">
      <alignment horizontal="center"/>
      <protection hidden="1"/>
    </xf>
    <xf numFmtId="171" fontId="8" fillId="0" borderId="0" xfId="4" applyNumberFormat="1" applyFont="1" applyFill="1" applyBorder="1" applyAlignment="1" applyProtection="1">
      <alignment horizontal="center"/>
      <protection hidden="1"/>
    </xf>
    <xf numFmtId="0" fontId="8" fillId="0" borderId="0" xfId="0" applyFont="1" applyBorder="1" applyAlignment="1">
      <alignment horizontal="center" textRotation="90"/>
    </xf>
    <xf numFmtId="0" fontId="6" fillId="0" borderId="0" xfId="0" applyFont="1" applyBorder="1" applyAlignment="1" applyProtection="1">
      <alignment horizontal="left"/>
      <protection hidden="1"/>
    </xf>
    <xf numFmtId="0" fontId="6" fillId="18" borderId="0" xfId="0" applyFont="1" applyFill="1" applyBorder="1" applyAlignment="1" applyProtection="1">
      <alignment horizontal="center"/>
      <protection hidden="1"/>
    </xf>
    <xf numFmtId="171" fontId="8" fillId="18" borderId="0" xfId="4" applyNumberFormat="1" applyFont="1" applyFill="1" applyBorder="1" applyAlignment="1" applyProtection="1">
      <alignment horizontal="center"/>
      <protection hidden="1"/>
    </xf>
    <xf numFmtId="171" fontId="8" fillId="18" borderId="15" xfId="4" applyNumberFormat="1" applyFont="1" applyFill="1" applyBorder="1" applyAlignment="1" applyProtection="1">
      <alignment horizontal="center"/>
      <protection hidden="1"/>
    </xf>
    <xf numFmtId="0" fontId="6" fillId="22" borderId="0" xfId="0" applyFont="1" applyFill="1" applyBorder="1" applyAlignment="1" applyProtection="1">
      <alignment horizontal="left"/>
      <protection hidden="1"/>
    </xf>
    <xf numFmtId="0" fontId="8" fillId="0" borderId="163" xfId="0" applyFont="1" applyBorder="1" applyAlignment="1" applyProtection="1">
      <alignment horizontal="left" vertical="justify"/>
      <protection hidden="1"/>
    </xf>
    <xf numFmtId="0" fontId="9" fillId="22" borderId="166" xfId="0" applyFont="1" applyFill="1" applyBorder="1" applyAlignment="1" applyProtection="1">
      <alignment horizontal="left" vertical="justify"/>
      <protection hidden="1"/>
    </xf>
    <xf numFmtId="0" fontId="8" fillId="0" borderId="164" xfId="0" applyFont="1" applyBorder="1" applyAlignment="1" applyProtection="1">
      <alignment horizontal="left" vertical="center"/>
      <protection hidden="1"/>
    </xf>
    <xf numFmtId="0" fontId="8" fillId="22" borderId="162" xfId="0" applyFont="1" applyFill="1" applyBorder="1" applyAlignment="1" applyProtection="1">
      <alignment horizontal="justify" vertical="justify"/>
      <protection hidden="1"/>
    </xf>
    <xf numFmtId="0" fontId="8" fillId="0" borderId="163" xfId="0" applyFont="1" applyBorder="1" applyAlignment="1" applyProtection="1">
      <alignment horizontal="left"/>
      <protection hidden="1"/>
    </xf>
    <xf numFmtId="0" fontId="25" fillId="22" borderId="163" xfId="0" applyFont="1" applyFill="1" applyBorder="1" applyAlignment="1" applyProtection="1">
      <alignment horizontal="left" vertical="justify"/>
      <protection hidden="1"/>
    </xf>
    <xf numFmtId="0" fontId="8" fillId="22" borderId="164" xfId="0" applyFont="1" applyFill="1" applyBorder="1" applyAlignment="1" applyProtection="1">
      <alignment horizontal="left"/>
      <protection hidden="1"/>
    </xf>
    <xf numFmtId="0" fontId="8" fillId="22" borderId="162" xfId="0" applyFont="1" applyFill="1" applyBorder="1" applyAlignment="1" applyProtection="1">
      <alignment horizontal="left" vertical="justify"/>
      <protection hidden="1"/>
    </xf>
    <xf numFmtId="0" fontId="8" fillId="22" borderId="163" xfId="0" applyFont="1" applyFill="1" applyBorder="1" applyAlignment="1" applyProtection="1">
      <alignment horizontal="left" vertical="justify"/>
      <protection hidden="1"/>
    </xf>
    <xf numFmtId="0" fontId="8" fillId="0" borderId="163" xfId="0" applyFont="1" applyBorder="1" applyAlignment="1" applyProtection="1">
      <alignment horizontal="justify" vertical="justify"/>
      <protection hidden="1"/>
    </xf>
    <xf numFmtId="0" fontId="9" fillId="0" borderId="183" xfId="0" applyFont="1" applyFill="1" applyBorder="1" applyAlignment="1" applyProtection="1">
      <alignment horizontal="left" wrapText="1"/>
      <protection hidden="1"/>
    </xf>
    <xf numFmtId="0" fontId="9" fillId="0" borderId="183" xfId="0" applyFont="1" applyFill="1" applyBorder="1" applyAlignment="1" applyProtection="1">
      <alignment horizontal="left" vertical="justify"/>
      <protection hidden="1"/>
    </xf>
    <xf numFmtId="0" fontId="9" fillId="22" borderId="185" xfId="0" applyFont="1" applyFill="1" applyBorder="1" applyAlignment="1" applyProtection="1">
      <alignment horizontal="left" vertical="center" wrapText="1"/>
      <protection hidden="1"/>
    </xf>
    <xf numFmtId="0" fontId="9" fillId="0" borderId="176" xfId="0" applyFont="1" applyFill="1" applyBorder="1" applyAlignment="1" applyProtection="1">
      <alignment horizontal="left" vertical="center"/>
      <protection hidden="1"/>
    </xf>
    <xf numFmtId="0" fontId="9" fillId="22" borderId="176" xfId="0" applyFont="1" applyFill="1" applyBorder="1" applyAlignment="1" applyProtection="1">
      <alignment vertical="center"/>
      <protection hidden="1"/>
    </xf>
    <xf numFmtId="0" fontId="2" fillId="0" borderId="163" xfId="0" applyFont="1" applyBorder="1" applyAlignment="1">
      <alignment horizontal="left"/>
    </xf>
    <xf numFmtId="171" fontId="8" fillId="22" borderId="163" xfId="4" applyNumberFormat="1" applyFont="1" applyFill="1" applyBorder="1" applyAlignment="1" applyProtection="1">
      <alignment horizontal="left"/>
      <protection hidden="1"/>
    </xf>
    <xf numFmtId="0" fontId="25" fillId="0" borderId="176" xfId="0" applyFont="1" applyFill="1" applyBorder="1" applyAlignment="1" applyProtection="1">
      <alignment horizontal="left" vertical="justify"/>
      <protection hidden="1"/>
    </xf>
    <xf numFmtId="0" fontId="25" fillId="22" borderId="176" xfId="0" applyFont="1" applyFill="1" applyBorder="1" applyAlignment="1" applyProtection="1">
      <alignment horizontal="left" vertical="justify"/>
      <protection hidden="1"/>
    </xf>
    <xf numFmtId="0" fontId="14" fillId="0" borderId="0" xfId="0" applyFont="1" applyBorder="1" applyAlignment="1">
      <alignment horizontal="center" vertical="justify" textRotation="90"/>
    </xf>
    <xf numFmtId="0" fontId="3" fillId="0" borderId="163" xfId="0" applyFont="1" applyBorder="1" applyAlignment="1" applyProtection="1">
      <alignment horizontal="justify" vertical="justify"/>
      <protection hidden="1"/>
    </xf>
    <xf numFmtId="0" fontId="4" fillId="0" borderId="0" xfId="0" applyFont="1" applyBorder="1" applyAlignment="1" applyProtection="1">
      <alignment horizontal="center"/>
      <protection hidden="1"/>
    </xf>
    <xf numFmtId="167" fontId="0" fillId="0" borderId="0" xfId="5" applyNumberFormat="1" applyFont="1" applyBorder="1" applyProtection="1">
      <protection hidden="1"/>
    </xf>
    <xf numFmtId="167" fontId="59" fillId="0" borderId="0" xfId="6" applyNumberFormat="1" applyFont="1" applyBorder="1" applyProtection="1">
      <protection hidden="1"/>
    </xf>
    <xf numFmtId="0" fontId="5" fillId="5" borderId="33" xfId="0" applyFont="1" applyFill="1" applyBorder="1" applyAlignment="1">
      <alignment horizontal="left"/>
    </xf>
    <xf numFmtId="0" fontId="0" fillId="5" borderId="33" xfId="0" applyFill="1" applyBorder="1"/>
    <xf numFmtId="0" fontId="5" fillId="5" borderId="40" xfId="0" applyFont="1" applyFill="1" applyBorder="1" applyAlignment="1">
      <alignment horizontal="right"/>
    </xf>
    <xf numFmtId="0" fontId="5" fillId="5" borderId="61" xfId="0" applyFont="1" applyFill="1" applyBorder="1" applyAlignment="1">
      <alignment horizontal="right"/>
    </xf>
    <xf numFmtId="0" fontId="0" fillId="23" borderId="0" xfId="0" applyFill="1" applyBorder="1" applyAlignment="1" applyProtection="1">
      <alignment horizontal="center"/>
      <protection hidden="1"/>
    </xf>
    <xf numFmtId="0" fontId="0" fillId="22" borderId="194" xfId="0" applyFill="1" applyBorder="1" applyAlignment="1" applyProtection="1">
      <alignment horizontal="center"/>
      <protection hidden="1"/>
    </xf>
    <xf numFmtId="0" fontId="0" fillId="22" borderId="193" xfId="0" applyFill="1" applyBorder="1" applyAlignment="1" applyProtection="1">
      <alignment horizontal="center"/>
      <protection hidden="1"/>
    </xf>
    <xf numFmtId="0" fontId="0" fillId="0" borderId="194" xfId="0" applyFill="1" applyBorder="1" applyAlignment="1" applyProtection="1">
      <alignment horizontal="center"/>
      <protection hidden="1"/>
    </xf>
    <xf numFmtId="0" fontId="0" fillId="22" borderId="195" xfId="0" applyFill="1" applyBorder="1" applyAlignment="1" applyProtection="1">
      <alignment horizontal="center"/>
      <protection hidden="1"/>
    </xf>
    <xf numFmtId="0" fontId="0" fillId="22" borderId="196" xfId="0" applyFill="1" applyBorder="1" applyAlignment="1" applyProtection="1">
      <alignment horizontal="center"/>
      <protection hidden="1"/>
    </xf>
    <xf numFmtId="0" fontId="0" fillId="23" borderId="197" xfId="0" applyFill="1" applyBorder="1"/>
    <xf numFmtId="0" fontId="0" fillId="22" borderId="197" xfId="0" applyFill="1" applyBorder="1" applyAlignment="1" applyProtection="1">
      <alignment horizontal="center"/>
      <protection hidden="1"/>
    </xf>
    <xf numFmtId="0" fontId="0" fillId="22" borderId="198" xfId="0" applyFill="1" applyBorder="1" applyAlignment="1" applyProtection="1">
      <alignment horizontal="center"/>
      <protection hidden="1"/>
    </xf>
    <xf numFmtId="0" fontId="0" fillId="0" borderId="197" xfId="0" applyFill="1" applyBorder="1" applyAlignment="1" applyProtection="1">
      <alignment horizontal="center"/>
      <protection hidden="1"/>
    </xf>
    <xf numFmtId="0" fontId="0" fillId="0" borderId="198" xfId="0" applyFill="1" applyBorder="1" applyAlignment="1" applyProtection="1">
      <alignment horizontal="center"/>
      <protection hidden="1"/>
    </xf>
    <xf numFmtId="167" fontId="0" fillId="23" borderId="0" xfId="5" applyNumberFormat="1" applyFont="1" applyFill="1" applyBorder="1" applyAlignment="1" applyProtection="1">
      <alignment horizontal="center"/>
      <protection hidden="1"/>
    </xf>
    <xf numFmtId="0" fontId="0" fillId="22" borderId="192" xfId="0" applyFill="1" applyBorder="1" applyAlignment="1" applyProtection="1">
      <alignment horizontal="center"/>
      <protection hidden="1"/>
    </xf>
    <xf numFmtId="0" fontId="15" fillId="22" borderId="199" xfId="0" applyFont="1" applyFill="1" applyBorder="1" applyAlignment="1" applyProtection="1">
      <alignment horizontal="center"/>
      <protection hidden="1"/>
    </xf>
    <xf numFmtId="0" fontId="4" fillId="22" borderId="197" xfId="0" applyFont="1" applyFill="1" applyBorder="1" applyAlignment="1" applyProtection="1">
      <alignment horizontal="center"/>
      <protection hidden="1"/>
    </xf>
    <xf numFmtId="0" fontId="8" fillId="0" borderId="0" xfId="0" applyFont="1" applyBorder="1" applyAlignment="1" applyProtection="1">
      <alignment horizontal="left" vertical="justify"/>
      <protection hidden="1"/>
    </xf>
    <xf numFmtId="0" fontId="9" fillId="0" borderId="0" xfId="0" applyFont="1" applyFill="1" applyBorder="1" applyAlignment="1" applyProtection="1">
      <alignment horizontal="left" vertical="center"/>
      <protection hidden="1"/>
    </xf>
    <xf numFmtId="0" fontId="8" fillId="9" borderId="0" xfId="0" applyFont="1" applyFill="1" applyBorder="1" applyAlignment="1" applyProtection="1">
      <alignment horizontal="left" vertical="center"/>
      <protection hidden="1"/>
    </xf>
    <xf numFmtId="0" fontId="2" fillId="0" borderId="0" xfId="0" applyFont="1" applyBorder="1" applyAlignment="1" applyProtection="1">
      <alignment horizontal="left"/>
      <protection hidden="1"/>
    </xf>
    <xf numFmtId="0" fontId="9" fillId="22" borderId="185" xfId="0" applyFont="1" applyFill="1" applyBorder="1" applyAlignment="1" applyProtection="1">
      <alignment horizontal="left" vertical="center" wrapText="1"/>
      <protection hidden="1"/>
    </xf>
    <xf numFmtId="0" fontId="8" fillId="0" borderId="0" xfId="0" applyFont="1" applyBorder="1" applyAlignment="1" applyProtection="1">
      <alignment horizontal="justify" vertical="justify"/>
      <protection hidden="1"/>
    </xf>
    <xf numFmtId="0" fontId="9" fillId="0" borderId="183" xfId="0" applyFont="1" applyFill="1" applyBorder="1" applyAlignment="1" applyProtection="1">
      <alignment horizontal="left" wrapText="1"/>
      <protection hidden="1"/>
    </xf>
    <xf numFmtId="0" fontId="8" fillId="0" borderId="163" xfId="0" applyFont="1" applyBorder="1" applyAlignment="1" applyProtection="1">
      <alignment horizontal="left"/>
      <protection hidden="1"/>
    </xf>
    <xf numFmtId="0" fontId="9" fillId="0" borderId="183" xfId="0" applyFont="1" applyFill="1" applyBorder="1" applyAlignment="1" applyProtection="1">
      <alignment horizontal="left" vertical="justify"/>
      <protection hidden="1"/>
    </xf>
    <xf numFmtId="0" fontId="25" fillId="0" borderId="176" xfId="0" applyFont="1" applyFill="1" applyBorder="1" applyAlignment="1" applyProtection="1">
      <alignment horizontal="left" vertical="justify"/>
      <protection hidden="1"/>
    </xf>
    <xf numFmtId="0" fontId="25" fillId="22" borderId="176" xfId="0" applyFont="1" applyFill="1" applyBorder="1" applyAlignment="1" applyProtection="1">
      <alignment horizontal="left" vertical="justify"/>
      <protection hidden="1"/>
    </xf>
    <xf numFmtId="0" fontId="9" fillId="0" borderId="176" xfId="0" applyFont="1" applyFill="1" applyBorder="1" applyAlignment="1" applyProtection="1">
      <alignment horizontal="left" vertical="center"/>
      <protection hidden="1"/>
    </xf>
    <xf numFmtId="0" fontId="25" fillId="22" borderId="163" xfId="0" applyFont="1" applyFill="1" applyBorder="1" applyAlignment="1" applyProtection="1">
      <alignment horizontal="left" vertical="justify"/>
      <protection hidden="1"/>
    </xf>
    <xf numFmtId="0" fontId="8" fillId="0" borderId="164" xfId="0" applyFont="1" applyBorder="1" applyAlignment="1" applyProtection="1">
      <alignment horizontal="left" vertical="center"/>
      <protection hidden="1"/>
    </xf>
    <xf numFmtId="0" fontId="9" fillId="22" borderId="176" xfId="0" applyFont="1" applyFill="1" applyBorder="1" applyAlignment="1" applyProtection="1">
      <alignment vertical="center"/>
      <protection hidden="1"/>
    </xf>
    <xf numFmtId="0" fontId="8" fillId="0" borderId="163" xfId="0" applyFont="1" applyBorder="1" applyAlignment="1" applyProtection="1">
      <alignment horizontal="left" vertical="justify"/>
      <protection hidden="1"/>
    </xf>
    <xf numFmtId="0" fontId="8" fillId="22" borderId="163" xfId="0" applyFont="1" applyFill="1" applyBorder="1" applyAlignment="1" applyProtection="1">
      <alignment horizontal="left" vertical="justify"/>
      <protection hidden="1"/>
    </xf>
    <xf numFmtId="0" fontId="8" fillId="0" borderId="163" xfId="0" applyFont="1" applyBorder="1" applyAlignment="1" applyProtection="1">
      <alignment horizontal="justify" vertical="justify"/>
      <protection hidden="1"/>
    </xf>
    <xf numFmtId="0" fontId="8" fillId="22" borderId="164" xfId="0" applyFont="1" applyFill="1" applyBorder="1" applyAlignment="1" applyProtection="1">
      <alignment horizontal="left"/>
      <protection hidden="1"/>
    </xf>
    <xf numFmtId="0" fontId="8" fillId="22" borderId="162" xfId="0" applyFont="1" applyFill="1" applyBorder="1" applyAlignment="1" applyProtection="1">
      <alignment horizontal="justify" vertical="justify"/>
      <protection hidden="1"/>
    </xf>
    <xf numFmtId="0" fontId="9" fillId="22" borderId="166" xfId="0" applyFont="1" applyFill="1" applyBorder="1" applyAlignment="1" applyProtection="1">
      <alignment horizontal="left" vertical="justify"/>
      <protection hidden="1"/>
    </xf>
    <xf numFmtId="0" fontId="8" fillId="22" borderId="162" xfId="0" applyFont="1" applyFill="1" applyBorder="1" applyAlignment="1" applyProtection="1">
      <alignment horizontal="left" vertical="justify"/>
      <protection hidden="1"/>
    </xf>
    <xf numFmtId="0" fontId="0" fillId="0" borderId="0" xfId="0" applyBorder="1" applyAlignment="1" applyProtection="1">
      <alignment horizontal="center"/>
      <protection hidden="1"/>
    </xf>
    <xf numFmtId="0" fontId="0" fillId="0" borderId="0" xfId="0" applyAlignment="1" applyProtection="1">
      <alignment horizontal="center"/>
      <protection hidden="1"/>
    </xf>
    <xf numFmtId="0" fontId="74" fillId="0" borderId="0" xfId="0" applyFont="1" applyBorder="1" applyAlignment="1" applyProtection="1">
      <alignment horizontal="center"/>
      <protection hidden="1"/>
    </xf>
    <xf numFmtId="167" fontId="0" fillId="0" borderId="151" xfId="5" applyNumberFormat="1" applyFont="1" applyBorder="1"/>
    <xf numFmtId="171" fontId="86" fillId="0" borderId="151" xfId="4" applyNumberFormat="1" applyFont="1" applyBorder="1" applyAlignment="1"/>
    <xf numFmtId="0" fontId="15" fillId="0" borderId="199" xfId="0" applyFont="1" applyFill="1" applyBorder="1" applyAlignment="1" applyProtection="1">
      <alignment horizontal="center"/>
      <protection hidden="1"/>
    </xf>
    <xf numFmtId="171" fontId="10" fillId="5" borderId="212" xfId="4" applyNumberFormat="1" applyFont="1" applyFill="1" applyBorder="1" applyAlignment="1" applyProtection="1">
      <alignment horizontal="center"/>
      <protection locked="0"/>
    </xf>
    <xf numFmtId="171" fontId="10" fillId="5" borderId="213" xfId="4" applyNumberFormat="1" applyFont="1" applyFill="1" applyBorder="1" applyAlignment="1" applyProtection="1">
      <alignment horizontal="center"/>
      <protection locked="0"/>
    </xf>
    <xf numFmtId="171" fontId="10" fillId="0" borderId="130" xfId="4" applyNumberFormat="1" applyFont="1" applyFill="1" applyBorder="1" applyAlignment="1" applyProtection="1">
      <alignment horizontal="center"/>
      <protection hidden="1"/>
    </xf>
    <xf numFmtId="171" fontId="2" fillId="0" borderId="214" xfId="4" applyNumberFormat="1" applyFont="1" applyBorder="1" applyAlignment="1" applyProtection="1">
      <alignment horizontal="left"/>
      <protection hidden="1"/>
    </xf>
    <xf numFmtId="171" fontId="0" fillId="5" borderId="128" xfId="4" applyNumberFormat="1" applyFont="1" applyFill="1" applyBorder="1" applyAlignment="1" applyProtection="1">
      <alignment horizontal="center"/>
      <protection locked="0"/>
    </xf>
    <xf numFmtId="0" fontId="9" fillId="0" borderId="0" xfId="0" applyFont="1" applyBorder="1" applyAlignment="1" applyProtection="1">
      <alignment horizontal="center" vertical="center" textRotation="90"/>
      <protection hidden="1"/>
    </xf>
    <xf numFmtId="0" fontId="3" fillId="22" borderId="175" xfId="0" applyFont="1" applyFill="1" applyBorder="1" applyAlignment="1" applyProtection="1">
      <alignment horizontal="left" vertical="center"/>
      <protection hidden="1"/>
    </xf>
    <xf numFmtId="0" fontId="2" fillId="22" borderId="164" xfId="0" applyNumberFormat="1" applyFont="1" applyFill="1" applyBorder="1" applyAlignment="1" applyProtection="1">
      <alignment horizontal="center"/>
      <protection hidden="1"/>
    </xf>
    <xf numFmtId="171" fontId="8" fillId="22" borderId="171" xfId="4" applyNumberFormat="1" applyFont="1" applyFill="1" applyBorder="1" applyProtection="1">
      <protection locked="0"/>
    </xf>
    <xf numFmtId="0" fontId="0" fillId="0" borderId="0" xfId="0" applyFill="1" applyBorder="1" applyAlignment="1" applyProtection="1">
      <alignment horizontal="center"/>
      <protection hidden="1"/>
    </xf>
    <xf numFmtId="0" fontId="2" fillId="0" borderId="0" xfId="0" applyFont="1" applyBorder="1" applyAlignment="1">
      <alignment horizontal="left" vertical="justify"/>
    </xf>
    <xf numFmtId="0" fontId="0" fillId="0" borderId="0" xfId="0" applyBorder="1" applyAlignment="1">
      <alignment horizontal="left" vertical="justify"/>
    </xf>
    <xf numFmtId="0" fontId="0" fillId="0" borderId="0" xfId="0" applyBorder="1" applyAlignment="1">
      <alignment horizontal="center" vertical="center"/>
    </xf>
    <xf numFmtId="0" fontId="9" fillId="0" borderId="0" xfId="0" applyFont="1" applyBorder="1" applyAlignment="1">
      <alignment vertical="justify"/>
    </xf>
    <xf numFmtId="0" fontId="9" fillId="0" borderId="0" xfId="0" applyFont="1" applyBorder="1" applyAlignment="1">
      <alignment horizontal="center" vertical="center"/>
    </xf>
    <xf numFmtId="0" fontId="9" fillId="0" borderId="0" xfId="0" applyFont="1" applyBorder="1"/>
    <xf numFmtId="0" fontId="8" fillId="0" borderId="0" xfId="0" applyFont="1" applyBorder="1" applyAlignment="1">
      <alignment horizontal="center" vertical="center"/>
    </xf>
    <xf numFmtId="167" fontId="0" fillId="0" borderId="0" xfId="5" applyNumberFormat="1" applyFont="1" applyBorder="1" applyProtection="1">
      <protection locked="0"/>
    </xf>
    <xf numFmtId="0" fontId="2" fillId="0" borderId="0" xfId="0" applyFont="1" applyFill="1" applyBorder="1" applyAlignment="1" applyProtection="1">
      <alignment horizontal="left" vertical="center"/>
      <protection hidden="1"/>
    </xf>
    <xf numFmtId="171" fontId="19" fillId="0" borderId="5" xfId="4" applyNumberFormat="1" applyFont="1" applyBorder="1" applyAlignment="1" applyProtection="1">
      <alignment horizontal="center" vertical="center"/>
      <protection hidden="1"/>
    </xf>
    <xf numFmtId="0" fontId="0" fillId="0" borderId="217" xfId="0" applyBorder="1" applyAlignment="1">
      <alignment horizontal="center" vertical="center"/>
    </xf>
    <xf numFmtId="0" fontId="4" fillId="0" borderId="217" xfId="0" applyFont="1" applyBorder="1" applyAlignment="1">
      <alignment vertical="justify"/>
    </xf>
    <xf numFmtId="0" fontId="9" fillId="0" borderId="217" xfId="0" applyFont="1" applyBorder="1" applyAlignment="1">
      <alignment vertical="justify"/>
    </xf>
    <xf numFmtId="0" fontId="9" fillId="0" borderId="217" xfId="0" applyFont="1" applyBorder="1" applyAlignment="1">
      <alignment horizontal="center" vertical="center"/>
    </xf>
    <xf numFmtId="0" fontId="8" fillId="0" borderId="217" xfId="0" applyFont="1" applyBorder="1" applyAlignment="1">
      <alignment horizontal="center" vertical="center"/>
    </xf>
    <xf numFmtId="0" fontId="2" fillId="22" borderId="171" xfId="0" applyNumberFormat="1" applyFont="1" applyFill="1" applyBorder="1" applyAlignment="1" applyProtection="1">
      <alignment horizontal="center"/>
      <protection hidden="1"/>
    </xf>
    <xf numFmtId="0" fontId="0" fillId="5" borderId="0" xfId="0" applyFill="1" applyBorder="1" applyAlignment="1">
      <alignment horizontal="center"/>
    </xf>
    <xf numFmtId="0" fontId="0" fillId="5" borderId="0" xfId="0" applyNumberFormat="1" applyFill="1" applyBorder="1" applyAlignment="1">
      <alignment horizontal="center"/>
    </xf>
    <xf numFmtId="0" fontId="8" fillId="0" borderId="225" xfId="0" applyFont="1" applyBorder="1" applyAlignment="1">
      <alignment horizontal="center" vertical="center"/>
    </xf>
    <xf numFmtId="167" fontId="8" fillId="0" borderId="225" xfId="5" applyNumberFormat="1" applyFont="1" applyBorder="1"/>
    <xf numFmtId="167" fontId="8" fillId="0" borderId="226" xfId="5" applyNumberFormat="1" applyFont="1" applyBorder="1" applyProtection="1">
      <protection locked="0"/>
    </xf>
    <xf numFmtId="0" fontId="0" fillId="0" borderId="165" xfId="0" applyFill="1" applyBorder="1" applyAlignment="1" applyProtection="1">
      <alignment horizontal="center"/>
      <protection hidden="1"/>
    </xf>
    <xf numFmtId="0" fontId="0" fillId="22" borderId="165" xfId="0" applyFill="1" applyBorder="1" applyAlignment="1" applyProtection="1">
      <alignment horizontal="center"/>
      <protection hidden="1"/>
    </xf>
    <xf numFmtId="0" fontId="0" fillId="0" borderId="165" xfId="0" applyBorder="1" applyAlignment="1" applyProtection="1">
      <alignment horizontal="center"/>
      <protection hidden="1"/>
    </xf>
    <xf numFmtId="0" fontId="0" fillId="0" borderId="174" xfId="0" applyBorder="1" applyAlignment="1" applyProtection="1">
      <alignment horizontal="center"/>
      <protection hidden="1"/>
    </xf>
    <xf numFmtId="0" fontId="0" fillId="22" borderId="172" xfId="0" applyFill="1" applyBorder="1" applyAlignment="1" applyProtection="1">
      <alignment horizontal="center"/>
      <protection hidden="1"/>
    </xf>
    <xf numFmtId="0" fontId="0" fillId="22" borderId="174" xfId="0" applyFill="1" applyBorder="1" applyAlignment="1" applyProtection="1">
      <alignment horizontal="center"/>
      <protection hidden="1"/>
    </xf>
    <xf numFmtId="0" fontId="0" fillId="0" borderId="172" xfId="0" applyFill="1" applyBorder="1" applyAlignment="1" applyProtection="1">
      <alignment horizontal="center"/>
      <protection hidden="1"/>
    </xf>
    <xf numFmtId="167" fontId="0" fillId="0" borderId="217" xfId="5" applyNumberFormat="1" applyFont="1" applyBorder="1"/>
    <xf numFmtId="171" fontId="5" fillId="0" borderId="5" xfId="4" applyNumberFormat="1" applyFont="1" applyFill="1" applyBorder="1" applyAlignment="1" applyProtection="1">
      <alignment horizontal="center"/>
      <protection hidden="1"/>
    </xf>
    <xf numFmtId="0" fontId="17" fillId="0" borderId="39" xfId="0" applyFont="1" applyFill="1" applyBorder="1" applyAlignment="1" applyProtection="1">
      <alignment horizontal="center" vertical="justify"/>
      <protection hidden="1"/>
    </xf>
    <xf numFmtId="167" fontId="8" fillId="5" borderId="43" xfId="5" applyNumberFormat="1" applyFont="1" applyFill="1" applyBorder="1" applyProtection="1">
      <protection locked="0"/>
    </xf>
    <xf numFmtId="171" fontId="0" fillId="5" borderId="27" xfId="4" applyNumberFormat="1" applyFont="1" applyFill="1" applyBorder="1" applyProtection="1">
      <protection locked="0"/>
    </xf>
    <xf numFmtId="171" fontId="0" fillId="5" borderId="53" xfId="4" applyNumberFormat="1" applyFont="1" applyFill="1" applyBorder="1" applyAlignment="1" applyProtection="1">
      <alignment vertical="center"/>
      <protection locked="0"/>
    </xf>
    <xf numFmtId="0" fontId="26" fillId="0" borderId="42" xfId="0" applyFont="1" applyBorder="1" applyAlignment="1" applyProtection="1">
      <alignment horizontal="left" vertical="justify"/>
      <protection hidden="1"/>
    </xf>
    <xf numFmtId="167" fontId="2" fillId="5" borderId="1" xfId="5" applyNumberFormat="1" applyFont="1" applyFill="1" applyBorder="1" applyAlignment="1" applyProtection="1">
      <alignment horizontal="center"/>
      <protection locked="0"/>
    </xf>
    <xf numFmtId="0" fontId="7" fillId="19" borderId="29" xfId="0" applyFont="1" applyFill="1" applyBorder="1" applyAlignment="1" applyProtection="1">
      <alignment horizontal="center"/>
      <protection locked="0"/>
    </xf>
    <xf numFmtId="0" fontId="8" fillId="22" borderId="235" xfId="0" applyFont="1" applyFill="1" applyBorder="1" applyAlignment="1" applyProtection="1">
      <alignment horizontal="left" vertical="center"/>
      <protection hidden="1"/>
    </xf>
    <xf numFmtId="0" fontId="0" fillId="22" borderId="235" xfId="0" applyFill="1" applyBorder="1" applyAlignment="1" applyProtection="1">
      <alignment horizontal="center"/>
      <protection hidden="1"/>
    </xf>
    <xf numFmtId="167" fontId="8" fillId="0" borderId="235" xfId="5" applyNumberFormat="1" applyFont="1" applyBorder="1" applyAlignment="1" applyProtection="1">
      <alignment horizontal="center"/>
      <protection hidden="1"/>
    </xf>
    <xf numFmtId="0" fontId="0" fillId="22" borderId="235" xfId="0" applyFill="1" applyBorder="1" applyAlignment="1">
      <alignment vertical="center"/>
    </xf>
    <xf numFmtId="0" fontId="0" fillId="23" borderId="0" xfId="0" applyFill="1" applyBorder="1"/>
    <xf numFmtId="0" fontId="0" fillId="0" borderId="225" xfId="0" applyBorder="1" applyAlignment="1">
      <alignment horizontal="center" vertical="center"/>
    </xf>
    <xf numFmtId="0" fontId="0" fillId="0" borderId="225" xfId="0" applyBorder="1"/>
    <xf numFmtId="0" fontId="4" fillId="0" borderId="225" xfId="0" applyFont="1" applyBorder="1"/>
    <xf numFmtId="0" fontId="9" fillId="0" borderId="225" xfId="0" applyFont="1" applyBorder="1" applyAlignment="1">
      <alignment vertical="justify"/>
    </xf>
    <xf numFmtId="0" fontId="9" fillId="0" borderId="225" xfId="0" applyFont="1" applyBorder="1" applyAlignment="1">
      <alignment horizontal="center" vertical="center"/>
    </xf>
    <xf numFmtId="0" fontId="9" fillId="0" borderId="225" xfId="0" applyFont="1" applyBorder="1"/>
    <xf numFmtId="0" fontId="2" fillId="22" borderId="259" xfId="0" applyFont="1" applyFill="1" applyBorder="1" applyAlignment="1" applyProtection="1">
      <alignment horizontal="left" vertical="center"/>
      <protection hidden="1"/>
    </xf>
    <xf numFmtId="0" fontId="0" fillId="22" borderId="259" xfId="0" applyFill="1" applyBorder="1" applyAlignment="1" applyProtection="1">
      <alignment horizontal="center"/>
      <protection hidden="1"/>
    </xf>
    <xf numFmtId="171" fontId="8" fillId="0" borderId="259" xfId="4" applyNumberFormat="1" applyFont="1" applyFill="1" applyBorder="1" applyAlignment="1" applyProtection="1">
      <alignment horizontal="center"/>
      <protection hidden="1"/>
    </xf>
    <xf numFmtId="0" fontId="0" fillId="22" borderId="259" xfId="0" applyFill="1" applyBorder="1" applyAlignment="1">
      <alignment horizontal="center"/>
    </xf>
    <xf numFmtId="0" fontId="0" fillId="22" borderId="259" xfId="0" applyFill="1" applyBorder="1"/>
    <xf numFmtId="0" fontId="8" fillId="22" borderId="259" xfId="0" applyFont="1" applyFill="1" applyBorder="1" applyAlignment="1">
      <alignment horizontal="center"/>
    </xf>
    <xf numFmtId="0" fontId="0" fillId="0" borderId="172" xfId="0" applyBorder="1" applyProtection="1">
      <protection hidden="1"/>
    </xf>
    <xf numFmtId="0" fontId="0" fillId="0" borderId="174" xfId="0" applyBorder="1" applyProtection="1">
      <protection hidden="1"/>
    </xf>
    <xf numFmtId="0" fontId="2" fillId="22" borderId="229" xfId="0" applyFont="1" applyFill="1" applyBorder="1" applyAlignment="1">
      <alignment horizontal="center"/>
    </xf>
    <xf numFmtId="0" fontId="2" fillId="0" borderId="197" xfId="0" applyFont="1" applyBorder="1" applyAlignment="1">
      <alignment horizontal="center"/>
    </xf>
    <xf numFmtId="0" fontId="2" fillId="22" borderId="197" xfId="0" applyFont="1" applyFill="1" applyBorder="1" applyAlignment="1">
      <alignment horizontal="center"/>
    </xf>
    <xf numFmtId="0" fontId="2" fillId="0" borderId="222" xfId="0" applyFont="1" applyBorder="1" applyAlignment="1">
      <alignment horizontal="center"/>
    </xf>
    <xf numFmtId="0" fontId="2" fillId="22" borderId="254" xfId="0" applyFont="1" applyFill="1" applyBorder="1" applyAlignment="1">
      <alignment horizontal="center" vertical="center"/>
    </xf>
    <xf numFmtId="0" fontId="2" fillId="0" borderId="197" xfId="0" applyFont="1" applyFill="1" applyBorder="1" applyAlignment="1">
      <alignment horizontal="center" vertical="center"/>
    </xf>
    <xf numFmtId="0" fontId="2" fillId="22" borderId="197" xfId="0" applyFont="1" applyFill="1" applyBorder="1" applyAlignment="1">
      <alignment horizontal="center" vertical="center"/>
    </xf>
    <xf numFmtId="0" fontId="2" fillId="0" borderId="228" xfId="0" applyFont="1" applyFill="1" applyBorder="1" applyAlignment="1">
      <alignment horizontal="center" vertical="center"/>
    </xf>
    <xf numFmtId="0" fontId="2" fillId="0" borderId="225" xfId="0" applyFont="1" applyBorder="1" applyAlignment="1">
      <alignment horizontal="center" vertical="center"/>
    </xf>
    <xf numFmtId="0" fontId="2" fillId="22" borderId="222" xfId="0" applyFont="1" applyFill="1" applyBorder="1" applyAlignment="1">
      <alignment horizontal="center" vertical="center"/>
    </xf>
    <xf numFmtId="167" fontId="8" fillId="22" borderId="223" xfId="5" applyNumberFormat="1" applyFont="1" applyFill="1" applyBorder="1" applyProtection="1">
      <protection locked="0"/>
    </xf>
    <xf numFmtId="0" fontId="8" fillId="22" borderId="265" xfId="0" applyFont="1" applyFill="1" applyBorder="1" applyAlignment="1">
      <alignment textRotation="91"/>
    </xf>
    <xf numFmtId="167" fontId="8" fillId="22" borderId="221" xfId="5" applyNumberFormat="1" applyFont="1" applyFill="1" applyBorder="1"/>
    <xf numFmtId="0" fontId="67" fillId="5" borderId="4" xfId="0" applyFont="1" applyFill="1" applyBorder="1" applyAlignment="1" applyProtection="1">
      <alignment horizontal="center" vertical="center"/>
      <protection locked="0"/>
    </xf>
    <xf numFmtId="171" fontId="26" fillId="0" borderId="0" xfId="4" applyNumberFormat="1" applyFont="1" applyProtection="1">
      <protection hidden="1"/>
    </xf>
    <xf numFmtId="167" fontId="2" fillId="5" borderId="1" xfId="5" applyNumberFormat="1" applyFont="1" applyFill="1" applyBorder="1" applyAlignment="1" applyProtection="1">
      <alignment horizontal="left" vertical="center"/>
      <protection locked="0"/>
    </xf>
    <xf numFmtId="164" fontId="0" fillId="0" borderId="0" xfId="0" applyNumberFormat="1" applyFill="1" applyProtection="1">
      <protection hidden="1"/>
    </xf>
    <xf numFmtId="164" fontId="0" fillId="0" borderId="0" xfId="0" applyNumberFormat="1" applyProtection="1">
      <protection hidden="1"/>
    </xf>
    <xf numFmtId="167" fontId="2" fillId="5" borderId="27" xfId="5" applyNumberFormat="1" applyFont="1" applyFill="1" applyBorder="1" applyAlignment="1" applyProtection="1">
      <alignment horizontal="center"/>
      <protection locked="0"/>
    </xf>
    <xf numFmtId="0" fontId="53" fillId="11" borderId="56" xfId="7" applyFont="1" applyFill="1" applyBorder="1" applyAlignment="1">
      <alignment horizontal="center" vertical="center" wrapText="1"/>
    </xf>
    <xf numFmtId="0" fontId="53" fillId="11" borderId="57" xfId="7" applyFont="1" applyFill="1" applyBorder="1" applyAlignment="1">
      <alignment horizontal="center" vertical="center" wrapText="1"/>
    </xf>
    <xf numFmtId="0" fontId="53" fillId="11" borderId="41" xfId="7" applyFont="1" applyFill="1" applyBorder="1" applyAlignment="1">
      <alignment horizontal="center" vertical="center" wrapText="1"/>
    </xf>
    <xf numFmtId="0" fontId="53" fillId="11" borderId="4" xfId="7" applyFont="1" applyFill="1" applyBorder="1" applyAlignment="1">
      <alignment horizontal="center" vertical="center" textRotation="90" wrapText="1"/>
    </xf>
    <xf numFmtId="0" fontId="53" fillId="11" borderId="6" xfId="7" applyFont="1" applyFill="1" applyBorder="1" applyAlignment="1">
      <alignment horizontal="center" vertical="center" textRotation="90" wrapText="1"/>
    </xf>
    <xf numFmtId="3" fontId="0" fillId="3" borderId="17" xfId="0" applyNumberFormat="1" applyFill="1" applyBorder="1" applyAlignment="1">
      <alignment horizontal="left" wrapText="1"/>
    </xf>
    <xf numFmtId="3" fontId="0" fillId="3" borderId="19" xfId="0" applyNumberFormat="1" applyFill="1" applyBorder="1" applyAlignment="1">
      <alignment horizontal="left" wrapText="1"/>
    </xf>
    <xf numFmtId="0" fontId="72" fillId="17" borderId="14" xfId="0" applyFont="1" applyFill="1" applyBorder="1" applyAlignment="1">
      <alignment horizontal="center" vertical="center"/>
    </xf>
    <xf numFmtId="0" fontId="72" fillId="17" borderId="0" xfId="0" applyFont="1" applyFill="1" applyBorder="1" applyAlignment="1">
      <alignment horizontal="center" vertical="center"/>
    </xf>
    <xf numFmtId="0" fontId="72" fillId="17" borderId="15" xfId="0" applyFont="1" applyFill="1" applyBorder="1" applyAlignment="1">
      <alignment horizontal="center" vertical="center"/>
    </xf>
    <xf numFmtId="0" fontId="10" fillId="0" borderId="0" xfId="0" applyFont="1" applyAlignment="1">
      <alignment horizontal="left" vertical="justify"/>
    </xf>
    <xf numFmtId="167" fontId="0" fillId="0" borderId="0" xfId="5" applyNumberFormat="1" applyFont="1" applyAlignment="1">
      <alignment horizontal="center"/>
    </xf>
    <xf numFmtId="0" fontId="10" fillId="0" borderId="2" xfId="0" applyFont="1" applyFill="1" applyBorder="1" applyAlignment="1">
      <alignment horizontal="center"/>
    </xf>
    <xf numFmtId="0" fontId="10" fillId="0" borderId="3" xfId="0" applyFont="1" applyFill="1" applyBorder="1" applyAlignment="1">
      <alignment horizontal="center"/>
    </xf>
    <xf numFmtId="167" fontId="0" fillId="0" borderId="6" xfId="5" applyNumberFormat="1" applyFont="1" applyBorder="1" applyAlignment="1">
      <alignment horizontal="center"/>
    </xf>
    <xf numFmtId="167" fontId="0" fillId="0" borderId="7" xfId="5" applyNumberFormat="1" applyFont="1" applyBorder="1" applyAlignment="1">
      <alignment horizontal="center"/>
    </xf>
    <xf numFmtId="0" fontId="9" fillId="0" borderId="72" xfId="0" applyFont="1" applyBorder="1" applyAlignment="1">
      <alignment horizontal="center"/>
    </xf>
    <xf numFmtId="0" fontId="9" fillId="0" borderId="73" xfId="0" applyFont="1" applyBorder="1" applyAlignment="1">
      <alignment horizontal="center"/>
    </xf>
    <xf numFmtId="0" fontId="9" fillId="0" borderId="74" xfId="0" applyFont="1" applyBorder="1" applyAlignment="1">
      <alignment horizontal="center"/>
    </xf>
    <xf numFmtId="167" fontId="0" fillId="0" borderId="0" xfId="5" applyNumberFormat="1" applyFont="1" applyBorder="1" applyAlignment="1">
      <alignment horizontal="center"/>
    </xf>
    <xf numFmtId="0" fontId="74" fillId="0" borderId="116" xfId="0" applyFont="1" applyFill="1" applyBorder="1" applyAlignment="1">
      <alignment horizontal="center"/>
    </xf>
    <xf numFmtId="0" fontId="74" fillId="0" borderId="117" xfId="0" applyFont="1" applyFill="1" applyBorder="1" applyAlignment="1">
      <alignment horizontal="center"/>
    </xf>
    <xf numFmtId="0" fontId="74" fillId="0" borderId="118" xfId="0" applyFont="1" applyFill="1" applyBorder="1" applyAlignment="1">
      <alignment horizontal="center"/>
    </xf>
    <xf numFmtId="0" fontId="5" fillId="13" borderId="0" xfId="0" applyFont="1" applyFill="1" applyBorder="1" applyAlignment="1">
      <alignment horizontal="left"/>
    </xf>
    <xf numFmtId="0" fontId="2" fillId="13" borderId="0" xfId="0" applyFont="1" applyFill="1" applyBorder="1" applyAlignment="1">
      <alignment horizontal="left"/>
    </xf>
    <xf numFmtId="0" fontId="0" fillId="0" borderId="53" xfId="0" applyBorder="1" applyAlignment="1">
      <alignment horizontal="center"/>
    </xf>
    <xf numFmtId="0" fontId="0" fillId="0" borderId="51" xfId="0" applyBorder="1" applyAlignment="1">
      <alignment horizontal="center"/>
    </xf>
    <xf numFmtId="0" fontId="0" fillId="0" borderId="48" xfId="0" applyBorder="1" applyAlignment="1">
      <alignment horizontal="center"/>
    </xf>
    <xf numFmtId="0" fontId="66" fillId="13" borderId="0" xfId="0" applyFont="1" applyFill="1" applyBorder="1" applyAlignment="1">
      <alignment horizontal="left"/>
    </xf>
    <xf numFmtId="9" fontId="64" fillId="6" borderId="0" xfId="0" applyNumberFormat="1" applyFont="1" applyFill="1" applyBorder="1" applyAlignment="1">
      <alignment horizontal="left" vertical="center"/>
    </xf>
    <xf numFmtId="0" fontId="66" fillId="0" borderId="0" xfId="0" applyFont="1" applyFill="1" applyBorder="1" applyAlignment="1">
      <alignment horizontal="left"/>
    </xf>
    <xf numFmtId="0" fontId="5" fillId="0" borderId="0" xfId="0" applyFont="1" applyFill="1" applyBorder="1" applyAlignment="1">
      <alignment horizontal="left"/>
    </xf>
    <xf numFmtId="0" fontId="66" fillId="6" borderId="0" xfId="0" applyFont="1" applyFill="1" applyBorder="1" applyAlignment="1">
      <alignment horizontal="left"/>
    </xf>
    <xf numFmtId="0" fontId="9" fillId="0" borderId="4" xfId="0" applyFont="1" applyFill="1" applyBorder="1" applyAlignment="1">
      <alignment horizontal="left" vertical="center"/>
    </xf>
    <xf numFmtId="0" fontId="0" fillId="0" borderId="1" xfId="0" applyBorder="1"/>
    <xf numFmtId="0" fontId="3" fillId="13" borderId="109" xfId="0" applyFont="1" applyFill="1" applyBorder="1" applyAlignment="1">
      <alignment horizontal="left"/>
    </xf>
    <xf numFmtId="0" fontId="3" fillId="13" borderId="0" xfId="0" applyFont="1" applyFill="1" applyBorder="1" applyAlignment="1">
      <alignment horizontal="left"/>
    </xf>
    <xf numFmtId="0" fontId="3" fillId="13" borderId="106" xfId="0" applyFont="1" applyFill="1" applyBorder="1" applyAlignment="1">
      <alignment horizontal="left"/>
    </xf>
    <xf numFmtId="0" fontId="14" fillId="0" borderId="4" xfId="0" applyFont="1" applyBorder="1" applyAlignment="1">
      <alignment horizontal="left"/>
    </xf>
    <xf numFmtId="0" fontId="14" fillId="0" borderId="1" xfId="0" applyFont="1" applyBorder="1" applyAlignment="1">
      <alignment horizontal="left"/>
    </xf>
    <xf numFmtId="0" fontId="9" fillId="0" borderId="34" xfId="0" applyFont="1" applyFill="1" applyBorder="1" applyAlignment="1">
      <alignment horizontal="left" vertical="center"/>
    </xf>
    <xf numFmtId="0" fontId="9" fillId="0" borderId="20" xfId="0" applyFont="1" applyFill="1" applyBorder="1" applyAlignment="1">
      <alignment horizontal="left" vertical="center"/>
    </xf>
    <xf numFmtId="0" fontId="34" fillId="5" borderId="68" xfId="0" applyFont="1" applyFill="1" applyBorder="1" applyAlignment="1">
      <alignment horizontal="center"/>
    </xf>
    <xf numFmtId="0" fontId="34" fillId="5" borderId="61" xfId="0" applyFont="1" applyFill="1" applyBorder="1" applyAlignment="1">
      <alignment horizontal="center"/>
    </xf>
    <xf numFmtId="0" fontId="34" fillId="5" borderId="50" xfId="0" applyFont="1" applyFill="1" applyBorder="1" applyAlignment="1">
      <alignment horizontal="center"/>
    </xf>
    <xf numFmtId="0" fontId="9" fillId="0" borderId="42" xfId="0" applyFont="1" applyFill="1" applyBorder="1" applyAlignment="1">
      <alignment horizontal="left" vertical="center"/>
    </xf>
    <xf numFmtId="0" fontId="9" fillId="0" borderId="26" xfId="0" applyFont="1" applyFill="1" applyBorder="1" applyAlignment="1">
      <alignment horizontal="left" vertical="center"/>
    </xf>
    <xf numFmtId="0" fontId="4" fillId="13" borderId="110" xfId="0" applyFont="1" applyFill="1" applyBorder="1" applyAlignment="1">
      <alignment horizontal="center" vertical="justify"/>
    </xf>
    <xf numFmtId="0" fontId="4" fillId="13" borderId="111" xfId="0" applyFont="1" applyFill="1" applyBorder="1" applyAlignment="1">
      <alignment horizontal="center" vertical="justify"/>
    </xf>
    <xf numFmtId="0" fontId="4" fillId="13" borderId="112" xfId="0" applyFont="1" applyFill="1" applyBorder="1" applyAlignment="1">
      <alignment horizontal="center" vertical="justify"/>
    </xf>
    <xf numFmtId="0" fontId="5" fillId="13" borderId="104" xfId="0" applyFont="1" applyFill="1" applyBorder="1" applyAlignment="1">
      <alignment horizontal="left"/>
    </xf>
    <xf numFmtId="0" fontId="5" fillId="13" borderId="126" xfId="0" applyFont="1" applyFill="1" applyBorder="1" applyAlignment="1">
      <alignment horizontal="left"/>
    </xf>
    <xf numFmtId="0" fontId="5" fillId="13" borderId="106" xfId="0" applyFont="1" applyFill="1" applyBorder="1" applyAlignment="1">
      <alignment horizontal="left"/>
    </xf>
    <xf numFmtId="0" fontId="3" fillId="0" borderId="60" xfId="0" applyFont="1" applyBorder="1" applyAlignment="1">
      <alignment horizontal="left"/>
    </xf>
    <xf numFmtId="0" fontId="3" fillId="0" borderId="62" xfId="0" applyFont="1" applyBorder="1" applyAlignment="1">
      <alignment horizontal="left"/>
    </xf>
    <xf numFmtId="0" fontId="24" fillId="13" borderId="0" xfId="0" applyFont="1" applyFill="1" applyBorder="1" applyAlignment="1">
      <alignment horizontal="left"/>
    </xf>
    <xf numFmtId="43" fontId="0" fillId="0" borderId="60" xfId="4" applyFont="1" applyBorder="1" applyAlignment="1" applyProtection="1">
      <alignment horizontal="center"/>
      <protection hidden="1"/>
    </xf>
    <xf numFmtId="43" fontId="0" fillId="0" borderId="50" xfId="4" applyFont="1" applyBorder="1" applyAlignment="1" applyProtection="1">
      <alignment horizontal="center"/>
      <protection hidden="1"/>
    </xf>
    <xf numFmtId="0" fontId="5" fillId="0" borderId="2" xfId="0" applyFont="1" applyFill="1" applyBorder="1" applyAlignment="1" applyProtection="1">
      <alignment horizontal="center"/>
      <protection hidden="1"/>
    </xf>
    <xf numFmtId="0" fontId="5" fillId="0" borderId="3" xfId="0" applyFont="1" applyFill="1" applyBorder="1" applyAlignment="1" applyProtection="1">
      <alignment horizontal="center"/>
      <protection hidden="1"/>
    </xf>
    <xf numFmtId="167" fontId="59" fillId="0" borderId="6" xfId="6" applyNumberFormat="1" applyFont="1" applyBorder="1" applyAlignment="1" applyProtection="1">
      <alignment horizontal="center"/>
      <protection hidden="1"/>
    </xf>
    <xf numFmtId="167" fontId="59" fillId="0" borderId="7" xfId="6" applyNumberFormat="1" applyFont="1" applyBorder="1" applyAlignment="1" applyProtection="1">
      <alignment horizontal="center"/>
      <protection hidden="1"/>
    </xf>
    <xf numFmtId="0" fontId="8" fillId="0" borderId="0" xfId="0" applyFont="1" applyBorder="1" applyAlignment="1" applyProtection="1">
      <alignment horizontal="left"/>
      <protection hidden="1"/>
    </xf>
    <xf numFmtId="0" fontId="8" fillId="0" borderId="0" xfId="0" applyFont="1" applyFill="1" applyBorder="1" applyAlignment="1" applyProtection="1">
      <alignment horizontal="left" vertical="center"/>
      <protection hidden="1"/>
    </xf>
    <xf numFmtId="0" fontId="5" fillId="9" borderId="0" xfId="0" applyFont="1" applyFill="1" applyBorder="1" applyAlignment="1" applyProtection="1">
      <alignment horizontal="left"/>
      <protection hidden="1"/>
    </xf>
    <xf numFmtId="0" fontId="0" fillId="9" borderId="0" xfId="0" applyFill="1" applyBorder="1" applyAlignment="1" applyProtection="1">
      <alignment horizontal="left"/>
      <protection hidden="1"/>
    </xf>
    <xf numFmtId="0" fontId="4" fillId="0" borderId="0" xfId="0" applyFont="1" applyBorder="1" applyAlignment="1" applyProtection="1">
      <alignment horizontal="center" vertical="center" textRotation="90"/>
      <protection hidden="1"/>
    </xf>
    <xf numFmtId="0" fontId="5" fillId="9" borderId="125" xfId="0" applyFont="1" applyFill="1" applyBorder="1" applyAlignment="1" applyProtection="1">
      <alignment horizontal="left"/>
      <protection hidden="1"/>
    </xf>
    <xf numFmtId="0" fontId="0" fillId="9" borderId="98" xfId="0" applyFill="1" applyBorder="1" applyAlignment="1" applyProtection="1">
      <alignment horizontal="left"/>
      <protection hidden="1"/>
    </xf>
    <xf numFmtId="0" fontId="5" fillId="0" borderId="109" xfId="0" applyFont="1" applyBorder="1" applyAlignment="1">
      <alignment horizontal="left"/>
    </xf>
    <xf numFmtId="0" fontId="5" fillId="0" borderId="0" xfId="0" applyFont="1" applyBorder="1" applyAlignment="1">
      <alignment horizontal="left"/>
    </xf>
    <xf numFmtId="0" fontId="72" fillId="17" borderId="119" xfId="0" applyFont="1" applyFill="1" applyBorder="1" applyAlignment="1" applyProtection="1">
      <alignment horizontal="center" vertical="center"/>
      <protection hidden="1"/>
    </xf>
    <xf numFmtId="0" fontId="72" fillId="17" borderId="0" xfId="0" applyFont="1" applyFill="1" applyBorder="1" applyAlignment="1" applyProtection="1">
      <alignment horizontal="center" vertical="center"/>
      <protection hidden="1"/>
    </xf>
    <xf numFmtId="0" fontId="72" fillId="17" borderId="97" xfId="0" applyFont="1" applyFill="1" applyBorder="1" applyAlignment="1" applyProtection="1">
      <alignment horizontal="center" vertical="center"/>
      <protection hidden="1"/>
    </xf>
    <xf numFmtId="0" fontId="7" fillId="0" borderId="119" xfId="0" applyFont="1" applyBorder="1" applyAlignment="1" applyProtection="1">
      <alignment horizontal="center" vertical="center" textRotation="90"/>
      <protection hidden="1"/>
    </xf>
    <xf numFmtId="0" fontId="26" fillId="9" borderId="0" xfId="0" applyFont="1" applyFill="1" applyBorder="1" applyAlignment="1" applyProtection="1">
      <alignment horizontal="left" vertical="justify"/>
      <protection hidden="1"/>
    </xf>
    <xf numFmtId="0" fontId="9" fillId="9" borderId="0" xfId="0" applyFont="1" applyFill="1" applyBorder="1" applyAlignment="1" applyProtection="1">
      <alignment horizontal="left"/>
      <protection hidden="1"/>
    </xf>
    <xf numFmtId="0" fontId="5" fillId="0" borderId="0" xfId="0" applyFont="1" applyBorder="1" applyAlignment="1" applyProtection="1">
      <alignment horizontal="left"/>
      <protection hidden="1"/>
    </xf>
    <xf numFmtId="0" fontId="0" fillId="0" borderId="0" xfId="0" applyBorder="1" applyAlignment="1" applyProtection="1">
      <alignment horizontal="left"/>
      <protection hidden="1"/>
    </xf>
    <xf numFmtId="0" fontId="8" fillId="9" borderId="0" xfId="0" applyFont="1" applyFill="1" applyBorder="1" applyAlignment="1" applyProtection="1">
      <alignment horizontal="left"/>
      <protection hidden="1"/>
    </xf>
    <xf numFmtId="0" fontId="4" fillId="0" borderId="0" xfId="0" applyFont="1" applyBorder="1" applyAlignment="1" applyProtection="1">
      <alignment horizontal="center" vertical="justify" textRotation="90"/>
      <protection hidden="1"/>
    </xf>
    <xf numFmtId="0" fontId="25" fillId="9" borderId="0" xfId="0" applyFont="1" applyFill="1" applyBorder="1" applyAlignment="1" applyProtection="1">
      <alignment horizontal="left" vertical="justify"/>
      <protection hidden="1"/>
    </xf>
    <xf numFmtId="0" fontId="9" fillId="0" borderId="0" xfId="0" applyFont="1" applyBorder="1" applyAlignment="1" applyProtection="1">
      <alignment horizontal="center" vertical="justify" textRotation="90"/>
      <protection hidden="1"/>
    </xf>
    <xf numFmtId="167" fontId="0" fillId="0" borderId="60" xfId="0" applyNumberFormat="1" applyBorder="1" applyAlignment="1" applyProtection="1">
      <alignment horizontal="center"/>
      <protection hidden="1"/>
    </xf>
    <xf numFmtId="0" fontId="0" fillId="0" borderId="50" xfId="0" applyNumberFormat="1" applyBorder="1" applyAlignment="1" applyProtection="1">
      <alignment horizontal="center"/>
      <protection hidden="1"/>
    </xf>
    <xf numFmtId="0" fontId="8" fillId="0" borderId="0" xfId="0" applyFont="1" applyBorder="1" applyAlignment="1" applyProtection="1">
      <alignment horizontal="left" vertical="center"/>
      <protection hidden="1"/>
    </xf>
    <xf numFmtId="0" fontId="8" fillId="9" borderId="0" xfId="0" applyFont="1" applyFill="1" applyBorder="1" applyAlignment="1" applyProtection="1">
      <alignment horizontal="left" vertical="center"/>
      <protection hidden="1"/>
    </xf>
    <xf numFmtId="0" fontId="3" fillId="9" borderId="0" xfId="0" applyFont="1" applyFill="1" applyBorder="1" applyAlignment="1" applyProtection="1">
      <alignment horizontal="left" vertical="center"/>
      <protection hidden="1"/>
    </xf>
    <xf numFmtId="0" fontId="15" fillId="0" borderId="120" xfId="0" applyFont="1" applyBorder="1" applyAlignment="1" applyProtection="1">
      <alignment horizontal="center"/>
      <protection hidden="1"/>
    </xf>
    <xf numFmtId="0" fontId="4" fillId="0" borderId="120" xfId="0" applyFont="1" applyBorder="1" applyAlignment="1" applyProtection="1">
      <alignment horizontal="center"/>
      <protection hidden="1"/>
    </xf>
    <xf numFmtId="0" fontId="8" fillId="9" borderId="95" xfId="0" applyFont="1" applyFill="1" applyBorder="1" applyAlignment="1" applyProtection="1">
      <alignment horizontal="left"/>
      <protection hidden="1"/>
    </xf>
    <xf numFmtId="0" fontId="25" fillId="0" borderId="0" xfId="0" applyFont="1" applyBorder="1" applyAlignment="1" applyProtection="1">
      <alignment horizontal="left"/>
      <protection hidden="1"/>
    </xf>
    <xf numFmtId="0" fontId="0" fillId="9" borderId="95" xfId="0" applyFill="1" applyBorder="1" applyAlignment="1" applyProtection="1">
      <alignment horizontal="left"/>
      <protection hidden="1"/>
    </xf>
    <xf numFmtId="0" fontId="9" fillId="0" borderId="121" xfId="0" applyFont="1" applyBorder="1" applyAlignment="1" applyProtection="1">
      <alignment horizontal="center" textRotation="90"/>
      <protection hidden="1"/>
    </xf>
    <xf numFmtId="0" fontId="9" fillId="0" borderId="119" xfId="0" applyFont="1" applyBorder="1" applyAlignment="1" applyProtection="1">
      <alignment horizontal="center" textRotation="90"/>
      <protection hidden="1"/>
    </xf>
    <xf numFmtId="0" fontId="0" fillId="0" borderId="98" xfId="0" applyBorder="1" applyAlignment="1" applyProtection="1">
      <alignment horizontal="center"/>
      <protection hidden="1"/>
    </xf>
    <xf numFmtId="0" fontId="34" fillId="9" borderId="0" xfId="0" applyFont="1" applyFill="1" applyAlignment="1" applyProtection="1">
      <alignment horizontal="center" vertical="center"/>
      <protection hidden="1"/>
    </xf>
    <xf numFmtId="0" fontId="4" fillId="0" borderId="122" xfId="0" applyFont="1" applyBorder="1" applyAlignment="1" applyProtection="1">
      <alignment horizontal="center" textRotation="90"/>
      <protection hidden="1"/>
    </xf>
    <xf numFmtId="0" fontId="4" fillId="0" borderId="123" xfId="0" applyFont="1" applyBorder="1" applyAlignment="1" applyProtection="1">
      <alignment horizontal="center" textRotation="90"/>
      <protection hidden="1"/>
    </xf>
    <xf numFmtId="0" fontId="4" fillId="0" borderId="124" xfId="0" applyFont="1" applyBorder="1" applyAlignment="1" applyProtection="1">
      <alignment horizontal="center" textRotation="90"/>
      <protection hidden="1"/>
    </xf>
    <xf numFmtId="167" fontId="0" fillId="5" borderId="60" xfId="0" applyNumberFormat="1" applyFill="1" applyBorder="1" applyAlignment="1">
      <alignment horizontal="center"/>
    </xf>
    <xf numFmtId="0" fontId="0" fillId="5" borderId="50" xfId="0" applyNumberFormat="1" applyFill="1" applyBorder="1" applyAlignment="1">
      <alignment horizontal="center"/>
    </xf>
    <xf numFmtId="0" fontId="5" fillId="5" borderId="2" xfId="0" applyFont="1" applyFill="1" applyBorder="1" applyAlignment="1">
      <alignment horizontal="center"/>
    </xf>
    <xf numFmtId="0" fontId="5" fillId="5" borderId="3" xfId="0" applyFont="1" applyFill="1" applyBorder="1" applyAlignment="1">
      <alignment horizontal="center"/>
    </xf>
    <xf numFmtId="167" fontId="56" fillId="5" borderId="6" xfId="5" applyNumberFormat="1" applyFont="1" applyFill="1" applyBorder="1" applyAlignment="1">
      <alignment horizontal="center"/>
    </xf>
    <xf numFmtId="167" fontId="56" fillId="5" borderId="7" xfId="5" applyNumberFormat="1" applyFont="1" applyFill="1" applyBorder="1" applyAlignment="1">
      <alignment horizontal="center"/>
    </xf>
    <xf numFmtId="0" fontId="9" fillId="9" borderId="0" xfId="0" applyFont="1" applyFill="1" applyBorder="1" applyAlignment="1" applyProtection="1">
      <alignment horizontal="left" vertical="center"/>
      <protection hidden="1"/>
    </xf>
    <xf numFmtId="0" fontId="9" fillId="0" borderId="0" xfId="0" applyFont="1" applyFill="1" applyBorder="1" applyAlignment="1" applyProtection="1">
      <alignment vertical="center"/>
      <protection hidden="1"/>
    </xf>
    <xf numFmtId="0" fontId="9" fillId="9" borderId="0" xfId="0" applyFont="1" applyFill="1" applyBorder="1" applyAlignment="1" applyProtection="1">
      <alignment vertical="center"/>
      <protection hidden="1"/>
    </xf>
    <xf numFmtId="0" fontId="25" fillId="9" borderId="0" xfId="0" applyFont="1" applyFill="1" applyBorder="1" applyAlignment="1" applyProtection="1">
      <alignment vertical="justify"/>
      <protection hidden="1"/>
    </xf>
    <xf numFmtId="0" fontId="74" fillId="0" borderId="95" xfId="0" applyFont="1" applyBorder="1" applyAlignment="1" applyProtection="1">
      <alignment horizontal="center"/>
      <protection hidden="1"/>
    </xf>
    <xf numFmtId="0" fontId="9" fillId="0" borderId="0" xfId="0" applyFont="1" applyFill="1" applyBorder="1" applyAlignment="1" applyProtection="1">
      <alignment horizontal="left" vertical="center"/>
      <protection hidden="1"/>
    </xf>
    <xf numFmtId="0" fontId="15" fillId="0" borderId="0" xfId="0" applyFont="1" applyBorder="1" applyAlignment="1" applyProtection="1">
      <alignment horizontal="center" vertical="center" textRotation="90"/>
      <protection hidden="1"/>
    </xf>
    <xf numFmtId="0" fontId="15" fillId="0" borderId="119" xfId="0" applyFont="1" applyBorder="1" applyAlignment="1" applyProtection="1">
      <alignment horizontal="center" vertical="center" textRotation="90"/>
      <protection hidden="1"/>
    </xf>
    <xf numFmtId="0" fontId="25" fillId="0" borderId="0" xfId="0" applyFont="1" applyFill="1" applyBorder="1" applyAlignment="1" applyProtection="1">
      <alignment vertical="justify"/>
      <protection hidden="1"/>
    </xf>
    <xf numFmtId="0" fontId="5" fillId="0" borderId="119" xfId="0" applyFont="1" applyBorder="1" applyAlignment="1" applyProtection="1">
      <alignment horizontal="left"/>
      <protection hidden="1"/>
    </xf>
    <xf numFmtId="0" fontId="14" fillId="0" borderId="0" xfId="0" applyFont="1" applyFill="1" applyBorder="1" applyAlignment="1" applyProtection="1">
      <alignment vertical="center"/>
      <protection hidden="1"/>
    </xf>
    <xf numFmtId="0" fontId="9" fillId="9" borderId="0" xfId="0" applyFont="1" applyFill="1" applyBorder="1" applyAlignment="1" applyProtection="1">
      <alignment horizontal="left" vertical="justify"/>
      <protection hidden="1"/>
    </xf>
    <xf numFmtId="0" fontId="3" fillId="0" borderId="0" xfId="0" applyFont="1" applyBorder="1" applyAlignment="1" applyProtection="1">
      <alignment horizontal="left"/>
      <protection hidden="1"/>
    </xf>
    <xf numFmtId="0" fontId="4" fillId="0" borderId="119" xfId="0" applyFont="1" applyBorder="1" applyAlignment="1" applyProtection="1">
      <alignment horizontal="center" textRotation="90"/>
      <protection hidden="1"/>
    </xf>
    <xf numFmtId="0" fontId="8" fillId="0" borderId="0" xfId="0" applyFont="1" applyBorder="1" applyAlignment="1" applyProtection="1">
      <alignment horizontal="left" vertical="justify"/>
      <protection hidden="1"/>
    </xf>
    <xf numFmtId="0" fontId="66" fillId="0" borderId="2" xfId="0" applyFont="1" applyFill="1" applyBorder="1" applyAlignment="1" applyProtection="1">
      <alignment horizontal="center"/>
      <protection locked="0"/>
    </xf>
    <xf numFmtId="0" fontId="66" fillId="0" borderId="3" xfId="0" applyFont="1" applyFill="1" applyBorder="1" applyAlignment="1" applyProtection="1">
      <alignment horizontal="center"/>
      <protection locked="0"/>
    </xf>
    <xf numFmtId="167" fontId="1" fillId="0" borderId="6" xfId="6" applyNumberFormat="1" applyFont="1" applyBorder="1" applyAlignment="1" applyProtection="1">
      <alignment horizontal="center"/>
      <protection locked="0"/>
    </xf>
    <xf numFmtId="167" fontId="1" fillId="0" borderId="7" xfId="6" applyNumberFormat="1" applyFont="1" applyBorder="1" applyAlignment="1" applyProtection="1">
      <alignment horizontal="center"/>
      <protection locked="0"/>
    </xf>
    <xf numFmtId="43" fontId="0" fillId="0" borderId="60" xfId="4" applyFont="1" applyBorder="1" applyAlignment="1" applyProtection="1">
      <alignment horizontal="center"/>
      <protection locked="0"/>
    </xf>
    <xf numFmtId="43" fontId="0" fillId="0" borderId="50" xfId="4" applyFont="1" applyBorder="1" applyAlignment="1" applyProtection="1">
      <alignment horizontal="center"/>
      <protection locked="0"/>
    </xf>
    <xf numFmtId="0" fontId="2" fillId="0" borderId="0" xfId="0" applyFont="1" applyAlignment="1">
      <alignment horizontal="left"/>
    </xf>
    <xf numFmtId="0" fontId="0" fillId="0" borderId="0" xfId="0" applyAlignment="1">
      <alignment horizontal="left"/>
    </xf>
    <xf numFmtId="0" fontId="0" fillId="0" borderId="0" xfId="0" applyAlignment="1">
      <alignment horizontal="center"/>
    </xf>
    <xf numFmtId="167" fontId="0" fillId="0" borderId="60" xfId="0" applyNumberFormat="1" applyFont="1" applyBorder="1" applyAlignment="1" applyProtection="1">
      <alignment horizontal="center"/>
      <protection locked="0"/>
    </xf>
    <xf numFmtId="0" fontId="0" fillId="0" borderId="50" xfId="0" applyNumberFormat="1" applyFont="1" applyBorder="1" applyAlignment="1" applyProtection="1">
      <alignment horizontal="center"/>
      <protection locked="0"/>
    </xf>
    <xf numFmtId="0" fontId="2" fillId="0" borderId="1" xfId="0" applyFont="1" applyBorder="1" applyAlignment="1">
      <alignment horizontal="center"/>
    </xf>
    <xf numFmtId="0" fontId="0" fillId="0" borderId="1" xfId="0" applyBorder="1" applyAlignment="1">
      <alignment horizontal="center"/>
    </xf>
    <xf numFmtId="167" fontId="0" fillId="0" borderId="1" xfId="0" applyNumberFormat="1" applyBorder="1" applyAlignment="1">
      <alignment horizontal="center"/>
    </xf>
    <xf numFmtId="0" fontId="4" fillId="0" borderId="1" xfId="0" applyFont="1" applyBorder="1" applyAlignment="1">
      <alignment horizontal="center"/>
    </xf>
    <xf numFmtId="0" fontId="2" fillId="0" borderId="1" xfId="0" applyFont="1" applyBorder="1" applyAlignment="1">
      <alignment horizontal="left"/>
    </xf>
    <xf numFmtId="0" fontId="0" fillId="0" borderId="1" xfId="0" applyBorder="1" applyAlignment="1">
      <alignment horizontal="left"/>
    </xf>
    <xf numFmtId="171" fontId="0" fillId="0" borderId="1" xfId="4" applyNumberFormat="1" applyFont="1" applyBorder="1" applyAlignment="1">
      <alignment horizontal="center"/>
    </xf>
    <xf numFmtId="167" fontId="0" fillId="0" borderId="1" xfId="5" applyNumberFormat="1" applyFont="1" applyBorder="1" applyAlignment="1">
      <alignment horizont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 fillId="10" borderId="1" xfId="0" applyFont="1" applyFill="1" applyBorder="1" applyAlignment="1">
      <alignment horizontal="center"/>
    </xf>
    <xf numFmtId="0" fontId="4" fillId="0" borderId="1" xfId="0" applyFont="1" applyBorder="1" applyAlignment="1">
      <alignment horizontal="left"/>
    </xf>
    <xf numFmtId="0" fontId="2" fillId="0" borderId="1" xfId="0" applyFont="1" applyBorder="1" applyAlignment="1">
      <alignment horizontal="left" wrapText="1"/>
    </xf>
    <xf numFmtId="0" fontId="0" fillId="0" borderId="60" xfId="0" applyNumberFormat="1" applyFont="1" applyBorder="1" applyAlignment="1" applyProtection="1">
      <alignment horizontal="center"/>
      <protection locked="0"/>
    </xf>
    <xf numFmtId="0" fontId="34" fillId="22" borderId="0" xfId="0" applyFont="1" applyFill="1" applyAlignment="1" applyProtection="1">
      <alignment horizontal="center" vertical="center"/>
      <protection hidden="1"/>
    </xf>
    <xf numFmtId="0" fontId="0" fillId="0" borderId="0" xfId="0" applyBorder="1" applyAlignment="1" applyProtection="1">
      <alignment horizontal="center"/>
      <protection hidden="1"/>
    </xf>
    <xf numFmtId="0" fontId="14" fillId="0" borderId="162" xfId="0" applyFont="1" applyBorder="1" applyAlignment="1" applyProtection="1">
      <alignment horizontal="center" vertical="center" textRotation="90"/>
      <protection hidden="1"/>
    </xf>
    <xf numFmtId="0" fontId="14" fillId="0" borderId="163" xfId="0" applyFont="1" applyBorder="1" applyAlignment="1" applyProtection="1">
      <alignment horizontal="center" vertical="center" textRotation="90"/>
      <protection hidden="1"/>
    </xf>
    <xf numFmtId="0" fontId="14" fillId="0" borderId="164" xfId="0" applyFont="1" applyBorder="1" applyAlignment="1" applyProtection="1">
      <alignment horizontal="center" vertical="center" textRotation="90"/>
      <protection hidden="1"/>
    </xf>
    <xf numFmtId="0" fontId="3" fillId="0" borderId="162" xfId="0" applyFont="1" applyBorder="1" applyAlignment="1" applyProtection="1">
      <alignment horizontal="justify" vertical="justify"/>
      <protection hidden="1"/>
    </xf>
    <xf numFmtId="0" fontId="0" fillId="22" borderId="172" xfId="0" applyFill="1" applyBorder="1" applyAlignment="1" applyProtection="1">
      <alignment horizontal="left"/>
      <protection hidden="1"/>
    </xf>
    <xf numFmtId="0" fontId="0" fillId="22" borderId="170" xfId="0" applyFill="1" applyBorder="1" applyAlignment="1" applyProtection="1">
      <alignment horizontal="left"/>
      <protection hidden="1"/>
    </xf>
    <xf numFmtId="0" fontId="0" fillId="22" borderId="173" xfId="0" applyFill="1" applyBorder="1" applyAlignment="1" applyProtection="1">
      <alignment horizontal="left"/>
      <protection hidden="1"/>
    </xf>
    <xf numFmtId="0" fontId="0" fillId="0" borderId="165" xfId="0" applyBorder="1" applyAlignment="1" applyProtection="1">
      <alignment horizontal="left"/>
      <protection hidden="1"/>
    </xf>
    <xf numFmtId="0" fontId="0" fillId="0" borderId="166" xfId="0" applyBorder="1" applyAlignment="1" applyProtection="1">
      <alignment horizontal="left"/>
      <protection hidden="1"/>
    </xf>
    <xf numFmtId="0" fontId="0" fillId="22" borderId="174" xfId="0" applyFill="1" applyBorder="1" applyAlignment="1" applyProtection="1">
      <alignment horizontal="left"/>
      <protection hidden="1"/>
    </xf>
    <xf numFmtId="0" fontId="0" fillId="22" borderId="175" xfId="0" applyFill="1" applyBorder="1" applyAlignment="1" applyProtection="1">
      <alignment horizontal="left"/>
      <protection hidden="1"/>
    </xf>
    <xf numFmtId="0" fontId="0" fillId="22" borderId="171" xfId="0" applyFill="1" applyBorder="1" applyAlignment="1" applyProtection="1">
      <alignment horizontal="left"/>
      <protection hidden="1"/>
    </xf>
    <xf numFmtId="0" fontId="3" fillId="22" borderId="167" xfId="0" applyFont="1" applyFill="1" applyBorder="1" applyAlignment="1" applyProtection="1">
      <alignment horizontal="left" vertical="center"/>
      <protection hidden="1"/>
    </xf>
    <xf numFmtId="0" fontId="3" fillId="22" borderId="168" xfId="0" applyFont="1" applyFill="1" applyBorder="1" applyAlignment="1" applyProtection="1">
      <alignment horizontal="left" vertical="center"/>
      <protection hidden="1"/>
    </xf>
    <xf numFmtId="0" fontId="9" fillId="22" borderId="165" xfId="0" applyFont="1" applyFill="1" applyBorder="1" applyAlignment="1" applyProtection="1">
      <alignment horizontal="left" vertical="justify"/>
      <protection hidden="1"/>
    </xf>
    <xf numFmtId="0" fontId="9" fillId="22" borderId="166" xfId="0" applyFont="1" applyFill="1" applyBorder="1" applyAlignment="1" applyProtection="1">
      <alignment horizontal="left" vertical="justify"/>
      <protection hidden="1"/>
    </xf>
    <xf numFmtId="0" fontId="8" fillId="0" borderId="164" xfId="0" applyFont="1" applyBorder="1" applyAlignment="1" applyProtection="1">
      <alignment horizontal="left" vertical="center"/>
      <protection hidden="1"/>
    </xf>
    <xf numFmtId="0" fontId="8" fillId="22" borderId="162" xfId="0" applyFont="1" applyFill="1" applyBorder="1" applyAlignment="1" applyProtection="1">
      <alignment horizontal="justify" vertical="justify"/>
      <protection hidden="1"/>
    </xf>
    <xf numFmtId="0" fontId="8" fillId="0" borderId="163" xfId="0" applyFont="1" applyBorder="1" applyAlignment="1" applyProtection="1">
      <alignment horizontal="left"/>
      <protection hidden="1"/>
    </xf>
    <xf numFmtId="0" fontId="25" fillId="22" borderId="163" xfId="0" applyFont="1" applyFill="1" applyBorder="1" applyAlignment="1" applyProtection="1">
      <alignment horizontal="left" vertical="justify"/>
      <protection hidden="1"/>
    </xf>
    <xf numFmtId="0" fontId="8" fillId="22" borderId="164" xfId="0" applyFont="1" applyFill="1" applyBorder="1" applyAlignment="1" applyProtection="1">
      <alignment horizontal="left"/>
      <protection hidden="1"/>
    </xf>
    <xf numFmtId="0" fontId="8" fillId="22" borderId="162" xfId="0" applyFont="1" applyFill="1" applyBorder="1" applyAlignment="1" applyProtection="1">
      <alignment horizontal="left" vertical="justify"/>
      <protection hidden="1"/>
    </xf>
    <xf numFmtId="0" fontId="8" fillId="22" borderId="163" xfId="0" applyFont="1" applyFill="1" applyBorder="1" applyAlignment="1" applyProtection="1">
      <alignment horizontal="left" vertical="justify"/>
      <protection hidden="1"/>
    </xf>
    <xf numFmtId="0" fontId="14" fillId="0" borderId="177" xfId="0" applyFont="1" applyBorder="1" applyAlignment="1" applyProtection="1">
      <alignment horizontal="justify" vertical="center" textRotation="90"/>
      <protection hidden="1"/>
    </xf>
    <xf numFmtId="0" fontId="8" fillId="0" borderId="163" xfId="0" applyFont="1" applyBorder="1" applyAlignment="1">
      <alignment horizontal="left" vertical="justify" wrapText="1"/>
    </xf>
    <xf numFmtId="0" fontId="8" fillId="0" borderId="163" xfId="0" applyFont="1" applyBorder="1" applyAlignment="1">
      <alignment horizontal="left" vertical="justify"/>
    </xf>
    <xf numFmtId="0" fontId="8" fillId="0" borderId="163" xfId="0" applyFont="1" applyBorder="1" applyAlignment="1" applyProtection="1">
      <alignment horizontal="justify" vertical="justify"/>
      <protection hidden="1"/>
    </xf>
    <xf numFmtId="0" fontId="24" fillId="0" borderId="162" xfId="0" applyFont="1" applyBorder="1" applyAlignment="1">
      <alignment horizontal="justify" vertical="center" textRotation="90"/>
    </xf>
    <xf numFmtId="0" fontId="24" fillId="0" borderId="163" xfId="0" applyFont="1" applyBorder="1" applyAlignment="1">
      <alignment horizontal="justify" vertical="center" textRotation="90"/>
    </xf>
    <xf numFmtId="0" fontId="24" fillId="0" borderId="166" xfId="0" applyFont="1" applyBorder="1" applyAlignment="1">
      <alignment horizontal="justify" vertical="center" textRotation="90"/>
    </xf>
    <xf numFmtId="0" fontId="24" fillId="0" borderId="171" xfId="0" applyFont="1" applyBorder="1" applyAlignment="1">
      <alignment horizontal="justify" vertical="center" textRotation="90"/>
    </xf>
    <xf numFmtId="0" fontId="8" fillId="22" borderId="163" xfId="0" applyFont="1" applyFill="1" applyBorder="1" applyAlignment="1" applyProtection="1">
      <alignment horizontal="justify" vertical="justify"/>
      <protection hidden="1"/>
    </xf>
    <xf numFmtId="0" fontId="2" fillId="0" borderId="164" xfId="0" applyFont="1" applyFill="1" applyBorder="1" applyAlignment="1" applyProtection="1">
      <alignment horizontal="left"/>
      <protection hidden="1"/>
    </xf>
    <xf numFmtId="0" fontId="0" fillId="0" borderId="164" xfId="0" applyFill="1" applyBorder="1" applyAlignment="1" applyProtection="1">
      <alignment horizontal="left"/>
      <protection hidden="1"/>
    </xf>
    <xf numFmtId="0" fontId="8" fillId="0" borderId="163" xfId="0" applyFont="1" applyBorder="1" applyAlignment="1" applyProtection="1">
      <alignment horizontal="left" vertical="justify"/>
      <protection hidden="1"/>
    </xf>
    <xf numFmtId="0" fontId="2" fillId="0" borderId="25" xfId="0" applyFont="1" applyBorder="1" applyAlignment="1" applyProtection="1">
      <alignment horizontal="center"/>
      <protection hidden="1"/>
    </xf>
    <xf numFmtId="0" fontId="5" fillId="0" borderId="37" xfId="0" applyFont="1" applyBorder="1" applyAlignment="1" applyProtection="1">
      <alignment horizontal="center"/>
      <protection hidden="1"/>
    </xf>
    <xf numFmtId="0" fontId="64" fillId="0" borderId="164" xfId="0" applyFont="1" applyBorder="1" applyAlignment="1" applyProtection="1">
      <alignment horizontal="left" wrapText="1"/>
      <protection hidden="1"/>
    </xf>
    <xf numFmtId="0" fontId="15" fillId="0" borderId="187" xfId="0" applyFont="1" applyBorder="1" applyAlignment="1" applyProtection="1">
      <alignment horizontal="center" vertical="center" textRotation="90"/>
      <protection hidden="1"/>
    </xf>
    <xf numFmtId="0" fontId="15" fillId="0" borderId="98" xfId="0" applyFont="1" applyBorder="1" applyAlignment="1" applyProtection="1">
      <alignment horizontal="center" vertical="center" textRotation="90"/>
      <protection hidden="1"/>
    </xf>
    <xf numFmtId="171" fontId="8" fillId="22" borderId="163" xfId="4" applyNumberFormat="1" applyFont="1" applyFill="1" applyBorder="1" applyAlignment="1" applyProtection="1">
      <alignment horizontal="left" vertical="justify" wrapText="1"/>
      <protection hidden="1"/>
    </xf>
    <xf numFmtId="171" fontId="8" fillId="22" borderId="163" xfId="4" applyNumberFormat="1" applyFont="1" applyFill="1" applyBorder="1" applyAlignment="1" applyProtection="1">
      <alignment horizontal="left" vertical="justify"/>
      <protection hidden="1"/>
    </xf>
    <xf numFmtId="0" fontId="4" fillId="0" borderId="162" xfId="0" applyFont="1" applyBorder="1" applyAlignment="1">
      <alignment horizontal="center" vertical="center" textRotation="90"/>
    </xf>
    <xf numFmtId="0" fontId="4" fillId="0" borderId="163" xfId="0" applyFont="1" applyBorder="1" applyAlignment="1">
      <alignment horizontal="center" vertical="center" textRotation="90"/>
    </xf>
    <xf numFmtId="0" fontId="4" fillId="0" borderId="164" xfId="0" applyFont="1" applyBorder="1" applyAlignment="1">
      <alignment horizontal="center" vertical="center" textRotation="90"/>
    </xf>
    <xf numFmtId="0" fontId="8" fillId="0" borderId="162" xfId="0" applyFont="1" applyBorder="1" applyAlignment="1" applyProtection="1">
      <alignment horizontal="left"/>
      <protection hidden="1"/>
    </xf>
    <xf numFmtId="0" fontId="8" fillId="22" borderId="163" xfId="0" applyFont="1" applyFill="1" applyBorder="1" applyAlignment="1" applyProtection="1">
      <alignment horizontal="left" wrapText="1"/>
      <protection hidden="1"/>
    </xf>
    <xf numFmtId="0" fontId="8" fillId="0" borderId="163" xfId="0" applyFont="1" applyBorder="1" applyAlignment="1" applyProtection="1">
      <alignment horizontal="left" wrapText="1"/>
      <protection hidden="1"/>
    </xf>
    <xf numFmtId="0" fontId="9" fillId="0" borderId="182" xfId="0" applyFont="1" applyFill="1" applyBorder="1" applyAlignment="1" applyProtection="1">
      <alignment horizontal="left" wrapText="1"/>
      <protection hidden="1"/>
    </xf>
    <xf numFmtId="0" fontId="9" fillId="0" borderId="183" xfId="0" applyFont="1" applyFill="1" applyBorder="1" applyAlignment="1" applyProtection="1">
      <alignment horizontal="left" wrapText="1"/>
      <protection hidden="1"/>
    </xf>
    <xf numFmtId="0" fontId="9" fillId="0" borderId="182" xfId="0" applyFont="1" applyFill="1" applyBorder="1" applyAlignment="1" applyProtection="1">
      <alignment horizontal="left" vertical="justify"/>
      <protection hidden="1"/>
    </xf>
    <xf numFmtId="0" fontId="9" fillId="0" borderId="183" xfId="0" applyFont="1" applyFill="1" applyBorder="1" applyAlignment="1" applyProtection="1">
      <alignment horizontal="left" vertical="justify"/>
      <protection hidden="1"/>
    </xf>
    <xf numFmtId="0" fontId="9" fillId="22" borderId="184" xfId="0" applyFont="1" applyFill="1" applyBorder="1" applyAlignment="1" applyProtection="1">
      <alignment horizontal="left" vertical="center" wrapText="1"/>
      <protection hidden="1"/>
    </xf>
    <xf numFmtId="0" fontId="9" fillId="22" borderId="185" xfId="0" applyFont="1" applyFill="1" applyBorder="1" applyAlignment="1" applyProtection="1">
      <alignment horizontal="left" vertical="center" wrapText="1"/>
      <protection hidden="1"/>
    </xf>
    <xf numFmtId="0" fontId="9" fillId="0" borderId="176" xfId="0" applyFont="1" applyFill="1" applyBorder="1" applyAlignment="1" applyProtection="1">
      <alignment horizontal="left" vertical="center"/>
      <protection hidden="1"/>
    </xf>
    <xf numFmtId="0" fontId="9" fillId="22" borderId="176" xfId="0" applyFont="1" applyFill="1" applyBorder="1" applyAlignment="1" applyProtection="1">
      <alignment vertical="center"/>
      <protection hidden="1"/>
    </xf>
    <xf numFmtId="0" fontId="2" fillId="0" borderId="163" xfId="0" applyFont="1" applyBorder="1" applyAlignment="1">
      <alignment horizontal="left"/>
    </xf>
    <xf numFmtId="0" fontId="0" fillId="0" borderId="163" xfId="0" applyBorder="1" applyAlignment="1">
      <alignment horizontal="left"/>
    </xf>
    <xf numFmtId="171" fontId="8" fillId="22" borderId="163" xfId="4" applyNumberFormat="1" applyFont="1" applyFill="1" applyBorder="1" applyAlignment="1" applyProtection="1">
      <alignment horizontal="left"/>
      <protection hidden="1"/>
    </xf>
    <xf numFmtId="0" fontId="25" fillId="0" borderId="176" xfId="0" applyFont="1" applyFill="1" applyBorder="1" applyAlignment="1" applyProtection="1">
      <alignment horizontal="left" vertical="justify"/>
      <protection hidden="1"/>
    </xf>
    <xf numFmtId="0" fontId="2" fillId="22" borderId="0" xfId="0" applyFont="1" applyFill="1" applyBorder="1" applyAlignment="1" applyProtection="1">
      <alignment horizontal="left" vertical="justify"/>
      <protection hidden="1"/>
    </xf>
    <xf numFmtId="0" fontId="2" fillId="0" borderId="0" xfId="0" applyFont="1" applyBorder="1" applyAlignment="1" applyProtection="1">
      <alignment horizontal="left"/>
      <protection hidden="1"/>
    </xf>
    <xf numFmtId="0" fontId="8" fillId="0" borderId="0" xfId="0" applyFont="1" applyBorder="1" applyAlignment="1" applyProtection="1">
      <alignment horizontal="justify" vertical="justify"/>
      <protection hidden="1"/>
    </xf>
    <xf numFmtId="0" fontId="8" fillId="0" borderId="163" xfId="0" applyFont="1" applyBorder="1" applyAlignment="1">
      <alignment horizontal="left" wrapText="1"/>
    </xf>
    <xf numFmtId="0" fontId="8" fillId="0" borderId="163" xfId="0" applyFont="1" applyBorder="1" applyAlignment="1">
      <alignment horizontal="left"/>
    </xf>
    <xf numFmtId="0" fontId="8" fillId="22" borderId="164" xfId="0" applyFont="1" applyFill="1" applyBorder="1" applyAlignment="1">
      <alignment horizontal="left" vertical="justify"/>
    </xf>
    <xf numFmtId="0" fontId="25" fillId="22" borderId="176" xfId="0" applyFont="1" applyFill="1" applyBorder="1" applyAlignment="1" applyProtection="1">
      <alignment horizontal="left" vertical="justify" wrapText="1"/>
      <protection hidden="1"/>
    </xf>
    <xf numFmtId="0" fontId="25" fillId="22" borderId="176" xfId="0" applyFont="1" applyFill="1" applyBorder="1" applyAlignment="1" applyProtection="1">
      <alignment horizontal="left" vertical="justify"/>
      <protection hidden="1"/>
    </xf>
    <xf numFmtId="0" fontId="3" fillId="22" borderId="0" xfId="0" applyFont="1" applyFill="1" applyBorder="1" applyAlignment="1" applyProtection="1">
      <alignment horizontal="left"/>
      <protection hidden="1"/>
    </xf>
    <xf numFmtId="0" fontId="15" fillId="0" borderId="179" xfId="0" applyFont="1" applyBorder="1" applyAlignment="1">
      <alignment horizontal="center" vertical="center" textRotation="90"/>
    </xf>
    <xf numFmtId="0" fontId="15" fillId="0" borderId="176" xfId="0" applyFont="1" applyBorder="1" applyAlignment="1">
      <alignment horizontal="center" vertical="center" textRotation="90"/>
    </xf>
    <xf numFmtId="0" fontId="15" fillId="0" borderId="181" xfId="0" applyFont="1" applyBorder="1" applyAlignment="1">
      <alignment horizontal="center" vertical="center" textRotation="90"/>
    </xf>
    <xf numFmtId="0" fontId="2" fillId="0" borderId="0" xfId="0" applyFont="1" applyBorder="1" applyAlignment="1" applyProtection="1">
      <alignment horizontal="justify" vertical="justify"/>
      <protection hidden="1"/>
    </xf>
    <xf numFmtId="0" fontId="2" fillId="22" borderId="0" xfId="0" applyFont="1" applyFill="1" applyBorder="1" applyAlignment="1" applyProtection="1">
      <alignment horizontal="justify"/>
      <protection hidden="1"/>
    </xf>
    <xf numFmtId="0" fontId="9" fillId="0" borderId="162" xfId="0" applyFont="1" applyBorder="1" applyAlignment="1">
      <alignment horizontal="center" vertical="center" textRotation="90"/>
    </xf>
    <xf numFmtId="0" fontId="9" fillId="0" borderId="163" xfId="0" applyFont="1" applyBorder="1" applyAlignment="1">
      <alignment horizontal="center" vertical="center" textRotation="90"/>
    </xf>
    <xf numFmtId="0" fontId="9" fillId="0" borderId="164" xfId="0" applyFont="1" applyBorder="1" applyAlignment="1">
      <alignment horizontal="center" vertical="center" textRotation="90"/>
    </xf>
    <xf numFmtId="0" fontId="14" fillId="0" borderId="0" xfId="0" applyFont="1" applyBorder="1" applyAlignment="1">
      <alignment horizontal="center" vertical="justify" textRotation="90"/>
    </xf>
    <xf numFmtId="0" fontId="3" fillId="0" borderId="0" xfId="0" applyFont="1" applyBorder="1" applyAlignment="1" applyProtection="1">
      <alignment horizontal="left" vertical="justify"/>
      <protection hidden="1"/>
    </xf>
    <xf numFmtId="0" fontId="4" fillId="0" borderId="166" xfId="0" applyFont="1" applyBorder="1" applyAlignment="1" applyProtection="1">
      <alignment vertical="center" textRotation="90"/>
      <protection hidden="1"/>
    </xf>
    <xf numFmtId="0" fontId="8" fillId="0" borderId="163" xfId="0" applyFont="1" applyFill="1" applyBorder="1" applyAlignment="1" applyProtection="1">
      <alignment horizontal="left" vertical="justify"/>
      <protection hidden="1"/>
    </xf>
    <xf numFmtId="0" fontId="2" fillId="0" borderId="162" xfId="0" applyFont="1" applyBorder="1" applyAlignment="1" applyProtection="1">
      <alignment horizontal="center" textRotation="90"/>
      <protection hidden="1"/>
    </xf>
    <xf numFmtId="0" fontId="0" fillId="0" borderId="163" xfId="0" applyBorder="1" applyAlignment="1" applyProtection="1">
      <alignment horizontal="center" textRotation="90"/>
      <protection hidden="1"/>
    </xf>
    <xf numFmtId="0" fontId="0" fillId="0" borderId="164" xfId="0" applyBorder="1" applyAlignment="1" applyProtection="1">
      <alignment horizontal="center" textRotation="90"/>
      <protection hidden="1"/>
    </xf>
    <xf numFmtId="0" fontId="2" fillId="22" borderId="163" xfId="0" applyFont="1" applyFill="1" applyBorder="1" applyAlignment="1" applyProtection="1">
      <alignment horizontal="left"/>
      <protection hidden="1"/>
    </xf>
    <xf numFmtId="0" fontId="0" fillId="22" borderId="163" xfId="0" applyFill="1" applyBorder="1" applyAlignment="1" applyProtection="1">
      <alignment horizontal="left"/>
      <protection hidden="1"/>
    </xf>
    <xf numFmtId="0" fontId="8" fillId="0" borderId="163" xfId="0" applyFont="1" applyFill="1" applyBorder="1" applyAlignment="1" applyProtection="1">
      <alignment horizontal="left"/>
      <protection hidden="1"/>
    </xf>
    <xf numFmtId="171" fontId="8" fillId="0" borderId="202" xfId="4" applyNumberFormat="1" applyFont="1" applyFill="1" applyBorder="1" applyAlignment="1" applyProtection="1">
      <alignment horizontal="center"/>
      <protection hidden="1"/>
    </xf>
    <xf numFmtId="171" fontId="8" fillId="0" borderId="166" xfId="4" applyNumberFormat="1" applyFont="1" applyFill="1" applyBorder="1" applyAlignment="1" applyProtection="1">
      <alignment horizontal="center"/>
      <protection hidden="1"/>
    </xf>
    <xf numFmtId="0" fontId="2" fillId="0" borderId="172" xfId="0" applyFont="1" applyFill="1" applyBorder="1" applyAlignment="1" applyProtection="1">
      <alignment horizontal="left" vertical="justify"/>
      <protection hidden="1"/>
    </xf>
    <xf numFmtId="0" fontId="2" fillId="0" borderId="170" xfId="0" applyFont="1" applyFill="1" applyBorder="1" applyAlignment="1" applyProtection="1">
      <alignment horizontal="left" vertical="justify"/>
      <protection hidden="1"/>
    </xf>
    <xf numFmtId="0" fontId="2" fillId="0" borderId="173" xfId="0" applyFont="1" applyFill="1" applyBorder="1" applyAlignment="1" applyProtection="1">
      <alignment horizontal="left" vertical="justify"/>
      <protection hidden="1"/>
    </xf>
    <xf numFmtId="0" fontId="2" fillId="22" borderId="165" xfId="0" applyFont="1" applyFill="1" applyBorder="1" applyAlignment="1" applyProtection="1">
      <alignment horizontal="left" vertical="justify"/>
      <protection hidden="1"/>
    </xf>
    <xf numFmtId="0" fontId="2" fillId="22" borderId="166" xfId="0" applyFont="1" applyFill="1" applyBorder="1" applyAlignment="1" applyProtection="1">
      <alignment horizontal="left" vertical="justify"/>
      <protection hidden="1"/>
    </xf>
    <xf numFmtId="0" fontId="2" fillId="0" borderId="165" xfId="0" applyFont="1" applyFill="1" applyBorder="1" applyAlignment="1" applyProtection="1">
      <alignment horizontal="left" vertical="justify"/>
      <protection hidden="1"/>
    </xf>
    <xf numFmtId="0" fontId="2" fillId="0" borderId="0" xfId="0" applyFont="1" applyFill="1" applyBorder="1" applyAlignment="1" applyProtection="1">
      <alignment horizontal="left" vertical="justify"/>
      <protection hidden="1"/>
    </xf>
    <xf numFmtId="0" fontId="2" fillId="0" borderId="166" xfId="0" applyFont="1" applyFill="1" applyBorder="1" applyAlignment="1" applyProtection="1">
      <alignment horizontal="left" vertical="justify"/>
      <protection hidden="1"/>
    </xf>
    <xf numFmtId="0" fontId="2" fillId="22" borderId="165" xfId="0" applyFont="1" applyFill="1" applyBorder="1" applyAlignment="1" applyProtection="1">
      <alignment horizontal="left"/>
      <protection hidden="1"/>
    </xf>
    <xf numFmtId="0" fontId="2" fillId="22" borderId="0" xfId="0" applyFont="1" applyFill="1" applyBorder="1" applyAlignment="1" applyProtection="1">
      <alignment horizontal="left"/>
      <protection hidden="1"/>
    </xf>
    <xf numFmtId="0" fontId="2" fillId="22" borderId="166" xfId="0" applyFont="1" applyFill="1" applyBorder="1" applyAlignment="1" applyProtection="1">
      <alignment horizontal="left"/>
      <protection hidden="1"/>
    </xf>
    <xf numFmtId="171" fontId="8" fillId="22" borderId="202" xfId="4" applyNumberFormat="1" applyFont="1" applyFill="1" applyBorder="1" applyAlignment="1" applyProtection="1">
      <alignment horizontal="center"/>
      <protection hidden="1"/>
    </xf>
    <xf numFmtId="171" fontId="8" fillId="22" borderId="166" xfId="4" applyNumberFormat="1" applyFont="1" applyFill="1" applyBorder="1" applyAlignment="1" applyProtection="1">
      <alignment horizontal="center"/>
      <protection hidden="1"/>
    </xf>
    <xf numFmtId="171" fontId="8" fillId="0" borderId="202" xfId="4" applyNumberFormat="1" applyFont="1" applyBorder="1" applyAlignment="1" applyProtection="1">
      <alignment horizontal="center"/>
      <protection hidden="1"/>
    </xf>
    <xf numFmtId="171" fontId="8" fillId="0" borderId="166" xfId="4" applyNumberFormat="1" applyFont="1" applyBorder="1" applyAlignment="1" applyProtection="1">
      <alignment horizontal="center"/>
      <protection hidden="1"/>
    </xf>
    <xf numFmtId="171" fontId="8" fillId="0" borderId="230" xfId="4" applyNumberFormat="1" applyFont="1" applyBorder="1" applyAlignment="1" applyProtection="1">
      <alignment horizontal="center"/>
      <protection hidden="1"/>
    </xf>
    <xf numFmtId="171" fontId="8" fillId="0" borderId="171" xfId="4" applyNumberFormat="1" applyFont="1" applyBorder="1" applyAlignment="1" applyProtection="1">
      <alignment horizontal="center"/>
      <protection hidden="1"/>
    </xf>
    <xf numFmtId="171" fontId="8" fillId="22" borderId="231" xfId="4" applyNumberFormat="1" applyFont="1" applyFill="1" applyBorder="1" applyAlignment="1" applyProtection="1">
      <alignment horizontal="center"/>
      <protection hidden="1"/>
    </xf>
    <xf numFmtId="171" fontId="8" fillId="22" borderId="173" xfId="4" applyNumberFormat="1" applyFont="1" applyFill="1" applyBorder="1" applyAlignment="1" applyProtection="1">
      <alignment horizontal="center"/>
      <protection hidden="1"/>
    </xf>
    <xf numFmtId="0" fontId="4" fillId="22" borderId="165" xfId="0" applyFont="1" applyFill="1" applyBorder="1" applyAlignment="1" applyProtection="1">
      <alignment horizontal="left"/>
      <protection hidden="1"/>
    </xf>
    <xf numFmtId="0" fontId="4" fillId="22" borderId="0" xfId="0" applyFont="1" applyFill="1" applyBorder="1" applyAlignment="1" applyProtection="1">
      <alignment horizontal="left"/>
      <protection hidden="1"/>
    </xf>
    <xf numFmtId="0" fontId="4" fillId="22" borderId="166" xfId="0" applyFont="1" applyFill="1" applyBorder="1" applyAlignment="1" applyProtection="1">
      <alignment horizontal="left"/>
      <protection hidden="1"/>
    </xf>
    <xf numFmtId="0" fontId="2" fillId="0" borderId="165" xfId="0" applyFont="1" applyBorder="1" applyAlignment="1" applyProtection="1">
      <alignment horizontal="left"/>
      <protection hidden="1"/>
    </xf>
    <xf numFmtId="0" fontId="2" fillId="0" borderId="166" xfId="0" applyFont="1" applyBorder="1" applyAlignment="1" applyProtection="1">
      <alignment horizontal="left"/>
      <protection hidden="1"/>
    </xf>
    <xf numFmtId="0" fontId="4" fillId="22" borderId="165" xfId="0" applyFont="1" applyFill="1" applyBorder="1" applyAlignment="1" applyProtection="1">
      <alignment horizontal="left" vertical="justify"/>
      <protection hidden="1"/>
    </xf>
    <xf numFmtId="0" fontId="4" fillId="22" borderId="0" xfId="0" applyFont="1" applyFill="1" applyBorder="1" applyAlignment="1" applyProtection="1">
      <alignment horizontal="left" vertical="justify"/>
      <protection hidden="1"/>
    </xf>
    <xf numFmtId="0" fontId="4" fillId="22" borderId="166" xfId="0" applyFont="1" applyFill="1" applyBorder="1" applyAlignment="1" applyProtection="1">
      <alignment horizontal="left" vertical="justify"/>
      <protection hidden="1"/>
    </xf>
    <xf numFmtId="167" fontId="0" fillId="22" borderId="210" xfId="5" applyNumberFormat="1" applyFont="1" applyFill="1" applyBorder="1" applyAlignment="1" applyProtection="1">
      <alignment horizontal="center"/>
      <protection hidden="1"/>
    </xf>
    <xf numFmtId="167" fontId="0" fillId="22" borderId="191" xfId="5" applyNumberFormat="1" applyFont="1" applyFill="1" applyBorder="1" applyAlignment="1" applyProtection="1">
      <alignment horizontal="center"/>
      <protection hidden="1"/>
    </xf>
    <xf numFmtId="167" fontId="0" fillId="22" borderId="211" xfId="5" applyNumberFormat="1" applyFont="1" applyFill="1" applyBorder="1" applyAlignment="1" applyProtection="1">
      <alignment horizontal="center"/>
      <protection hidden="1"/>
    </xf>
    <xf numFmtId="0" fontId="2" fillId="0" borderId="174" xfId="0" applyFont="1" applyBorder="1" applyAlignment="1" applyProtection="1">
      <alignment horizontal="left"/>
      <protection hidden="1"/>
    </xf>
    <xf numFmtId="0" fontId="2" fillId="0" borderId="175" xfId="0" applyFont="1" applyBorder="1" applyAlignment="1" applyProtection="1">
      <alignment horizontal="left"/>
      <protection hidden="1"/>
    </xf>
    <xf numFmtId="0" fontId="2" fillId="0" borderId="171" xfId="0" applyFont="1" applyBorder="1" applyAlignment="1" applyProtection="1">
      <alignment horizontal="left"/>
      <protection hidden="1"/>
    </xf>
    <xf numFmtId="0" fontId="2" fillId="22" borderId="172" xfId="0" applyFont="1" applyFill="1" applyBorder="1" applyAlignment="1" applyProtection="1">
      <alignment horizontal="left" vertical="justify"/>
      <protection hidden="1"/>
    </xf>
    <xf numFmtId="0" fontId="2" fillId="22" borderId="170" xfId="0" applyFont="1" applyFill="1" applyBorder="1" applyAlignment="1" applyProtection="1">
      <alignment horizontal="left" vertical="justify"/>
      <protection hidden="1"/>
    </xf>
    <xf numFmtId="0" fontId="2" fillId="22" borderId="173" xfId="0" applyFont="1" applyFill="1" applyBorder="1" applyAlignment="1" applyProtection="1">
      <alignment horizontal="left" vertical="justify"/>
      <protection hidden="1"/>
    </xf>
    <xf numFmtId="0" fontId="2" fillId="0" borderId="165" xfId="0" applyFont="1" applyBorder="1" applyAlignment="1" applyProtection="1">
      <alignment horizontal="left" vertical="justify"/>
      <protection hidden="1"/>
    </xf>
    <xf numFmtId="0" fontId="2" fillId="0" borderId="0" xfId="0" applyFont="1" applyBorder="1" applyAlignment="1" applyProtection="1">
      <alignment horizontal="left" vertical="justify"/>
      <protection hidden="1"/>
    </xf>
    <xf numFmtId="0" fontId="2" fillId="0" borderId="166" xfId="0" applyFont="1" applyBorder="1" applyAlignment="1" applyProtection="1">
      <alignment horizontal="left" vertical="justify"/>
      <protection hidden="1"/>
    </xf>
    <xf numFmtId="167" fontId="0" fillId="0" borderId="217" xfId="5" applyNumberFormat="1" applyFont="1" applyBorder="1" applyAlignment="1">
      <alignment horizontal="center"/>
    </xf>
    <xf numFmtId="167" fontId="0" fillId="0" borderId="225" xfId="5" applyNumberFormat="1" applyFont="1" applyBorder="1" applyAlignment="1">
      <alignment horizontal="center"/>
    </xf>
    <xf numFmtId="0" fontId="14" fillId="0" borderId="232" xfId="0" applyFont="1" applyBorder="1" applyAlignment="1" applyProtection="1">
      <alignment horizontal="center" vertical="center"/>
      <protection hidden="1"/>
    </xf>
    <xf numFmtId="0" fontId="14" fillId="0" borderId="233" xfId="0" applyFont="1" applyBorder="1" applyAlignment="1" applyProtection="1">
      <alignment horizontal="center" vertical="center"/>
      <protection hidden="1"/>
    </xf>
    <xf numFmtId="0" fontId="14" fillId="0" borderId="234" xfId="0" applyFont="1" applyBorder="1" applyAlignment="1" applyProtection="1">
      <alignment horizontal="center" vertical="center"/>
      <protection hidden="1"/>
    </xf>
    <xf numFmtId="0" fontId="2" fillId="0" borderId="217" xfId="0" applyFont="1" applyBorder="1" applyAlignment="1">
      <alignment horizontal="left" vertical="justify"/>
    </xf>
    <xf numFmtId="0" fontId="0" fillId="0" borderId="217" xfId="0" applyBorder="1" applyAlignment="1">
      <alignment horizontal="left" vertical="justify"/>
    </xf>
    <xf numFmtId="0" fontId="2" fillId="0" borderId="225" xfId="0" applyFont="1" applyBorder="1" applyAlignment="1">
      <alignment horizontal="left" vertical="justify"/>
    </xf>
    <xf numFmtId="0" fontId="0" fillId="0" borderId="225" xfId="0" applyBorder="1" applyAlignment="1">
      <alignment horizontal="left" vertical="justify"/>
    </xf>
    <xf numFmtId="167" fontId="0" fillId="22" borderId="0" xfId="5" applyNumberFormat="1" applyFont="1" applyFill="1" applyBorder="1" applyAlignment="1" applyProtection="1">
      <alignment horizontal="center"/>
      <protection hidden="1"/>
    </xf>
    <xf numFmtId="167" fontId="4" fillId="22" borderId="0" xfId="5" applyNumberFormat="1" applyFont="1" applyFill="1" applyBorder="1" applyAlignment="1" applyProtection="1">
      <alignment horizontal="center"/>
      <protection hidden="1"/>
    </xf>
    <xf numFmtId="0" fontId="4" fillId="22" borderId="1" xfId="0" applyFont="1" applyFill="1" applyBorder="1" applyAlignment="1" applyProtection="1">
      <alignment horizontal="left"/>
      <protection hidden="1"/>
    </xf>
    <xf numFmtId="0" fontId="4" fillId="22" borderId="25" xfId="0" applyFont="1" applyFill="1" applyBorder="1" applyAlignment="1" applyProtection="1">
      <alignment horizontal="left"/>
      <protection hidden="1"/>
    </xf>
    <xf numFmtId="0" fontId="9" fillId="0" borderId="39" xfId="0" applyFont="1" applyFill="1" applyBorder="1" applyAlignment="1" applyProtection="1">
      <alignment horizontal="left"/>
      <protection hidden="1"/>
    </xf>
    <xf numFmtId="0" fontId="9" fillId="0" borderId="53" xfId="0" applyFont="1" applyFill="1" applyBorder="1" applyAlignment="1" applyProtection="1">
      <alignment horizontal="left"/>
      <protection hidden="1"/>
    </xf>
    <xf numFmtId="0" fontId="9" fillId="0" borderId="56" xfId="0" applyFont="1" applyFill="1" applyBorder="1" applyAlignment="1" applyProtection="1">
      <alignment horizontal="center" vertical="center"/>
      <protection hidden="1"/>
    </xf>
    <xf numFmtId="0" fontId="9" fillId="0" borderId="57" xfId="0" applyFont="1" applyFill="1" applyBorder="1" applyAlignment="1" applyProtection="1">
      <alignment horizontal="center" vertical="center"/>
      <protection hidden="1"/>
    </xf>
    <xf numFmtId="0" fontId="9" fillId="0" borderId="59" xfId="0" applyFont="1" applyFill="1" applyBorder="1" applyAlignment="1" applyProtection="1">
      <alignment horizontal="center" vertical="center"/>
      <protection hidden="1"/>
    </xf>
    <xf numFmtId="0" fontId="2" fillId="0" borderId="172" xfId="0" applyFont="1" applyBorder="1" applyAlignment="1" applyProtection="1">
      <alignment horizontal="left"/>
      <protection hidden="1"/>
    </xf>
    <xf numFmtId="0" fontId="2" fillId="0" borderId="170" xfId="0" applyFont="1" applyBorder="1" applyAlignment="1" applyProtection="1">
      <alignment horizontal="left"/>
      <protection hidden="1"/>
    </xf>
    <xf numFmtId="0" fontId="2" fillId="0" borderId="173" xfId="0" applyFont="1" applyBorder="1" applyAlignment="1" applyProtection="1">
      <alignment horizontal="left"/>
      <protection hidden="1"/>
    </xf>
    <xf numFmtId="0" fontId="17" fillId="0" borderId="0" xfId="0" applyFont="1" applyBorder="1" applyAlignment="1">
      <alignment horizontal="center" vertical="center" textRotation="90"/>
    </xf>
    <xf numFmtId="171" fontId="8" fillId="22" borderId="230" xfId="4" applyNumberFormat="1" applyFont="1" applyFill="1" applyBorder="1" applyAlignment="1" applyProtection="1">
      <alignment horizontal="center"/>
      <protection hidden="1"/>
    </xf>
    <xf numFmtId="171" fontId="8" fillId="22" borderId="171" xfId="4" applyNumberFormat="1" applyFont="1" applyFill="1" applyBorder="1" applyAlignment="1" applyProtection="1">
      <alignment horizontal="center"/>
      <protection hidden="1"/>
    </xf>
    <xf numFmtId="171" fontId="8" fillId="0" borderId="231" xfId="4" applyNumberFormat="1" applyFont="1" applyFill="1" applyBorder="1" applyAlignment="1" applyProtection="1">
      <alignment horizontal="center"/>
      <protection hidden="1"/>
    </xf>
    <xf numFmtId="171" fontId="8" fillId="0" borderId="173" xfId="4" applyNumberFormat="1" applyFont="1" applyFill="1" applyBorder="1" applyAlignment="1" applyProtection="1">
      <alignment horizontal="center"/>
      <protection hidden="1"/>
    </xf>
    <xf numFmtId="167" fontId="0" fillId="22" borderId="202" xfId="5" applyNumberFormat="1" applyFont="1" applyFill="1" applyBorder="1" applyAlignment="1" applyProtection="1">
      <alignment horizontal="center"/>
      <protection hidden="1"/>
    </xf>
    <xf numFmtId="167" fontId="0" fillId="22" borderId="203" xfId="5" applyNumberFormat="1" applyFont="1" applyFill="1" applyBorder="1" applyAlignment="1" applyProtection="1">
      <alignment horizontal="center"/>
      <protection hidden="1"/>
    </xf>
    <xf numFmtId="167" fontId="15" fillId="0" borderId="204" xfId="0" applyNumberFormat="1" applyFont="1" applyFill="1" applyBorder="1" applyAlignment="1" applyProtection="1">
      <alignment horizontal="center"/>
      <protection hidden="1"/>
    </xf>
    <xf numFmtId="167" fontId="15" fillId="0" borderId="191" xfId="0" applyNumberFormat="1" applyFont="1" applyFill="1" applyBorder="1" applyAlignment="1" applyProtection="1">
      <alignment horizontal="center"/>
      <protection hidden="1"/>
    </xf>
    <xf numFmtId="167" fontId="15" fillId="0" borderId="205" xfId="0" applyNumberFormat="1" applyFont="1" applyFill="1" applyBorder="1" applyAlignment="1" applyProtection="1">
      <alignment horizontal="center"/>
      <protection hidden="1"/>
    </xf>
    <xf numFmtId="167" fontId="0" fillId="22" borderId="206" xfId="5" applyNumberFormat="1" applyFont="1" applyFill="1" applyBorder="1" applyAlignment="1" applyProtection="1">
      <alignment horizontal="center"/>
      <protection hidden="1"/>
    </xf>
    <xf numFmtId="167" fontId="0" fillId="22" borderId="190" xfId="5" applyNumberFormat="1" applyFont="1" applyFill="1" applyBorder="1" applyAlignment="1" applyProtection="1">
      <alignment horizontal="center"/>
      <protection hidden="1"/>
    </xf>
    <xf numFmtId="167" fontId="0" fillId="22" borderId="207" xfId="5" applyNumberFormat="1" applyFont="1" applyFill="1" applyBorder="1" applyAlignment="1" applyProtection="1">
      <alignment horizontal="center"/>
      <protection hidden="1"/>
    </xf>
    <xf numFmtId="167" fontId="0" fillId="0" borderId="208" xfId="5" applyNumberFormat="1" applyFont="1" applyFill="1" applyBorder="1" applyAlignment="1" applyProtection="1">
      <alignment horizontal="center"/>
      <protection hidden="1"/>
    </xf>
    <xf numFmtId="167" fontId="0" fillId="0" borderId="0" xfId="5" applyNumberFormat="1" applyFont="1" applyFill="1" applyBorder="1" applyAlignment="1" applyProtection="1">
      <alignment horizontal="center"/>
      <protection hidden="1"/>
    </xf>
    <xf numFmtId="167" fontId="0" fillId="0" borderId="209" xfId="5" applyNumberFormat="1" applyFont="1" applyFill="1" applyBorder="1" applyAlignment="1" applyProtection="1">
      <alignment horizontal="center"/>
      <protection hidden="1"/>
    </xf>
    <xf numFmtId="167" fontId="0" fillId="22" borderId="208" xfId="5" applyNumberFormat="1" applyFont="1" applyFill="1" applyBorder="1" applyAlignment="1" applyProtection="1">
      <alignment horizontal="center"/>
      <protection hidden="1"/>
    </xf>
    <xf numFmtId="167" fontId="0" fillId="22" borderId="209" xfId="5" applyNumberFormat="1" applyFont="1" applyFill="1" applyBorder="1" applyAlignment="1" applyProtection="1">
      <alignment horizontal="center"/>
      <protection hidden="1"/>
    </xf>
    <xf numFmtId="167" fontId="0" fillId="0" borderId="208" xfId="0" applyNumberFormat="1" applyFill="1" applyBorder="1" applyAlignment="1" applyProtection="1">
      <alignment horizontal="center"/>
      <protection hidden="1"/>
    </xf>
    <xf numFmtId="0" fontId="0" fillId="0" borderId="0" xfId="0" applyFill="1" applyBorder="1" applyAlignment="1" applyProtection="1">
      <alignment horizontal="center"/>
      <protection hidden="1"/>
    </xf>
    <xf numFmtId="0" fontId="0" fillId="0" borderId="209" xfId="0" applyFill="1" applyBorder="1" applyAlignment="1" applyProtection="1">
      <alignment horizontal="center"/>
      <protection hidden="1"/>
    </xf>
    <xf numFmtId="0" fontId="15" fillId="0" borderId="263" xfId="0" applyFont="1" applyBorder="1" applyAlignment="1" applyProtection="1">
      <alignment horizontal="center"/>
      <protection hidden="1"/>
    </xf>
    <xf numFmtId="0" fontId="34" fillId="22" borderId="172" xfId="0" applyFont="1" applyFill="1" applyBorder="1" applyAlignment="1" applyProtection="1">
      <alignment horizontal="center" vertical="center"/>
      <protection hidden="1"/>
    </xf>
    <xf numFmtId="0" fontId="34" fillId="22" borderId="170" xfId="0" applyFont="1" applyFill="1" applyBorder="1" applyAlignment="1" applyProtection="1">
      <alignment horizontal="center" vertical="center"/>
      <protection hidden="1"/>
    </xf>
    <xf numFmtId="0" fontId="34" fillId="22" borderId="173" xfId="0" applyFont="1" applyFill="1" applyBorder="1" applyAlignment="1" applyProtection="1">
      <alignment horizontal="center" vertical="center"/>
      <protection hidden="1"/>
    </xf>
    <xf numFmtId="0" fontId="34" fillId="22" borderId="174" xfId="0" applyFont="1" applyFill="1" applyBorder="1" applyAlignment="1" applyProtection="1">
      <alignment horizontal="center" vertical="center"/>
      <protection hidden="1"/>
    </xf>
    <xf numFmtId="0" fontId="34" fillId="22" borderId="175" xfId="0" applyFont="1" applyFill="1" applyBorder="1" applyAlignment="1" applyProtection="1">
      <alignment horizontal="center" vertical="center"/>
      <protection hidden="1"/>
    </xf>
    <xf numFmtId="0" fontId="34" fillId="22" borderId="171" xfId="0" applyFont="1" applyFill="1" applyBorder="1" applyAlignment="1" applyProtection="1">
      <alignment horizontal="center" vertical="center"/>
      <protection hidden="1"/>
    </xf>
    <xf numFmtId="0" fontId="4" fillId="0" borderId="264" xfId="0" applyFont="1" applyBorder="1" applyAlignment="1" applyProtection="1">
      <alignment horizontal="center"/>
      <protection hidden="1"/>
    </xf>
    <xf numFmtId="0" fontId="79" fillId="17" borderId="190" xfId="0" applyFont="1" applyFill="1" applyBorder="1" applyAlignment="1">
      <alignment horizontal="right" vertical="center"/>
    </xf>
    <xf numFmtId="0" fontId="79" fillId="17" borderId="190" xfId="0" applyFont="1" applyFill="1" applyBorder="1" applyAlignment="1">
      <alignment horizontal="left" vertical="center" indent="1"/>
    </xf>
    <xf numFmtId="0" fontId="79" fillId="17" borderId="244" xfId="0" applyFont="1" applyFill="1" applyBorder="1" applyAlignment="1">
      <alignment horizontal="left" vertical="center" indent="1"/>
    </xf>
    <xf numFmtId="0" fontId="9" fillId="0" borderId="240" xfId="0" applyFont="1" applyBorder="1" applyAlignment="1" applyProtection="1">
      <alignment horizontal="center" vertical="center" textRotation="90"/>
      <protection hidden="1"/>
    </xf>
    <xf numFmtId="0" fontId="9" fillId="0" borderId="165" xfId="0" applyFont="1" applyBorder="1" applyAlignment="1" applyProtection="1">
      <alignment horizontal="center" vertical="center" textRotation="90"/>
      <protection hidden="1"/>
    </xf>
    <xf numFmtId="0" fontId="9" fillId="0" borderId="174" xfId="0" applyFont="1" applyBorder="1" applyAlignment="1" applyProtection="1">
      <alignment horizontal="center" vertical="center" textRotation="90"/>
      <protection hidden="1"/>
    </xf>
    <xf numFmtId="0" fontId="25" fillId="0" borderId="189" xfId="0" applyFont="1" applyFill="1" applyBorder="1" applyAlignment="1" applyProtection="1">
      <alignment horizontal="center" vertical="justify"/>
      <protection hidden="1"/>
    </xf>
    <xf numFmtId="0" fontId="25" fillId="0" borderId="57" xfId="0" applyFont="1" applyFill="1" applyBorder="1" applyAlignment="1" applyProtection="1">
      <alignment horizontal="center" vertical="justify"/>
      <protection hidden="1"/>
    </xf>
    <xf numFmtId="0" fontId="25" fillId="0" borderId="59" xfId="0" applyFont="1" applyFill="1" applyBorder="1" applyAlignment="1" applyProtection="1">
      <alignment horizontal="center" vertical="justify"/>
      <protection hidden="1"/>
    </xf>
    <xf numFmtId="0" fontId="0" fillId="0" borderId="236" xfId="0" applyBorder="1" applyAlignment="1" applyProtection="1">
      <alignment horizontal="center"/>
      <protection hidden="1"/>
    </xf>
    <xf numFmtId="0" fontId="0" fillId="0" borderId="233" xfId="0" applyBorder="1" applyAlignment="1" applyProtection="1">
      <alignment horizontal="center"/>
      <protection hidden="1"/>
    </xf>
    <xf numFmtId="0" fontId="0" fillId="0" borderId="234" xfId="0" applyBorder="1" applyAlignment="1" applyProtection="1">
      <alignment horizontal="center"/>
      <protection hidden="1"/>
    </xf>
    <xf numFmtId="167" fontId="0" fillId="22" borderId="215" xfId="5" applyNumberFormat="1" applyFont="1" applyFill="1" applyBorder="1" applyAlignment="1" applyProtection="1">
      <alignment horizontal="center"/>
      <protection hidden="1"/>
    </xf>
    <xf numFmtId="167" fontId="0" fillId="22" borderId="12" xfId="5" applyNumberFormat="1" applyFont="1" applyFill="1" applyBorder="1" applyAlignment="1" applyProtection="1">
      <alignment horizontal="center"/>
      <protection hidden="1"/>
    </xf>
    <xf numFmtId="167" fontId="0" fillId="22" borderId="216" xfId="5" applyNumberFormat="1" applyFont="1" applyFill="1" applyBorder="1" applyAlignment="1" applyProtection="1">
      <alignment horizontal="center"/>
      <protection hidden="1"/>
    </xf>
    <xf numFmtId="167" fontId="0" fillId="0" borderId="202" xfId="5" applyNumberFormat="1" applyFont="1" applyFill="1" applyBorder="1" applyAlignment="1" applyProtection="1">
      <alignment horizontal="center"/>
      <protection hidden="1"/>
    </xf>
    <xf numFmtId="167" fontId="0" fillId="0" borderId="203" xfId="5" applyNumberFormat="1" applyFont="1" applyFill="1" applyBorder="1" applyAlignment="1" applyProtection="1">
      <alignment horizontal="center"/>
      <protection hidden="1"/>
    </xf>
    <xf numFmtId="167" fontId="4" fillId="22" borderId="202" xfId="5" applyNumberFormat="1" applyFont="1" applyFill="1" applyBorder="1" applyAlignment="1" applyProtection="1">
      <alignment horizontal="center"/>
      <protection hidden="1"/>
    </xf>
    <xf numFmtId="167" fontId="4" fillId="22" borderId="203" xfId="5" applyNumberFormat="1" applyFont="1" applyFill="1" applyBorder="1" applyAlignment="1" applyProtection="1">
      <alignment horizontal="center"/>
      <protection hidden="1"/>
    </xf>
    <xf numFmtId="0" fontId="0" fillId="23" borderId="204" xfId="0" applyFill="1" applyBorder="1" applyAlignment="1">
      <alignment horizontal="center"/>
    </xf>
    <xf numFmtId="0" fontId="0" fillId="23" borderId="191" xfId="0" applyFill="1" applyBorder="1" applyAlignment="1">
      <alignment horizontal="center"/>
    </xf>
    <xf numFmtId="0" fontId="0" fillId="23" borderId="205" xfId="0" applyFill="1" applyBorder="1" applyAlignment="1">
      <alignment horizontal="center"/>
    </xf>
    <xf numFmtId="167" fontId="0" fillId="22" borderId="200" xfId="5" applyNumberFormat="1" applyFont="1" applyFill="1" applyBorder="1" applyAlignment="1" applyProtection="1">
      <alignment horizontal="center"/>
      <protection hidden="1"/>
    </xf>
    <xf numFmtId="167" fontId="0" fillId="22" borderId="201" xfId="5" applyNumberFormat="1" applyFont="1" applyFill="1" applyBorder="1" applyAlignment="1" applyProtection="1">
      <alignment horizontal="center"/>
      <protection hidden="1"/>
    </xf>
    <xf numFmtId="0" fontId="14" fillId="0" borderId="251" xfId="0" applyFont="1" applyBorder="1" applyAlignment="1" applyProtection="1">
      <alignment horizontal="justify" vertical="center" textRotation="90"/>
      <protection hidden="1"/>
    </xf>
    <xf numFmtId="0" fontId="14" fillId="0" borderId="256" xfId="0" applyFont="1" applyBorder="1" applyAlignment="1" applyProtection="1">
      <alignment horizontal="justify" vertical="center" textRotation="90"/>
      <protection hidden="1"/>
    </xf>
    <xf numFmtId="171" fontId="8" fillId="0" borderId="231" xfId="4" applyNumberFormat="1" applyFont="1" applyBorder="1" applyAlignment="1" applyProtection="1">
      <alignment horizontal="center"/>
      <protection hidden="1"/>
    </xf>
    <xf numFmtId="171" fontId="8" fillId="0" borderId="173" xfId="4" applyNumberFormat="1" applyFont="1" applyBorder="1" applyAlignment="1" applyProtection="1">
      <alignment horizontal="center"/>
      <protection hidden="1"/>
    </xf>
    <xf numFmtId="0" fontId="24" fillId="0" borderId="250" xfId="0" applyFont="1" applyBorder="1" applyAlignment="1">
      <alignment horizontal="left" vertical="center"/>
    </xf>
    <xf numFmtId="0" fontId="24" fillId="0" borderId="222" xfId="0" applyFont="1" applyBorder="1" applyAlignment="1">
      <alignment horizontal="left" vertical="center"/>
    </xf>
    <xf numFmtId="167" fontId="15" fillId="22" borderId="204" xfId="0" applyNumberFormat="1" applyFont="1" applyFill="1" applyBorder="1" applyAlignment="1" applyProtection="1">
      <alignment horizontal="center"/>
      <protection hidden="1"/>
    </xf>
    <xf numFmtId="167" fontId="15" fillId="22" borderId="191" xfId="0" applyNumberFormat="1" applyFont="1" applyFill="1" applyBorder="1" applyAlignment="1" applyProtection="1">
      <alignment horizontal="center"/>
      <protection hidden="1"/>
    </xf>
    <xf numFmtId="167" fontId="15" fillId="22" borderId="205" xfId="0" applyNumberFormat="1" applyFont="1" applyFill="1" applyBorder="1" applyAlignment="1" applyProtection="1">
      <alignment horizontal="center"/>
      <protection hidden="1"/>
    </xf>
    <xf numFmtId="167" fontId="0" fillId="0" borderId="200" xfId="5" applyNumberFormat="1" applyFont="1" applyFill="1" applyBorder="1" applyAlignment="1" applyProtection="1">
      <alignment horizontal="center"/>
      <protection hidden="1"/>
    </xf>
    <xf numFmtId="167" fontId="0" fillId="0" borderId="190" xfId="5" applyNumberFormat="1" applyFont="1" applyFill="1" applyBorder="1" applyAlignment="1" applyProtection="1">
      <alignment horizontal="center"/>
      <protection hidden="1"/>
    </xf>
    <xf numFmtId="167" fontId="0" fillId="0" borderId="201" xfId="5" applyNumberFormat="1" applyFont="1" applyFill="1" applyBorder="1" applyAlignment="1" applyProtection="1">
      <alignment horizontal="center"/>
      <protection hidden="1"/>
    </xf>
    <xf numFmtId="0" fontId="9" fillId="0" borderId="182" xfId="0" applyFont="1" applyFill="1" applyBorder="1" applyAlignment="1" applyProtection="1">
      <alignment horizontal="left" vertical="center"/>
      <protection hidden="1"/>
    </xf>
    <xf numFmtId="0" fontId="4" fillId="0" borderId="173" xfId="0" applyFont="1" applyBorder="1" applyAlignment="1" applyProtection="1">
      <alignment vertical="center" textRotation="90"/>
      <protection hidden="1"/>
    </xf>
    <xf numFmtId="0" fontId="8" fillId="0" borderId="172" xfId="0" applyFont="1" applyBorder="1" applyAlignment="1" applyProtection="1">
      <alignment horizontal="left"/>
      <protection hidden="1"/>
    </xf>
    <xf numFmtId="0" fontId="8" fillId="0" borderId="170" xfId="0" applyFont="1" applyBorder="1" applyAlignment="1" applyProtection="1">
      <alignment horizontal="left"/>
      <protection hidden="1"/>
    </xf>
    <xf numFmtId="0" fontId="8" fillId="0" borderId="173" xfId="0" applyFont="1" applyBorder="1" applyAlignment="1" applyProtection="1">
      <alignment horizontal="left"/>
      <protection hidden="1"/>
    </xf>
    <xf numFmtId="0" fontId="8" fillId="22" borderId="165" xfId="0" applyFont="1" applyFill="1" applyBorder="1" applyAlignment="1" applyProtection="1">
      <alignment horizontal="left" vertical="justify"/>
      <protection hidden="1"/>
    </xf>
    <xf numFmtId="0" fontId="8" fillId="22" borderId="0" xfId="0" applyFont="1" applyFill="1" applyBorder="1" applyAlignment="1" applyProtection="1">
      <alignment horizontal="left" vertical="justify"/>
      <protection hidden="1"/>
    </xf>
    <xf numFmtId="0" fontId="8" fillId="22" borderId="166" xfId="0" applyFont="1" applyFill="1" applyBorder="1" applyAlignment="1" applyProtection="1">
      <alignment horizontal="left" vertical="justify"/>
      <protection hidden="1"/>
    </xf>
    <xf numFmtId="0" fontId="8" fillId="0" borderId="165" xfId="0" applyFont="1" applyFill="1" applyBorder="1" applyAlignment="1" applyProtection="1">
      <alignment horizontal="left" vertical="justify"/>
      <protection hidden="1"/>
    </xf>
    <xf numFmtId="0" fontId="8" fillId="0" borderId="0" xfId="0" applyFont="1" applyFill="1" applyBorder="1" applyAlignment="1" applyProtection="1">
      <alignment horizontal="left" vertical="justify"/>
      <protection hidden="1"/>
    </xf>
    <xf numFmtId="0" fontId="8" fillId="0" borderId="166" xfId="0" applyFont="1" applyFill="1" applyBorder="1" applyAlignment="1" applyProtection="1">
      <alignment horizontal="left" vertical="justify"/>
      <protection hidden="1"/>
    </xf>
    <xf numFmtId="0" fontId="8" fillId="0" borderId="162" xfId="0" applyFont="1" applyBorder="1" applyAlignment="1">
      <alignment horizontal="justify" vertical="center" textRotation="90"/>
    </xf>
    <xf numFmtId="0" fontId="8" fillId="0" borderId="163" xfId="0" applyFont="1" applyBorder="1" applyAlignment="1">
      <alignment horizontal="justify" vertical="center" textRotation="90"/>
    </xf>
    <xf numFmtId="0" fontId="8" fillId="0" borderId="164" xfId="0" applyFont="1" applyBorder="1" applyAlignment="1">
      <alignment horizontal="justify" vertical="center" textRotation="90"/>
    </xf>
    <xf numFmtId="0" fontId="8" fillId="0" borderId="165" xfId="0" applyFont="1" applyFill="1" applyBorder="1" applyAlignment="1" applyProtection="1">
      <alignment horizontal="left"/>
      <protection hidden="1"/>
    </xf>
    <xf numFmtId="0" fontId="8" fillId="0" borderId="0" xfId="0" applyFont="1" applyFill="1" applyBorder="1" applyAlignment="1" applyProtection="1">
      <alignment horizontal="left"/>
      <protection hidden="1"/>
    </xf>
    <xf numFmtId="0" fontId="8" fillId="0" borderId="166" xfId="0" applyFont="1" applyFill="1" applyBorder="1" applyAlignment="1" applyProtection="1">
      <alignment horizontal="left"/>
      <protection hidden="1"/>
    </xf>
    <xf numFmtId="0" fontId="8" fillId="22" borderId="165" xfId="0" applyFont="1" applyFill="1" applyBorder="1" applyAlignment="1" applyProtection="1">
      <alignment horizontal="justify" vertical="justify"/>
      <protection hidden="1"/>
    </xf>
    <xf numFmtId="0" fontId="8" fillId="22" borderId="0" xfId="0" applyFont="1" applyFill="1" applyBorder="1" applyAlignment="1" applyProtection="1">
      <alignment horizontal="justify" vertical="justify"/>
      <protection hidden="1"/>
    </xf>
    <xf numFmtId="0" fontId="8" fillId="22" borderId="166" xfId="0" applyFont="1" applyFill="1" applyBorder="1" applyAlignment="1" applyProtection="1">
      <alignment horizontal="justify" vertical="justify"/>
      <protection hidden="1"/>
    </xf>
    <xf numFmtId="0" fontId="2" fillId="0" borderId="174" xfId="0" applyFont="1" applyFill="1" applyBorder="1" applyAlignment="1" applyProtection="1">
      <alignment horizontal="left"/>
      <protection hidden="1"/>
    </xf>
    <xf numFmtId="0" fontId="2" fillId="0" borderId="175" xfId="0" applyFont="1" applyFill="1" applyBorder="1" applyAlignment="1" applyProtection="1">
      <alignment horizontal="left"/>
      <protection hidden="1"/>
    </xf>
    <xf numFmtId="0" fontId="2" fillId="0" borderId="171" xfId="0" applyFont="1" applyFill="1" applyBorder="1" applyAlignment="1" applyProtection="1">
      <alignment horizontal="left"/>
      <protection hidden="1"/>
    </xf>
    <xf numFmtId="0" fontId="3" fillId="0" borderId="165" xfId="0" applyFont="1" applyBorder="1" applyAlignment="1" applyProtection="1">
      <alignment horizontal="left" vertical="justify"/>
      <protection hidden="1"/>
    </xf>
    <xf numFmtId="0" fontId="3" fillId="0" borderId="166" xfId="0" applyFont="1" applyBorder="1" applyAlignment="1" applyProtection="1">
      <alignment horizontal="left" vertical="justify"/>
      <protection hidden="1"/>
    </xf>
    <xf numFmtId="0" fontId="8" fillId="0" borderId="165" xfId="0" applyFont="1" applyBorder="1" applyAlignment="1" applyProtection="1">
      <alignment horizontal="left" vertical="justify"/>
      <protection hidden="1"/>
    </xf>
    <xf numFmtId="0" fontId="8" fillId="0" borderId="166" xfId="0" applyFont="1" applyBorder="1" applyAlignment="1" applyProtection="1">
      <alignment horizontal="left" vertical="justify"/>
      <protection hidden="1"/>
    </xf>
    <xf numFmtId="0" fontId="3" fillId="22" borderId="165" xfId="0" applyFont="1" applyFill="1" applyBorder="1" applyAlignment="1" applyProtection="1">
      <alignment horizontal="left"/>
      <protection hidden="1"/>
    </xf>
    <xf numFmtId="0" fontId="3" fillId="22" borderId="166" xfId="0" applyFont="1" applyFill="1" applyBorder="1" applyAlignment="1" applyProtection="1">
      <alignment horizontal="left"/>
      <protection hidden="1"/>
    </xf>
    <xf numFmtId="0" fontId="14" fillId="22" borderId="258" xfId="0" applyFont="1" applyFill="1" applyBorder="1" applyAlignment="1">
      <alignment horizontal="left" vertical="justify"/>
    </xf>
    <xf numFmtId="0" fontId="14" fillId="22" borderId="259" xfId="0" applyFont="1" applyFill="1" applyBorder="1" applyAlignment="1">
      <alignment horizontal="left" vertical="justify"/>
    </xf>
    <xf numFmtId="0" fontId="2" fillId="22" borderId="259" xfId="0" applyFont="1" applyFill="1" applyBorder="1" applyAlignment="1" applyProtection="1">
      <alignment horizontal="center"/>
      <protection hidden="1"/>
    </xf>
    <xf numFmtId="0" fontId="2" fillId="22" borderId="174" xfId="0" applyFont="1" applyFill="1" applyBorder="1" applyAlignment="1" applyProtection="1">
      <alignment horizontal="left"/>
      <protection hidden="1"/>
    </xf>
    <xf numFmtId="0" fontId="2" fillId="22" borderId="175" xfId="0" applyFont="1" applyFill="1" applyBorder="1" applyAlignment="1" applyProtection="1">
      <alignment horizontal="left"/>
      <protection hidden="1"/>
    </xf>
    <xf numFmtId="0" fontId="2" fillId="22" borderId="171" xfId="0" applyFont="1" applyFill="1" applyBorder="1" applyAlignment="1" applyProtection="1">
      <alignment horizontal="left"/>
      <protection hidden="1"/>
    </xf>
    <xf numFmtId="0" fontId="2" fillId="22" borderId="174" xfId="0" applyFont="1" applyFill="1" applyBorder="1" applyAlignment="1" applyProtection="1">
      <alignment horizontal="justify"/>
      <protection hidden="1"/>
    </xf>
    <xf numFmtId="0" fontId="2" fillId="22" borderId="175" xfId="0" applyFont="1" applyFill="1" applyBorder="1" applyAlignment="1" applyProtection="1">
      <alignment horizontal="justify"/>
      <protection hidden="1"/>
    </xf>
    <xf numFmtId="0" fontId="2" fillId="22" borderId="171" xfId="0" applyFont="1" applyFill="1" applyBorder="1" applyAlignment="1" applyProtection="1">
      <alignment horizontal="justify"/>
      <protection hidden="1"/>
    </xf>
    <xf numFmtId="0" fontId="8" fillId="0" borderId="165" xfId="0" applyFont="1" applyBorder="1" applyAlignment="1">
      <alignment horizontal="left" vertical="justify" wrapText="1"/>
    </xf>
    <xf numFmtId="0" fontId="8" fillId="0" borderId="0" xfId="0" applyFont="1" applyBorder="1" applyAlignment="1">
      <alignment horizontal="left" vertical="justify" wrapText="1"/>
    </xf>
    <xf numFmtId="0" fontId="8" fillId="0" borderId="166" xfId="0" applyFont="1" applyBorder="1" applyAlignment="1">
      <alignment horizontal="left" vertical="justify" wrapText="1"/>
    </xf>
    <xf numFmtId="171" fontId="8" fillId="22" borderId="165" xfId="4" applyNumberFormat="1" applyFont="1" applyFill="1" applyBorder="1" applyAlignment="1" applyProtection="1">
      <alignment horizontal="left" vertical="justify" wrapText="1"/>
      <protection hidden="1"/>
    </xf>
    <xf numFmtId="171" fontId="8" fillId="22" borderId="0" xfId="4" applyNumberFormat="1" applyFont="1" applyFill="1" applyBorder="1" applyAlignment="1" applyProtection="1">
      <alignment horizontal="left" vertical="justify" wrapText="1"/>
      <protection hidden="1"/>
    </xf>
    <xf numFmtId="171" fontId="8" fillId="22" borderId="166" xfId="4" applyNumberFormat="1" applyFont="1" applyFill="1" applyBorder="1" applyAlignment="1" applyProtection="1">
      <alignment horizontal="left" vertical="justify" wrapText="1"/>
      <protection hidden="1"/>
    </xf>
    <xf numFmtId="0" fontId="8" fillId="22" borderId="165" xfId="0" applyFont="1" applyFill="1" applyBorder="1" applyAlignment="1" applyProtection="1">
      <alignment horizontal="left" wrapText="1"/>
      <protection hidden="1"/>
    </xf>
    <xf numFmtId="0" fontId="8" fillId="22" borderId="0" xfId="0" applyFont="1" applyFill="1" applyBorder="1" applyAlignment="1" applyProtection="1">
      <alignment horizontal="left" wrapText="1"/>
      <protection hidden="1"/>
    </xf>
    <xf numFmtId="0" fontId="8" fillId="22" borderId="166" xfId="0" applyFont="1" applyFill="1" applyBorder="1" applyAlignment="1" applyProtection="1">
      <alignment horizontal="left" wrapText="1"/>
      <protection hidden="1"/>
    </xf>
    <xf numFmtId="0" fontId="8" fillId="0" borderId="165" xfId="0" applyFont="1" applyBorder="1" applyAlignment="1" applyProtection="1">
      <alignment horizontal="left"/>
      <protection hidden="1"/>
    </xf>
    <xf numFmtId="0" fontId="8" fillId="0" borderId="166" xfId="0" applyFont="1" applyBorder="1" applyAlignment="1" applyProtection="1">
      <alignment horizontal="left"/>
      <protection hidden="1"/>
    </xf>
    <xf numFmtId="0" fontId="2" fillId="0" borderId="165" xfId="0" applyFont="1" applyBorder="1" applyAlignment="1">
      <alignment horizontal="left"/>
    </xf>
    <xf numFmtId="0" fontId="2" fillId="0" borderId="0" xfId="0" applyFont="1" applyBorder="1" applyAlignment="1">
      <alignment horizontal="left"/>
    </xf>
    <xf numFmtId="0" fontId="2" fillId="0" borderId="166" xfId="0" applyFont="1" applyBorder="1" applyAlignment="1">
      <alignment horizontal="left"/>
    </xf>
    <xf numFmtId="171" fontId="8" fillId="22" borderId="165" xfId="4" applyNumberFormat="1" applyFont="1" applyFill="1" applyBorder="1" applyAlignment="1" applyProtection="1">
      <alignment horizontal="left"/>
      <protection hidden="1"/>
    </xf>
    <xf numFmtId="171" fontId="8" fillId="22" borderId="0" xfId="4" applyNumberFormat="1" applyFont="1" applyFill="1" applyBorder="1" applyAlignment="1" applyProtection="1">
      <alignment horizontal="left"/>
      <protection hidden="1"/>
    </xf>
    <xf numFmtId="171" fontId="8" fillId="22" borderId="166" xfId="4" applyNumberFormat="1" applyFont="1" applyFill="1" applyBorder="1" applyAlignment="1" applyProtection="1">
      <alignment horizontal="left"/>
      <protection hidden="1"/>
    </xf>
    <xf numFmtId="0" fontId="8" fillId="0" borderId="165" xfId="0" applyFont="1" applyBorder="1" applyAlignment="1">
      <alignment horizontal="left" wrapText="1"/>
    </xf>
    <xf numFmtId="0" fontId="8" fillId="0" borderId="0" xfId="0" applyFont="1" applyBorder="1" applyAlignment="1">
      <alignment horizontal="left" wrapText="1"/>
    </xf>
    <xf numFmtId="0" fontId="8" fillId="0" borderId="166" xfId="0" applyFont="1" applyBorder="1" applyAlignment="1">
      <alignment horizontal="left" wrapText="1"/>
    </xf>
    <xf numFmtId="0" fontId="8" fillId="0" borderId="165" xfId="0" applyFont="1" applyBorder="1" applyAlignment="1" applyProtection="1">
      <alignment horizontal="left" wrapText="1"/>
      <protection hidden="1"/>
    </xf>
    <xf numFmtId="0" fontId="8" fillId="0" borderId="0" xfId="0" applyFont="1" applyBorder="1" applyAlignment="1" applyProtection="1">
      <alignment horizontal="left" wrapText="1"/>
      <protection hidden="1"/>
    </xf>
    <xf numFmtId="0" fontId="8" fillId="0" borderId="166" xfId="0" applyFont="1" applyBorder="1" applyAlignment="1" applyProtection="1">
      <alignment horizontal="left" wrapText="1"/>
      <protection hidden="1"/>
    </xf>
    <xf numFmtId="0" fontId="8" fillId="22" borderId="174" xfId="0" applyFont="1" applyFill="1" applyBorder="1" applyAlignment="1">
      <alignment horizontal="left" vertical="justify"/>
    </xf>
    <xf numFmtId="0" fontId="8" fillId="22" borderId="175" xfId="0" applyFont="1" applyFill="1" applyBorder="1" applyAlignment="1">
      <alignment horizontal="left" vertical="justify"/>
    </xf>
    <xf numFmtId="0" fontId="8" fillId="22" borderId="171" xfId="0" applyFont="1" applyFill="1" applyBorder="1" applyAlignment="1">
      <alignment horizontal="left" vertical="justify"/>
    </xf>
    <xf numFmtId="167" fontId="0" fillId="5" borderId="61" xfId="0" applyNumberFormat="1" applyFill="1" applyBorder="1" applyAlignment="1">
      <alignment horizontal="center"/>
    </xf>
    <xf numFmtId="0" fontId="0" fillId="22" borderId="237" xfId="0" applyFill="1" applyBorder="1" applyAlignment="1">
      <alignment horizontal="center" vertical="center"/>
    </xf>
    <xf numFmtId="0" fontId="0" fillId="22" borderId="170" xfId="0" applyFill="1" applyBorder="1" applyAlignment="1">
      <alignment horizontal="center" vertical="center"/>
    </xf>
    <xf numFmtId="0" fontId="0" fillId="22" borderId="238" xfId="0" applyFill="1" applyBorder="1" applyAlignment="1">
      <alignment horizontal="center" vertical="center"/>
    </xf>
    <xf numFmtId="0" fontId="9" fillId="22" borderId="22" xfId="0" applyFont="1" applyFill="1" applyBorder="1" applyAlignment="1" applyProtection="1">
      <alignment horizontal="left"/>
      <protection hidden="1"/>
    </xf>
    <xf numFmtId="0" fontId="9" fillId="22" borderId="188" xfId="0" applyFont="1" applyFill="1" applyBorder="1" applyAlignment="1" applyProtection="1">
      <alignment horizontal="left"/>
      <protection hidden="1"/>
    </xf>
    <xf numFmtId="0" fontId="9" fillId="0" borderId="1" xfId="0" applyFont="1" applyFill="1" applyBorder="1" applyAlignment="1" applyProtection="1">
      <alignment horizontal="left"/>
      <protection hidden="1"/>
    </xf>
    <xf numFmtId="0" fontId="9" fillId="0" borderId="25" xfId="0" applyFont="1" applyFill="1" applyBorder="1" applyAlignment="1" applyProtection="1">
      <alignment horizontal="left"/>
      <protection hidden="1"/>
    </xf>
    <xf numFmtId="0" fontId="9" fillId="22" borderId="1" xfId="0" applyFont="1" applyFill="1" applyBorder="1" applyAlignment="1" applyProtection="1">
      <alignment horizontal="left"/>
      <protection hidden="1"/>
    </xf>
    <xf numFmtId="0" fontId="9" fillId="22" borderId="25" xfId="0" applyFont="1" applyFill="1" applyBorder="1" applyAlignment="1" applyProtection="1">
      <alignment horizontal="left"/>
      <protection hidden="1"/>
    </xf>
    <xf numFmtId="0" fontId="64" fillId="0" borderId="174" xfId="0" applyFont="1" applyBorder="1" applyAlignment="1" applyProtection="1">
      <alignment horizontal="left" wrapText="1"/>
      <protection hidden="1"/>
    </xf>
    <xf numFmtId="0" fontId="64" fillId="0" borderId="175" xfId="0" applyFont="1" applyBorder="1" applyAlignment="1" applyProtection="1">
      <alignment horizontal="left" wrapText="1"/>
      <protection hidden="1"/>
    </xf>
    <xf numFmtId="0" fontId="64" fillId="0" borderId="171" xfId="0" applyFont="1" applyBorder="1" applyAlignment="1" applyProtection="1">
      <alignment horizontal="left" wrapText="1"/>
      <protection hidden="1"/>
    </xf>
    <xf numFmtId="0" fontId="2" fillId="0" borderId="165" xfId="0" applyFont="1" applyBorder="1" applyAlignment="1" applyProtection="1">
      <alignment horizontal="justify" vertical="justify"/>
      <protection hidden="1"/>
    </xf>
    <xf numFmtId="0" fontId="2" fillId="0" borderId="166" xfId="0" applyFont="1" applyBorder="1" applyAlignment="1" applyProtection="1">
      <alignment horizontal="justify" vertical="justify"/>
      <protection hidden="1"/>
    </xf>
    <xf numFmtId="0" fontId="15" fillId="0" borderId="189" xfId="0" applyFont="1" applyFill="1" applyBorder="1" applyAlignment="1" applyProtection="1">
      <alignment horizontal="center" vertical="center"/>
      <protection hidden="1"/>
    </xf>
    <xf numFmtId="0" fontId="15" fillId="0" borderId="57" xfId="0" applyFont="1" applyFill="1" applyBorder="1" applyAlignment="1" applyProtection="1">
      <alignment horizontal="center" vertical="center"/>
      <protection hidden="1"/>
    </xf>
    <xf numFmtId="0" fontId="2" fillId="22" borderId="206" xfId="0" applyFont="1" applyFill="1" applyBorder="1" applyAlignment="1">
      <alignment vertical="justify"/>
    </xf>
    <xf numFmtId="0" fontId="2" fillId="22" borderId="190" xfId="0" applyFont="1" applyFill="1" applyBorder="1" applyAlignment="1">
      <alignment vertical="justify"/>
    </xf>
    <xf numFmtId="0" fontId="2" fillId="22" borderId="207" xfId="0" applyFont="1" applyFill="1" applyBorder="1" applyAlignment="1">
      <alignment vertical="justify"/>
    </xf>
    <xf numFmtId="0" fontId="2" fillId="0" borderId="208" xfId="0" applyFont="1" applyBorder="1" applyAlignment="1">
      <alignment vertical="justify"/>
    </xf>
    <xf numFmtId="0" fontId="2" fillId="0" borderId="0" xfId="0" applyFont="1" applyBorder="1" applyAlignment="1">
      <alignment vertical="justify"/>
    </xf>
    <xf numFmtId="0" fontId="2" fillId="0" borderId="209" xfId="0" applyFont="1" applyBorder="1" applyAlignment="1">
      <alignment vertical="justify"/>
    </xf>
    <xf numFmtId="0" fontId="2" fillId="22" borderId="208" xfId="0" applyFont="1" applyFill="1" applyBorder="1" applyAlignment="1">
      <alignment vertical="justify"/>
    </xf>
    <xf numFmtId="0" fontId="2" fillId="22" borderId="0" xfId="0" applyFont="1" applyFill="1" applyBorder="1" applyAlignment="1">
      <alignment vertical="justify"/>
    </xf>
    <xf numFmtId="0" fontId="2" fillId="22" borderId="209" xfId="0" applyFont="1" applyFill="1" applyBorder="1" applyAlignment="1">
      <alignment vertical="justify"/>
    </xf>
    <xf numFmtId="0" fontId="2" fillId="22" borderId="210" xfId="0" applyFont="1" applyFill="1" applyBorder="1" applyAlignment="1">
      <alignment vertical="justify"/>
    </xf>
    <xf numFmtId="0" fontId="2" fillId="22" borderId="191" xfId="0" applyFont="1" applyFill="1" applyBorder="1" applyAlignment="1">
      <alignment vertical="justify"/>
    </xf>
    <xf numFmtId="0" fontId="2" fillId="22" borderId="211" xfId="0" applyFont="1" applyFill="1" applyBorder="1" applyAlignment="1">
      <alignment vertical="justify"/>
    </xf>
    <xf numFmtId="167" fontId="15" fillId="22" borderId="204" xfId="5" applyNumberFormat="1" applyFont="1" applyFill="1" applyBorder="1" applyAlignment="1" applyProtection="1">
      <alignment horizontal="center"/>
      <protection hidden="1"/>
    </xf>
    <xf numFmtId="167" fontId="15" fillId="22" borderId="205" xfId="5" applyNumberFormat="1" applyFont="1" applyFill="1" applyBorder="1" applyAlignment="1" applyProtection="1">
      <alignment horizontal="center"/>
      <protection hidden="1"/>
    </xf>
    <xf numFmtId="167" fontId="15" fillId="0" borderId="204" xfId="5" applyNumberFormat="1" applyFont="1" applyFill="1" applyBorder="1" applyAlignment="1" applyProtection="1">
      <alignment horizontal="center"/>
      <protection hidden="1"/>
    </xf>
    <xf numFmtId="167" fontId="15" fillId="0" borderId="205" xfId="5" applyNumberFormat="1" applyFont="1" applyFill="1" applyBorder="1" applyAlignment="1" applyProtection="1">
      <alignment horizontal="center"/>
      <protection hidden="1"/>
    </xf>
    <xf numFmtId="0" fontId="20" fillId="0" borderId="193" xfId="0" applyFont="1" applyBorder="1" applyAlignment="1">
      <alignment horizontal="center" textRotation="90"/>
    </xf>
    <xf numFmtId="0" fontId="20" fillId="0" borderId="194" xfId="0" applyFont="1" applyBorder="1" applyAlignment="1">
      <alignment horizontal="center" textRotation="90"/>
    </xf>
    <xf numFmtId="0" fontId="20" fillId="0" borderId="195" xfId="0" applyFont="1" applyBorder="1" applyAlignment="1">
      <alignment horizontal="center" textRotation="90"/>
    </xf>
    <xf numFmtId="0" fontId="3" fillId="22" borderId="190" xfId="0" applyFont="1" applyFill="1" applyBorder="1" applyAlignment="1">
      <alignment horizontal="left"/>
    </xf>
    <xf numFmtId="0" fontId="0" fillId="0" borderId="0" xfId="0" applyBorder="1" applyAlignment="1">
      <alignment horizontal="left"/>
    </xf>
    <xf numFmtId="0" fontId="15" fillId="22" borderId="191" xfId="0" applyFont="1" applyFill="1" applyBorder="1" applyAlignment="1">
      <alignment horizontal="left"/>
    </xf>
    <xf numFmtId="0" fontId="20" fillId="0" borderId="193" xfId="0" applyFont="1" applyBorder="1" applyAlignment="1">
      <alignment horizontal="justify" vertical="center" textRotation="90"/>
    </xf>
    <xf numFmtId="0" fontId="20" fillId="0" borderId="194" xfId="0" applyFont="1" applyBorder="1" applyAlignment="1">
      <alignment horizontal="justify" vertical="center" textRotation="90"/>
    </xf>
    <xf numFmtId="0" fontId="20" fillId="0" borderId="195" xfId="0" applyFont="1" applyBorder="1" applyAlignment="1">
      <alignment horizontal="justify" vertical="center" textRotation="90"/>
    </xf>
    <xf numFmtId="0" fontId="3" fillId="0" borderId="190" xfId="0" applyFont="1" applyFill="1" applyBorder="1" applyAlignment="1">
      <alignment horizontal="left"/>
    </xf>
    <xf numFmtId="0" fontId="2" fillId="22" borderId="0" xfId="0" applyFont="1" applyFill="1" applyBorder="1" applyAlignment="1">
      <alignment horizontal="left"/>
    </xf>
    <xf numFmtId="0" fontId="0" fillId="22" borderId="0" xfId="0" applyFill="1" applyBorder="1" applyAlignment="1">
      <alignment horizontal="left"/>
    </xf>
    <xf numFmtId="0" fontId="4" fillId="0" borderId="191" xfId="0" applyFont="1" applyFill="1" applyBorder="1" applyAlignment="1">
      <alignment horizontal="left"/>
    </xf>
    <xf numFmtId="164" fontId="0" fillId="22" borderId="215" xfId="5" applyFont="1" applyFill="1" applyBorder="1" applyAlignment="1">
      <alignment horizontal="center"/>
    </xf>
    <xf numFmtId="164" fontId="0" fillId="22" borderId="12" xfId="5" applyFont="1" applyFill="1" applyBorder="1" applyAlignment="1">
      <alignment horizontal="center"/>
    </xf>
    <xf numFmtId="164" fontId="0" fillId="22" borderId="216" xfId="5" applyFont="1" applyFill="1" applyBorder="1" applyAlignment="1">
      <alignment horizontal="center"/>
    </xf>
    <xf numFmtId="0" fontId="0" fillId="23" borderId="202" xfId="0" applyFill="1" applyBorder="1" applyAlignment="1">
      <alignment horizontal="center"/>
    </xf>
    <xf numFmtId="0" fontId="0" fillId="23" borderId="0" xfId="0" applyFill="1" applyBorder="1" applyAlignment="1">
      <alignment horizontal="center"/>
    </xf>
    <xf numFmtId="0" fontId="0" fillId="23" borderId="203" xfId="0" applyFill="1" applyBorder="1" applyAlignment="1">
      <alignment horizontal="center"/>
    </xf>
    <xf numFmtId="167" fontId="0" fillId="22" borderId="202" xfId="5" applyNumberFormat="1" applyFont="1" applyFill="1" applyBorder="1" applyAlignment="1">
      <alignment horizontal="center" vertical="justify"/>
    </xf>
    <xf numFmtId="167" fontId="0" fillId="22" borderId="0" xfId="5" applyNumberFormat="1" applyFont="1" applyFill="1" applyBorder="1" applyAlignment="1">
      <alignment horizontal="center" vertical="justify"/>
    </xf>
    <xf numFmtId="167" fontId="0" fillId="22" borderId="203" xfId="5" applyNumberFormat="1" applyFont="1" applyFill="1" applyBorder="1" applyAlignment="1">
      <alignment horizontal="center" vertical="justify"/>
    </xf>
    <xf numFmtId="167" fontId="0" fillId="0" borderId="202" xfId="5" applyNumberFormat="1" applyFont="1" applyFill="1" applyBorder="1" applyAlignment="1">
      <alignment horizontal="center" vertical="justify"/>
    </xf>
    <xf numFmtId="167" fontId="0" fillId="0" borderId="0" xfId="5" applyNumberFormat="1" applyFont="1" applyFill="1" applyBorder="1" applyAlignment="1">
      <alignment horizontal="center" vertical="justify"/>
    </xf>
    <xf numFmtId="167" fontId="0" fillId="0" borderId="203" xfId="5" applyNumberFormat="1" applyFont="1" applyFill="1" applyBorder="1" applyAlignment="1">
      <alignment horizontal="center" vertical="justify"/>
    </xf>
    <xf numFmtId="167" fontId="4" fillId="22" borderId="202" xfId="5" applyNumberFormat="1" applyFont="1" applyFill="1" applyBorder="1" applyAlignment="1">
      <alignment horizontal="center"/>
    </xf>
    <xf numFmtId="167" fontId="4" fillId="22" borderId="0" xfId="5" applyNumberFormat="1" applyFont="1" applyFill="1" applyBorder="1" applyAlignment="1">
      <alignment horizontal="center"/>
    </xf>
    <xf numFmtId="167" fontId="4" fillId="22" borderId="203" xfId="5" applyNumberFormat="1" applyFont="1" applyFill="1" applyBorder="1" applyAlignment="1">
      <alignment horizontal="center"/>
    </xf>
    <xf numFmtId="167" fontId="0" fillId="0" borderId="204" xfId="5" applyNumberFormat="1" applyFont="1" applyFill="1" applyBorder="1" applyAlignment="1">
      <alignment horizontal="center" vertical="justify"/>
    </xf>
    <xf numFmtId="167" fontId="0" fillId="0" borderId="191" xfId="5" applyNumberFormat="1" applyFont="1" applyFill="1" applyBorder="1" applyAlignment="1">
      <alignment horizontal="center" vertical="justify"/>
    </xf>
    <xf numFmtId="167" fontId="0" fillId="0" borderId="205" xfId="5" applyNumberFormat="1" applyFont="1" applyFill="1" applyBorder="1" applyAlignment="1">
      <alignment horizontal="center" vertical="justify"/>
    </xf>
    <xf numFmtId="167" fontId="0" fillId="22" borderId="200" xfId="5" applyNumberFormat="1" applyFont="1" applyFill="1" applyBorder="1" applyAlignment="1">
      <alignment horizontal="center"/>
    </xf>
    <xf numFmtId="167" fontId="0" fillId="22" borderId="190" xfId="5" applyNumberFormat="1" applyFont="1" applyFill="1" applyBorder="1" applyAlignment="1">
      <alignment horizontal="center"/>
    </xf>
    <xf numFmtId="167" fontId="0" fillId="22" borderId="201" xfId="5" applyNumberFormat="1" applyFont="1" applyFill="1" applyBorder="1" applyAlignment="1">
      <alignment horizontal="center"/>
    </xf>
    <xf numFmtId="0" fontId="0" fillId="0" borderId="202" xfId="0" applyFill="1" applyBorder="1" applyAlignment="1" applyProtection="1">
      <alignment horizontal="center"/>
      <protection hidden="1"/>
    </xf>
    <xf numFmtId="0" fontId="0" fillId="0" borderId="203" xfId="0" applyFill="1" applyBorder="1" applyAlignment="1" applyProtection="1">
      <alignment horizontal="center"/>
      <protection hidden="1"/>
    </xf>
    <xf numFmtId="0" fontId="15" fillId="22" borderId="191" xfId="0" applyFont="1" applyFill="1" applyBorder="1" applyAlignment="1" applyProtection="1">
      <alignment horizontal="center"/>
      <protection hidden="1"/>
    </xf>
    <xf numFmtId="0" fontId="15" fillId="22" borderId="205" xfId="0" applyFont="1" applyFill="1" applyBorder="1" applyAlignment="1" applyProtection="1">
      <alignment horizontal="center"/>
      <protection hidden="1"/>
    </xf>
    <xf numFmtId="171" fontId="8" fillId="22" borderId="253" xfId="4" applyNumberFormat="1" applyFont="1" applyFill="1" applyBorder="1" applyAlignment="1" applyProtection="1">
      <alignment horizontal="center"/>
      <protection hidden="1"/>
    </xf>
    <xf numFmtId="171" fontId="8" fillId="22" borderId="255" xfId="4" applyNumberFormat="1" applyFont="1" applyFill="1" applyBorder="1" applyAlignment="1" applyProtection="1">
      <alignment horizontal="center"/>
      <protection hidden="1"/>
    </xf>
    <xf numFmtId="171" fontId="0" fillId="0" borderId="0" xfId="0" applyNumberFormat="1" applyFill="1" applyBorder="1" applyAlignment="1" applyProtection="1">
      <alignment horizontal="center"/>
      <protection hidden="1"/>
    </xf>
    <xf numFmtId="171" fontId="0" fillId="0" borderId="166" xfId="0" applyNumberFormat="1" applyFill="1" applyBorder="1" applyAlignment="1" applyProtection="1">
      <alignment horizontal="center"/>
      <protection hidden="1"/>
    </xf>
    <xf numFmtId="0" fontId="8" fillId="22" borderId="0" xfId="0" applyFont="1" applyFill="1" applyBorder="1" applyAlignment="1">
      <alignment horizontal="center" vertical="center"/>
    </xf>
    <xf numFmtId="0" fontId="8" fillId="22" borderId="166" xfId="0" applyFont="1" applyFill="1" applyBorder="1" applyAlignment="1">
      <alignment horizontal="center" vertical="center"/>
    </xf>
    <xf numFmtId="171" fontId="8" fillId="0" borderId="0" xfId="4" applyNumberFormat="1" applyFont="1" applyFill="1" applyBorder="1" applyAlignment="1">
      <alignment horizontal="right" vertical="center"/>
    </xf>
    <xf numFmtId="171" fontId="8" fillId="0" borderId="166" xfId="4" applyNumberFormat="1" applyFont="1" applyFill="1" applyBorder="1" applyAlignment="1">
      <alignment horizontal="right" vertical="center"/>
    </xf>
    <xf numFmtId="171" fontId="0" fillId="0" borderId="175" xfId="0" applyNumberFormat="1" applyFill="1" applyBorder="1" applyAlignment="1" applyProtection="1">
      <alignment horizontal="center"/>
      <protection hidden="1"/>
    </xf>
    <xf numFmtId="171" fontId="0" fillId="0" borderId="171" xfId="0" applyNumberFormat="1" applyFill="1" applyBorder="1" applyAlignment="1" applyProtection="1">
      <alignment horizontal="center"/>
      <protection hidden="1"/>
    </xf>
    <xf numFmtId="167" fontId="0" fillId="0" borderId="222" xfId="5" applyNumberFormat="1" applyFont="1" applyBorder="1" applyAlignment="1" applyProtection="1">
      <alignment horizontal="center"/>
      <protection locked="0"/>
    </xf>
    <xf numFmtId="167" fontId="0" fillId="0" borderId="223" xfId="5" applyNumberFormat="1" applyFont="1" applyBorder="1" applyAlignment="1" applyProtection="1">
      <alignment horizontal="center"/>
      <protection locked="0"/>
    </xf>
    <xf numFmtId="0" fontId="25" fillId="22" borderId="252" xfId="0" applyFont="1" applyFill="1" applyBorder="1" applyAlignment="1">
      <alignment horizontal="left" vertical="justify" wrapText="1"/>
    </xf>
    <xf numFmtId="0" fontId="25" fillId="22" borderId="253" xfId="0" applyFont="1" applyFill="1" applyBorder="1" applyAlignment="1">
      <alignment horizontal="left" vertical="justify"/>
    </xf>
    <xf numFmtId="0" fontId="25" fillId="0" borderId="182" xfId="0" applyFont="1" applyFill="1" applyBorder="1" applyAlignment="1">
      <alignment horizontal="left" vertical="justify"/>
    </xf>
    <xf numFmtId="0" fontId="25" fillId="0" borderId="0" xfId="0" applyFont="1" applyFill="1" applyBorder="1" applyAlignment="1">
      <alignment horizontal="left" vertical="justify"/>
    </xf>
    <xf numFmtId="0" fontId="25" fillId="22" borderId="182" xfId="0" applyFont="1" applyFill="1" applyBorder="1" applyAlignment="1" applyProtection="1">
      <alignment horizontal="left" vertical="justify"/>
      <protection hidden="1"/>
    </xf>
    <xf numFmtId="0" fontId="25" fillId="22" borderId="0" xfId="0" applyFont="1" applyFill="1" applyBorder="1" applyAlignment="1" applyProtection="1">
      <alignment horizontal="left" vertical="justify"/>
      <protection hidden="1"/>
    </xf>
    <xf numFmtId="167" fontId="0" fillId="22" borderId="242" xfId="5" applyNumberFormat="1" applyFont="1" applyFill="1" applyBorder="1" applyAlignment="1" applyProtection="1">
      <alignment horizontal="center"/>
      <protection hidden="1"/>
    </xf>
    <xf numFmtId="167" fontId="0" fillId="0" borderId="166" xfId="5" applyNumberFormat="1" applyFont="1" applyFill="1" applyBorder="1" applyAlignment="1" applyProtection="1">
      <alignment horizontal="center"/>
      <protection hidden="1"/>
    </xf>
    <xf numFmtId="167" fontId="0" fillId="22" borderId="166" xfId="5" applyNumberFormat="1" applyFont="1" applyFill="1" applyBorder="1" applyAlignment="1" applyProtection="1">
      <alignment horizontal="center"/>
      <protection hidden="1"/>
    </xf>
    <xf numFmtId="167" fontId="4" fillId="22" borderId="166" xfId="5" applyNumberFormat="1" applyFont="1" applyFill="1" applyBorder="1" applyAlignment="1" applyProtection="1">
      <alignment horizontal="center"/>
      <protection hidden="1"/>
    </xf>
    <xf numFmtId="167" fontId="0" fillId="0" borderId="236" xfId="5" applyNumberFormat="1" applyFont="1" applyBorder="1" applyAlignment="1" applyProtection="1">
      <alignment horizontal="center"/>
      <protection hidden="1"/>
    </xf>
    <xf numFmtId="167" fontId="0" fillId="0" borderId="233" xfId="5" applyNumberFormat="1" applyFont="1" applyBorder="1" applyAlignment="1" applyProtection="1">
      <alignment horizontal="center"/>
      <protection hidden="1"/>
    </xf>
    <xf numFmtId="167" fontId="0" fillId="0" borderId="239" xfId="5" applyNumberFormat="1" applyFont="1" applyBorder="1" applyAlignment="1" applyProtection="1">
      <alignment horizontal="center"/>
      <protection hidden="1"/>
    </xf>
    <xf numFmtId="167" fontId="0" fillId="0" borderId="204" xfId="5" applyNumberFormat="1" applyFont="1" applyFill="1" applyBorder="1" applyAlignment="1" applyProtection="1">
      <alignment horizontal="center"/>
      <protection hidden="1"/>
    </xf>
    <xf numFmtId="167" fontId="0" fillId="0" borderId="191" xfId="5" applyNumberFormat="1" applyFont="1" applyFill="1" applyBorder="1" applyAlignment="1" applyProtection="1">
      <alignment horizontal="center"/>
      <protection hidden="1"/>
    </xf>
    <xf numFmtId="167" fontId="0" fillId="0" borderId="243" xfId="5" applyNumberFormat="1" applyFont="1" applyFill="1" applyBorder="1" applyAlignment="1" applyProtection="1">
      <alignment horizontal="center"/>
      <protection hidden="1"/>
    </xf>
    <xf numFmtId="167" fontId="0" fillId="22" borderId="244" xfId="5" applyNumberFormat="1" applyFont="1" applyFill="1" applyBorder="1" applyAlignment="1" applyProtection="1">
      <alignment horizontal="center"/>
      <protection hidden="1"/>
    </xf>
    <xf numFmtId="167" fontId="0" fillId="0" borderId="202" xfId="0" applyNumberFormat="1" applyFill="1" applyBorder="1" applyAlignment="1" applyProtection="1">
      <alignment horizontal="center"/>
      <protection hidden="1"/>
    </xf>
    <xf numFmtId="167" fontId="0" fillId="0" borderId="0" xfId="0" applyNumberFormat="1" applyFill="1" applyBorder="1" applyAlignment="1" applyProtection="1">
      <alignment horizontal="center"/>
      <protection hidden="1"/>
    </xf>
    <xf numFmtId="167" fontId="0" fillId="0" borderId="166" xfId="0" applyNumberFormat="1" applyFill="1" applyBorder="1" applyAlignment="1" applyProtection="1">
      <alignment horizontal="center"/>
      <protection hidden="1"/>
    </xf>
    <xf numFmtId="0" fontId="15" fillId="0" borderId="241" xfId="0" applyFont="1" applyFill="1" applyBorder="1" applyAlignment="1" applyProtection="1">
      <alignment horizontal="center" vertical="center"/>
      <protection hidden="1"/>
    </xf>
    <xf numFmtId="167" fontId="15" fillId="22" borderId="243" xfId="0" applyNumberFormat="1" applyFont="1" applyFill="1" applyBorder="1" applyAlignment="1" applyProtection="1">
      <alignment horizontal="center"/>
      <protection hidden="1"/>
    </xf>
    <xf numFmtId="167" fontId="0" fillId="0" borderId="244" xfId="5" applyNumberFormat="1" applyFont="1" applyFill="1" applyBorder="1" applyAlignment="1" applyProtection="1">
      <alignment horizontal="center"/>
      <protection hidden="1"/>
    </xf>
    <xf numFmtId="167" fontId="15" fillId="0" borderId="243" xfId="0" applyNumberFormat="1" applyFont="1" applyFill="1" applyBorder="1" applyAlignment="1" applyProtection="1">
      <alignment horizontal="center"/>
      <protection hidden="1"/>
    </xf>
    <xf numFmtId="167" fontId="0" fillId="22" borderId="243" xfId="5" applyNumberFormat="1" applyFont="1" applyFill="1" applyBorder="1" applyAlignment="1" applyProtection="1">
      <alignment horizontal="center"/>
      <protection hidden="1"/>
    </xf>
    <xf numFmtId="167" fontId="8" fillId="0" borderId="218" xfId="0" applyNumberFormat="1" applyFont="1" applyBorder="1" applyAlignment="1">
      <alignment horizontal="center" vertical="center"/>
    </xf>
    <xf numFmtId="0" fontId="8" fillId="0" borderId="219" xfId="0" applyFont="1" applyBorder="1" applyAlignment="1">
      <alignment horizontal="center" vertical="center"/>
    </xf>
    <xf numFmtId="0" fontId="8" fillId="0" borderId="245" xfId="0" applyFont="1" applyBorder="1" applyAlignment="1">
      <alignment horizontal="center" vertical="center"/>
    </xf>
    <xf numFmtId="167" fontId="0" fillId="0" borderId="218" xfId="5" applyNumberFormat="1" applyFont="1" applyBorder="1" applyAlignment="1">
      <alignment horizontal="center"/>
    </xf>
    <xf numFmtId="167" fontId="0" fillId="0" borderId="219" xfId="5" applyNumberFormat="1" applyFont="1" applyBorder="1" applyAlignment="1">
      <alignment horizontal="center"/>
    </xf>
    <xf numFmtId="167" fontId="0" fillId="0" borderId="220" xfId="5" applyNumberFormat="1" applyFont="1" applyBorder="1" applyAlignment="1">
      <alignment horizontal="center"/>
    </xf>
    <xf numFmtId="167" fontId="0" fillId="0" borderId="246" xfId="5" applyNumberFormat="1" applyFont="1" applyBorder="1" applyAlignment="1">
      <alignment horizontal="center"/>
    </xf>
    <xf numFmtId="167" fontId="0" fillId="0" borderId="247" xfId="5" applyNumberFormat="1" applyFont="1" applyBorder="1" applyAlignment="1">
      <alignment horizontal="center"/>
    </xf>
    <xf numFmtId="167" fontId="0" fillId="0" borderId="248" xfId="5" applyNumberFormat="1" applyFont="1" applyBorder="1" applyAlignment="1">
      <alignment horizontal="center"/>
    </xf>
    <xf numFmtId="0" fontId="20" fillId="22" borderId="182" xfId="0" applyFont="1" applyFill="1" applyBorder="1" applyAlignment="1" applyProtection="1">
      <alignment horizontal="left" vertical="center"/>
      <protection hidden="1"/>
    </xf>
    <xf numFmtId="0" fontId="20" fillId="22" borderId="0" xfId="0" applyFont="1" applyFill="1" applyBorder="1" applyAlignment="1" applyProtection="1">
      <alignment horizontal="left" vertical="center"/>
      <protection hidden="1"/>
    </xf>
    <xf numFmtId="0" fontId="25" fillId="0" borderId="182" xfId="0" applyFont="1" applyFill="1" applyBorder="1" applyAlignment="1" applyProtection="1">
      <alignment horizontal="left" vertical="justify" wrapText="1"/>
      <protection hidden="1"/>
    </xf>
    <xf numFmtId="0" fontId="25" fillId="0" borderId="0" xfId="0" applyFont="1" applyFill="1" applyBorder="1" applyAlignment="1" applyProtection="1">
      <alignment horizontal="left" vertical="justify" wrapText="1"/>
      <protection hidden="1"/>
    </xf>
    <xf numFmtId="0" fontId="9" fillId="22" borderId="182" xfId="0" applyFont="1" applyFill="1" applyBorder="1" applyAlignment="1" applyProtection="1">
      <alignment horizontal="left" vertical="center"/>
      <protection hidden="1"/>
    </xf>
    <xf numFmtId="0" fontId="9" fillId="22" borderId="0" xfId="0" applyFont="1" applyFill="1" applyBorder="1" applyAlignment="1" applyProtection="1">
      <alignment horizontal="left" vertical="center"/>
      <protection hidden="1"/>
    </xf>
    <xf numFmtId="167" fontId="0" fillId="22" borderId="170" xfId="5" applyNumberFormat="1" applyFont="1" applyFill="1" applyBorder="1" applyAlignment="1">
      <alignment horizontal="center"/>
    </xf>
    <xf numFmtId="167" fontId="0" fillId="22" borderId="173" xfId="5" applyNumberFormat="1" applyFont="1" applyFill="1" applyBorder="1" applyAlignment="1">
      <alignment horizontal="center"/>
    </xf>
    <xf numFmtId="167" fontId="0" fillId="0" borderId="166" xfId="5" applyNumberFormat="1" applyFont="1" applyBorder="1" applyAlignment="1">
      <alignment horizontal="center"/>
    </xf>
    <xf numFmtId="167" fontId="0" fillId="22" borderId="0" xfId="5" applyNumberFormat="1" applyFont="1" applyFill="1" applyBorder="1" applyAlignment="1">
      <alignment horizontal="center"/>
    </xf>
    <xf numFmtId="167" fontId="0" fillId="22" borderId="166" xfId="5" applyNumberFormat="1" applyFont="1" applyFill="1" applyBorder="1" applyAlignment="1">
      <alignment horizontal="center"/>
    </xf>
    <xf numFmtId="171" fontId="0" fillId="0" borderId="0" xfId="0" applyNumberFormat="1" applyBorder="1" applyAlignment="1">
      <alignment horizontal="center"/>
    </xf>
    <xf numFmtId="0" fontId="0" fillId="0" borderId="0" xfId="0" applyBorder="1" applyAlignment="1">
      <alignment horizontal="center"/>
    </xf>
    <xf numFmtId="0" fontId="0" fillId="0" borderId="166" xfId="0" applyBorder="1" applyAlignment="1">
      <alignment horizontal="center"/>
    </xf>
    <xf numFmtId="0" fontId="25" fillId="0" borderId="257" xfId="0" applyFont="1" applyFill="1" applyBorder="1" applyAlignment="1" applyProtection="1">
      <alignment horizontal="left" wrapText="1"/>
      <protection hidden="1"/>
    </xf>
    <xf numFmtId="0" fontId="25" fillId="0" borderId="175" xfId="0" applyFont="1" applyFill="1" applyBorder="1" applyAlignment="1" applyProtection="1">
      <alignment horizontal="left" wrapText="1"/>
      <protection hidden="1"/>
    </xf>
    <xf numFmtId="0" fontId="25" fillId="22" borderId="222" xfId="0" applyFont="1" applyFill="1" applyBorder="1" applyAlignment="1">
      <alignment horizontal="left" vertical="justify" textRotation="91"/>
    </xf>
    <xf numFmtId="0" fontId="8" fillId="0" borderId="221" xfId="0" applyFont="1" applyBorder="1" applyAlignment="1">
      <alignment horizontal="center" textRotation="90"/>
    </xf>
    <xf numFmtId="0" fontId="8" fillId="0" borderId="224" xfId="0" applyFont="1" applyBorder="1" applyAlignment="1">
      <alignment horizontal="center" textRotation="90"/>
    </xf>
    <xf numFmtId="0" fontId="9" fillId="22" borderId="227" xfId="0" applyFont="1" applyFill="1" applyBorder="1" applyAlignment="1" applyProtection="1">
      <alignment horizontal="left" vertical="center"/>
      <protection hidden="1"/>
    </xf>
    <xf numFmtId="0" fontId="9" fillId="22" borderId="170" xfId="0" applyFont="1" applyFill="1" applyBorder="1" applyAlignment="1" applyProtection="1">
      <alignment horizontal="left" vertical="center"/>
      <protection hidden="1"/>
    </xf>
    <xf numFmtId="0" fontId="2" fillId="0" borderId="225" xfId="0" applyFont="1" applyBorder="1" applyAlignment="1">
      <alignment horizontal="left" vertical="center"/>
    </xf>
    <xf numFmtId="0" fontId="8" fillId="22" borderId="222" xfId="0" applyFont="1" applyFill="1" applyBorder="1" applyAlignment="1">
      <alignment horizontal="center" vertical="center"/>
    </xf>
    <xf numFmtId="0" fontId="25" fillId="0" borderId="225" xfId="0" applyFont="1" applyBorder="1" applyAlignment="1">
      <alignment horizontal="left" vertical="justify"/>
    </xf>
    <xf numFmtId="167" fontId="0" fillId="0" borderId="246" xfId="5" applyNumberFormat="1" applyFont="1" applyBorder="1" applyAlignment="1" applyProtection="1">
      <alignment horizontal="center"/>
      <protection locked="0"/>
    </xf>
    <xf numFmtId="167" fontId="0" fillId="0" borderId="247" xfId="5" applyNumberFormat="1" applyFont="1" applyBorder="1" applyAlignment="1" applyProtection="1">
      <alignment horizontal="center"/>
      <protection locked="0"/>
    </xf>
    <xf numFmtId="167" fontId="0" fillId="0" borderId="249" xfId="5" applyNumberFormat="1" applyFont="1" applyBorder="1" applyAlignment="1" applyProtection="1">
      <alignment horizontal="center"/>
      <protection locked="0"/>
    </xf>
    <xf numFmtId="0" fontId="3" fillId="22" borderId="174" xfId="0" applyFont="1" applyFill="1" applyBorder="1" applyAlignment="1" applyProtection="1">
      <alignment horizontal="left" vertical="center"/>
      <protection hidden="1"/>
    </xf>
    <xf numFmtId="0" fontId="3" fillId="22" borderId="175" xfId="0" applyFont="1" applyFill="1" applyBorder="1" applyAlignment="1" applyProtection="1">
      <alignment horizontal="left" vertical="center"/>
      <protection hidden="1"/>
    </xf>
    <xf numFmtId="0" fontId="0" fillId="22" borderId="165" xfId="0" applyFill="1" applyBorder="1" applyAlignment="1" applyProtection="1">
      <alignment horizontal="left"/>
      <protection hidden="1"/>
    </xf>
    <xf numFmtId="0" fontId="0" fillId="22" borderId="0" xfId="0" applyFill="1" applyBorder="1" applyAlignment="1" applyProtection="1">
      <alignment horizontal="left"/>
      <protection hidden="1"/>
    </xf>
    <xf numFmtId="0" fontId="0" fillId="22" borderId="166" xfId="0" applyFill="1" applyBorder="1" applyAlignment="1" applyProtection="1">
      <alignment horizontal="left"/>
      <protection hidden="1"/>
    </xf>
    <xf numFmtId="0" fontId="8" fillId="22" borderId="259" xfId="0" applyFont="1" applyFill="1" applyBorder="1" applyAlignment="1">
      <alignment horizontal="left" vertical="justify"/>
    </xf>
    <xf numFmtId="167" fontId="8" fillId="0" borderId="259" xfId="5" applyNumberFormat="1" applyFont="1" applyBorder="1" applyAlignment="1" applyProtection="1">
      <alignment horizontal="center"/>
      <protection hidden="1"/>
    </xf>
    <xf numFmtId="167" fontId="2" fillId="0" borderId="259" xfId="5" applyNumberFormat="1" applyFont="1" applyBorder="1" applyAlignment="1">
      <alignment horizontal="center"/>
    </xf>
    <xf numFmtId="167" fontId="2" fillId="0" borderId="262" xfId="5" applyNumberFormat="1" applyFont="1" applyBorder="1" applyAlignment="1">
      <alignment horizontal="center"/>
    </xf>
    <xf numFmtId="167" fontId="2" fillId="0" borderId="260" xfId="5" applyNumberFormat="1" applyFont="1" applyFill="1" applyBorder="1" applyAlignment="1" applyProtection="1">
      <alignment horizontal="center" vertical="center"/>
      <protection hidden="1"/>
    </xf>
    <xf numFmtId="167" fontId="2" fillId="0" borderId="261" xfId="5" applyNumberFormat="1" applyFont="1" applyFill="1" applyBorder="1" applyAlignment="1" applyProtection="1">
      <alignment horizontal="center" vertical="center"/>
      <protection hidden="1"/>
    </xf>
    <xf numFmtId="0" fontId="7" fillId="0" borderId="1" xfId="0" applyFont="1" applyBorder="1" applyAlignment="1" applyProtection="1">
      <alignment horizontal="center" vertical="justify"/>
      <protection hidden="1"/>
    </xf>
    <xf numFmtId="0" fontId="71" fillId="10" borderId="1" xfId="0" applyFont="1" applyFill="1" applyBorder="1" applyAlignment="1" applyProtection="1">
      <alignment horizontal="center" vertical="center"/>
      <protection hidden="1"/>
    </xf>
    <xf numFmtId="0" fontId="0" fillId="0" borderId="0" xfId="0" applyAlignment="1" applyProtection="1">
      <alignment horizontal="center"/>
      <protection hidden="1"/>
    </xf>
    <xf numFmtId="0" fontId="4" fillId="0" borderId="25" xfId="0" applyFont="1" applyBorder="1" applyAlignment="1" applyProtection="1">
      <alignment horizontal="left"/>
      <protection hidden="1"/>
    </xf>
    <xf numFmtId="0" fontId="4" fillId="0" borderId="40" xfId="0" applyFont="1" applyBorder="1" applyAlignment="1" applyProtection="1">
      <alignment horizontal="left"/>
      <protection hidden="1"/>
    </xf>
    <xf numFmtId="0" fontId="4" fillId="0" borderId="26" xfId="0" applyFont="1" applyBorder="1" applyAlignment="1" applyProtection="1">
      <alignment horizontal="left"/>
      <protection hidden="1"/>
    </xf>
    <xf numFmtId="0" fontId="4" fillId="0" borderId="25" xfId="0" applyFont="1" applyBorder="1" applyAlignment="1" applyProtection="1">
      <alignment horizontal="center"/>
      <protection hidden="1"/>
    </xf>
    <xf numFmtId="0" fontId="4" fillId="0" borderId="40" xfId="0" applyFont="1" applyBorder="1" applyAlignment="1" applyProtection="1">
      <alignment horizontal="center"/>
      <protection hidden="1"/>
    </xf>
    <xf numFmtId="0" fontId="4" fillId="0" borderId="26" xfId="0" applyFont="1" applyBorder="1" applyAlignment="1" applyProtection="1">
      <alignment horizontal="center"/>
      <protection hidden="1"/>
    </xf>
    <xf numFmtId="0" fontId="0" fillId="0" borderId="54" xfId="0" applyBorder="1" applyAlignment="1" applyProtection="1">
      <alignment horizontal="center"/>
      <protection hidden="1"/>
    </xf>
    <xf numFmtId="0" fontId="3" fillId="5" borderId="25" xfId="0" applyFont="1" applyFill="1" applyBorder="1" applyAlignment="1" applyProtection="1">
      <alignment horizontal="left"/>
      <protection locked="0"/>
    </xf>
    <xf numFmtId="0" fontId="3" fillId="5" borderId="40" xfId="0" applyFont="1" applyFill="1" applyBorder="1" applyAlignment="1" applyProtection="1">
      <alignment horizontal="left"/>
      <protection locked="0"/>
    </xf>
    <xf numFmtId="0" fontId="3" fillId="5" borderId="26" xfId="0" applyFont="1" applyFill="1" applyBorder="1" applyAlignment="1" applyProtection="1">
      <alignment horizontal="left"/>
      <protection locked="0"/>
    </xf>
    <xf numFmtId="0" fontId="6" fillId="0" borderId="1" xfId="0" applyFont="1" applyBorder="1" applyAlignment="1" applyProtection="1">
      <alignment horizontal="center"/>
      <protection hidden="1"/>
    </xf>
    <xf numFmtId="0" fontId="3" fillId="5" borderId="53" xfId="0" applyFont="1" applyFill="1" applyBorder="1" applyAlignment="1" applyProtection="1">
      <alignment horizontal="left"/>
      <protection locked="0"/>
    </xf>
    <xf numFmtId="0" fontId="3" fillId="5" borderId="51" xfId="0" applyFont="1" applyFill="1" applyBorder="1" applyAlignment="1" applyProtection="1">
      <alignment horizontal="left"/>
      <protection locked="0"/>
    </xf>
    <xf numFmtId="0" fontId="3" fillId="5" borderId="48" xfId="0" applyFont="1" applyFill="1" applyBorder="1" applyAlignment="1" applyProtection="1">
      <alignment horizontal="left"/>
      <protection locked="0"/>
    </xf>
    <xf numFmtId="0" fontId="7" fillId="0" borderId="0" xfId="0" applyFont="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7" fillId="0" borderId="18" xfId="0" applyFont="1" applyBorder="1" applyAlignment="1" applyProtection="1">
      <alignment horizontal="center" vertical="center"/>
      <protection hidden="1"/>
    </xf>
    <xf numFmtId="0" fontId="4" fillId="0" borderId="1" xfId="0" applyFont="1" applyBorder="1" applyAlignment="1" applyProtection="1">
      <alignment horizontal="left"/>
      <protection hidden="1"/>
    </xf>
    <xf numFmtId="0" fontId="14" fillId="0" borderId="1" xfId="0" applyFont="1" applyBorder="1" applyAlignment="1" applyProtection="1">
      <alignment horizontal="left"/>
      <protection hidden="1"/>
    </xf>
    <xf numFmtId="0" fontId="0" fillId="0" borderId="53" xfId="0" applyBorder="1" applyAlignment="1" applyProtection="1">
      <alignment horizontal="center"/>
      <protection hidden="1"/>
    </xf>
    <xf numFmtId="0" fontId="0" fillId="0" borderId="14"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55" xfId="0" applyBorder="1" applyAlignment="1" applyProtection="1">
      <alignment horizontal="center"/>
      <protection hidden="1"/>
    </xf>
    <xf numFmtId="0" fontId="0" fillId="0" borderId="51" xfId="0" applyBorder="1" applyAlignment="1" applyProtection="1">
      <alignment horizontal="center"/>
      <protection hidden="1"/>
    </xf>
    <xf numFmtId="0" fontId="0" fillId="0" borderId="48" xfId="0" applyBorder="1" applyAlignment="1" applyProtection="1">
      <alignment horizontal="center"/>
      <protection hidden="1"/>
    </xf>
    <xf numFmtId="0" fontId="0" fillId="0" borderId="58" xfId="0" applyBorder="1" applyAlignment="1" applyProtection="1">
      <alignment horizontal="center"/>
      <protection hidden="1"/>
    </xf>
    <xf numFmtId="0" fontId="8" fillId="5" borderId="25" xfId="0" applyFont="1" applyFill="1" applyBorder="1" applyAlignment="1" applyProtection="1">
      <alignment horizontal="left"/>
      <protection locked="0"/>
    </xf>
    <xf numFmtId="0" fontId="8" fillId="5" borderId="40" xfId="0" applyFont="1" applyFill="1" applyBorder="1" applyAlignment="1" applyProtection="1">
      <alignment horizontal="left"/>
      <protection locked="0"/>
    </xf>
    <xf numFmtId="0" fontId="8" fillId="5" borderId="26" xfId="0" applyFont="1" applyFill="1" applyBorder="1" applyAlignment="1" applyProtection="1">
      <alignment horizontal="left"/>
      <protection locked="0"/>
    </xf>
    <xf numFmtId="0" fontId="8" fillId="5" borderId="53" xfId="0" applyFont="1" applyFill="1" applyBorder="1" applyAlignment="1" applyProtection="1">
      <alignment horizontal="left"/>
      <protection locked="0"/>
    </xf>
    <xf numFmtId="0" fontId="8" fillId="5" borderId="51" xfId="0" applyFont="1" applyFill="1" applyBorder="1" applyAlignment="1" applyProtection="1">
      <alignment horizontal="left"/>
      <protection locked="0"/>
    </xf>
    <xf numFmtId="0" fontId="8" fillId="5" borderId="48" xfId="0" applyFont="1" applyFill="1" applyBorder="1" applyAlignment="1" applyProtection="1">
      <alignment horizontal="left"/>
      <protection locked="0"/>
    </xf>
    <xf numFmtId="0" fontId="6" fillId="0" borderId="56" xfId="0" applyFont="1" applyBorder="1" applyAlignment="1" applyProtection="1">
      <alignment horizontal="center"/>
      <protection hidden="1"/>
    </xf>
    <xf numFmtId="0" fontId="6" fillId="0" borderId="57" xfId="0" applyFont="1" applyBorder="1" applyAlignment="1" applyProtection="1">
      <alignment horizontal="center"/>
      <protection hidden="1"/>
    </xf>
    <xf numFmtId="0" fontId="4" fillId="0" borderId="14" xfId="0" applyFont="1" applyBorder="1" applyAlignment="1" applyProtection="1">
      <alignment horizontal="left" vertical="center"/>
      <protection hidden="1"/>
    </xf>
    <xf numFmtId="0" fontId="4" fillId="0" borderId="0" xfId="0" applyFont="1" applyBorder="1" applyAlignment="1" applyProtection="1">
      <alignment horizontal="left" vertical="center"/>
      <protection hidden="1"/>
    </xf>
    <xf numFmtId="0" fontId="70" fillId="14" borderId="14" xfId="0" applyFont="1" applyFill="1" applyBorder="1" applyAlignment="1" applyProtection="1">
      <alignment horizontal="center"/>
      <protection hidden="1"/>
    </xf>
    <xf numFmtId="0" fontId="70" fillId="14" borderId="0" xfId="0" applyFont="1" applyFill="1" applyBorder="1" applyAlignment="1" applyProtection="1">
      <alignment horizontal="center"/>
      <protection hidden="1"/>
    </xf>
    <xf numFmtId="0" fontId="70" fillId="14" borderId="15" xfId="0" applyFont="1" applyFill="1" applyBorder="1" applyAlignment="1" applyProtection="1">
      <alignment horizontal="center"/>
      <protection hidden="1"/>
    </xf>
    <xf numFmtId="0" fontId="9" fillId="0" borderId="25" xfId="0" applyFont="1" applyFill="1" applyBorder="1" applyAlignment="1" applyProtection="1">
      <alignment horizontal="left" vertical="center"/>
      <protection hidden="1"/>
    </xf>
    <xf numFmtId="0" fontId="9" fillId="0" borderId="40" xfId="0" applyFont="1" applyFill="1" applyBorder="1" applyAlignment="1" applyProtection="1">
      <alignment horizontal="left" vertical="center"/>
      <protection hidden="1"/>
    </xf>
    <xf numFmtId="0" fontId="9" fillId="0" borderId="26" xfId="0" applyFont="1" applyFill="1" applyBorder="1" applyAlignment="1" applyProtection="1">
      <alignment horizontal="left" vertical="center"/>
      <protection hidden="1"/>
    </xf>
    <xf numFmtId="0" fontId="0" fillId="5" borderId="25" xfId="0" applyFill="1" applyBorder="1" applyAlignment="1" applyProtection="1">
      <alignment horizontal="center"/>
      <protection locked="0"/>
    </xf>
    <xf numFmtId="0" fontId="0" fillId="5" borderId="26" xfId="0" applyFill="1" applyBorder="1" applyAlignment="1" applyProtection="1">
      <alignment horizontal="center"/>
      <protection locked="0"/>
    </xf>
    <xf numFmtId="0" fontId="4" fillId="0" borderId="11" xfId="0" applyFont="1" applyBorder="1" applyAlignment="1" applyProtection="1">
      <alignment horizontal="left" vertical="center"/>
      <protection hidden="1"/>
    </xf>
    <xf numFmtId="0" fontId="4" fillId="0" borderId="12" xfId="0" applyFont="1" applyBorder="1" applyAlignment="1" applyProtection="1">
      <alignment horizontal="left" vertical="center"/>
      <protection hidden="1"/>
    </xf>
    <xf numFmtId="0" fontId="0" fillId="0" borderId="15" xfId="0" applyBorder="1" applyAlignment="1" applyProtection="1">
      <alignment horizontal="center"/>
      <protection hidden="1"/>
    </xf>
    <xf numFmtId="0" fontId="0" fillId="0" borderId="46" xfId="0" applyBorder="1" applyAlignment="1" applyProtection="1">
      <alignment horizontal="center"/>
      <protection hidden="1"/>
    </xf>
    <xf numFmtId="0" fontId="3" fillId="0" borderId="1" xfId="0" applyFont="1" applyBorder="1" applyAlignment="1" applyProtection="1">
      <alignment horizontal="left"/>
      <protection hidden="1"/>
    </xf>
    <xf numFmtId="0" fontId="0" fillId="0" borderId="25" xfId="0" applyBorder="1" applyAlignment="1" applyProtection="1">
      <alignment horizontal="center"/>
      <protection hidden="1"/>
    </xf>
    <xf numFmtId="0" fontId="0" fillId="0" borderId="40" xfId="0" applyBorder="1" applyAlignment="1" applyProtection="1">
      <alignment horizontal="center"/>
      <protection hidden="1"/>
    </xf>
    <xf numFmtId="0" fontId="0" fillId="0" borderId="26" xfId="0" applyBorder="1" applyAlignment="1" applyProtection="1">
      <alignment horizontal="center"/>
      <protection hidden="1"/>
    </xf>
    <xf numFmtId="0" fontId="5" fillId="5" borderId="25" xfId="0" applyFont="1" applyFill="1" applyBorder="1" applyAlignment="1" applyProtection="1">
      <alignment horizontal="left"/>
      <protection locked="0"/>
    </xf>
    <xf numFmtId="0" fontId="0" fillId="5" borderId="26" xfId="0" applyFill="1" applyBorder="1" applyAlignment="1" applyProtection="1">
      <alignment horizontal="left"/>
      <protection locked="0"/>
    </xf>
    <xf numFmtId="0" fontId="3" fillId="0" borderId="1" xfId="0" applyFont="1" applyBorder="1" applyAlignment="1" applyProtection="1">
      <alignment horizontal="left" indent="9"/>
      <protection hidden="1"/>
    </xf>
    <xf numFmtId="0" fontId="3" fillId="0" borderId="39" xfId="0" applyFont="1" applyBorder="1" applyAlignment="1" applyProtection="1">
      <alignment horizontal="left" indent="9"/>
      <protection hidden="1"/>
    </xf>
    <xf numFmtId="0" fontId="0" fillId="0" borderId="5" xfId="0" applyFill="1" applyBorder="1" applyAlignment="1" applyProtection="1">
      <alignment horizontal="center"/>
      <protection hidden="1"/>
    </xf>
    <xf numFmtId="0" fontId="4" fillId="0" borderId="2" xfId="0" applyFont="1" applyBorder="1" applyAlignment="1" applyProtection="1">
      <alignment horizontal="left"/>
      <protection hidden="1"/>
    </xf>
    <xf numFmtId="0" fontId="4" fillId="0" borderId="29" xfId="0" applyFont="1" applyBorder="1" applyAlignment="1" applyProtection="1">
      <alignment horizontal="left"/>
      <protection hidden="1"/>
    </xf>
    <xf numFmtId="0" fontId="3" fillId="0" borderId="25" xfId="0" applyFont="1" applyBorder="1" applyAlignment="1" applyProtection="1">
      <alignment horizontal="left"/>
      <protection hidden="1"/>
    </xf>
    <xf numFmtId="0" fontId="3" fillId="0" borderId="40" xfId="0" applyFont="1" applyBorder="1" applyAlignment="1" applyProtection="1">
      <alignment horizontal="left"/>
      <protection hidden="1"/>
    </xf>
    <xf numFmtId="0" fontId="3" fillId="0" borderId="26" xfId="0" applyFont="1" applyBorder="1" applyAlignment="1" applyProtection="1">
      <alignment horizontal="left"/>
      <protection hidden="1"/>
    </xf>
    <xf numFmtId="0" fontId="0" fillId="14" borderId="31" xfId="0" applyFill="1" applyBorder="1" applyAlignment="1" applyProtection="1">
      <alignment horizontal="center"/>
      <protection hidden="1"/>
    </xf>
    <xf numFmtId="0" fontId="0" fillId="14" borderId="51" xfId="0" applyFill="1" applyBorder="1" applyAlignment="1" applyProtection="1">
      <alignment horizontal="center"/>
      <protection hidden="1"/>
    </xf>
    <xf numFmtId="0" fontId="0" fillId="14" borderId="38" xfId="0" applyFill="1" applyBorder="1" applyAlignment="1" applyProtection="1">
      <alignment horizontal="center"/>
      <protection hidden="1"/>
    </xf>
    <xf numFmtId="0" fontId="0" fillId="14" borderId="16" xfId="0" applyFill="1" applyBorder="1" applyAlignment="1" applyProtection="1">
      <alignment horizontal="center"/>
      <protection hidden="1"/>
    </xf>
    <xf numFmtId="0" fontId="0" fillId="14" borderId="17" xfId="0" applyFill="1" applyBorder="1" applyAlignment="1" applyProtection="1">
      <alignment horizontal="center"/>
      <protection hidden="1"/>
    </xf>
    <xf numFmtId="0" fontId="0" fillId="14" borderId="19" xfId="0" applyFill="1" applyBorder="1" applyAlignment="1" applyProtection="1">
      <alignment horizontal="center"/>
      <protection hidden="1"/>
    </xf>
    <xf numFmtId="0" fontId="0" fillId="0" borderId="52" xfId="0" applyBorder="1" applyAlignment="1" applyProtection="1">
      <alignment horizontal="center"/>
      <protection hidden="1"/>
    </xf>
    <xf numFmtId="0" fontId="0" fillId="0" borderId="38" xfId="0" applyBorder="1" applyAlignment="1" applyProtection="1">
      <alignment horizontal="center"/>
      <protection hidden="1"/>
    </xf>
    <xf numFmtId="0" fontId="4" fillId="0" borderId="4" xfId="0" applyFont="1" applyBorder="1" applyAlignment="1" applyProtection="1">
      <alignment horizontal="left"/>
      <protection hidden="1"/>
    </xf>
    <xf numFmtId="0" fontId="5" fillId="0" borderId="1" xfId="0" applyFont="1" applyBorder="1" applyAlignment="1" applyProtection="1">
      <alignment horizontal="left"/>
      <protection hidden="1"/>
    </xf>
    <xf numFmtId="0" fontId="0" fillId="0" borderId="1" xfId="0" applyBorder="1" applyAlignment="1" applyProtection="1">
      <alignment horizontal="left"/>
      <protection hidden="1"/>
    </xf>
    <xf numFmtId="0" fontId="70" fillId="14" borderId="31" xfId="0" applyFont="1" applyFill="1" applyBorder="1" applyAlignment="1" applyProtection="1">
      <alignment horizontal="center"/>
      <protection hidden="1"/>
    </xf>
    <xf numFmtId="0" fontId="70" fillId="14" borderId="51" xfId="0" applyFont="1" applyFill="1" applyBorder="1" applyAlignment="1" applyProtection="1">
      <alignment horizontal="center"/>
      <protection hidden="1"/>
    </xf>
    <xf numFmtId="0" fontId="70" fillId="14" borderId="38" xfId="0" applyFont="1" applyFill="1" applyBorder="1" applyAlignment="1" applyProtection="1">
      <alignment horizontal="center"/>
      <protection hidden="1"/>
    </xf>
    <xf numFmtId="0" fontId="0" fillId="0" borderId="5" xfId="0" applyBorder="1" applyAlignment="1" applyProtection="1">
      <alignment horizontal="center"/>
      <protection hidden="1"/>
    </xf>
    <xf numFmtId="0" fontId="0" fillId="14" borderId="14" xfId="0" applyFill="1" applyBorder="1" applyAlignment="1" applyProtection="1">
      <alignment horizontal="center"/>
      <protection hidden="1"/>
    </xf>
    <xf numFmtId="0" fontId="0" fillId="14" borderId="0" xfId="0" applyFill="1" applyBorder="1" applyAlignment="1" applyProtection="1">
      <alignment horizontal="center"/>
      <protection hidden="1"/>
    </xf>
    <xf numFmtId="0" fontId="0" fillId="14" borderId="15" xfId="0" applyFill="1" applyBorder="1" applyAlignment="1" applyProtection="1">
      <alignment horizontal="center"/>
      <protection hidden="1"/>
    </xf>
    <xf numFmtId="0" fontId="8" fillId="0" borderId="1" xfId="0" applyFont="1" applyBorder="1" applyAlignment="1" applyProtection="1">
      <alignment horizontal="left"/>
      <protection hidden="1"/>
    </xf>
    <xf numFmtId="0" fontId="0" fillId="0" borderId="4" xfId="0" applyBorder="1" applyAlignment="1" applyProtection="1">
      <alignment horizontal="center"/>
      <protection hidden="1"/>
    </xf>
    <xf numFmtId="0" fontId="0" fillId="0" borderId="1" xfId="0" applyBorder="1" applyAlignment="1" applyProtection="1">
      <alignment horizontal="center"/>
      <protection hidden="1"/>
    </xf>
    <xf numFmtId="0" fontId="14" fillId="0" borderId="132" xfId="0" applyFont="1" applyBorder="1" applyAlignment="1">
      <alignment horizontal="center" vertical="center" textRotation="90"/>
    </xf>
    <xf numFmtId="0" fontId="14" fillId="0" borderId="135" xfId="0" applyFont="1" applyBorder="1" applyAlignment="1">
      <alignment horizontal="center" vertical="center" textRotation="90"/>
    </xf>
    <xf numFmtId="0" fontId="14" fillId="0" borderId="137" xfId="0" applyFont="1" applyBorder="1" applyAlignment="1">
      <alignment horizontal="center" vertical="center" textRotation="90"/>
    </xf>
    <xf numFmtId="171" fontId="8" fillId="9" borderId="0" xfId="4" applyNumberFormat="1" applyFont="1" applyFill="1" applyBorder="1" applyAlignment="1" applyProtection="1">
      <alignment horizontal="left"/>
      <protection hidden="1"/>
    </xf>
    <xf numFmtId="0" fontId="9" fillId="0" borderId="132" xfId="0" applyFont="1" applyBorder="1" applyAlignment="1">
      <alignment horizontal="justify" vertical="center" textRotation="90"/>
    </xf>
    <xf numFmtId="0" fontId="9" fillId="0" borderId="135" xfId="0" applyFont="1" applyBorder="1" applyAlignment="1">
      <alignment horizontal="justify" vertical="center" textRotation="90"/>
    </xf>
    <xf numFmtId="0" fontId="9" fillId="0" borderId="137" xfId="0" applyFont="1" applyBorder="1" applyAlignment="1">
      <alignment horizontal="justify" vertical="center" textRotation="90"/>
    </xf>
    <xf numFmtId="0" fontId="15" fillId="0" borderId="132" xfId="0" applyFont="1" applyBorder="1" applyAlignment="1">
      <alignment horizontal="center" vertical="center" textRotation="90"/>
    </xf>
    <xf numFmtId="0" fontId="15" fillId="0" borderId="135" xfId="0" applyFont="1" applyBorder="1" applyAlignment="1">
      <alignment horizontal="center" vertical="center" textRotation="90"/>
    </xf>
    <xf numFmtId="0" fontId="15" fillId="0" borderId="137" xfId="0" applyFont="1" applyBorder="1" applyAlignment="1">
      <alignment horizontal="center" vertical="center" textRotation="90"/>
    </xf>
    <xf numFmtId="0" fontId="8" fillId="0" borderId="132" xfId="0" applyFont="1" applyBorder="1" applyAlignment="1" applyProtection="1">
      <alignment horizontal="left" vertical="justify"/>
      <protection hidden="1"/>
    </xf>
    <xf numFmtId="0" fontId="8" fillId="0" borderId="133" xfId="0" applyFont="1" applyBorder="1" applyAlignment="1" applyProtection="1">
      <alignment horizontal="left" vertical="justify"/>
      <protection hidden="1"/>
    </xf>
    <xf numFmtId="0" fontId="8" fillId="9" borderId="135" xfId="0" applyFont="1" applyFill="1" applyBorder="1" applyAlignment="1" applyProtection="1">
      <alignment horizontal="left" vertical="center"/>
      <protection hidden="1"/>
    </xf>
    <xf numFmtId="0" fontId="2" fillId="9" borderId="0" xfId="0" applyFont="1" applyFill="1" applyBorder="1" applyAlignment="1" applyProtection="1">
      <alignment horizontal="left"/>
      <protection hidden="1"/>
    </xf>
    <xf numFmtId="0" fontId="2" fillId="0" borderId="0" xfId="0" applyFont="1" applyBorder="1" applyAlignment="1" applyProtection="1">
      <alignment horizontal="left" vertical="center"/>
      <protection hidden="1"/>
    </xf>
    <xf numFmtId="0" fontId="4" fillId="0" borderId="132" xfId="0" applyFont="1" applyBorder="1" applyAlignment="1">
      <alignment horizontal="center" vertical="center" textRotation="90"/>
    </xf>
    <xf numFmtId="0" fontId="4" fillId="0" borderId="135" xfId="0" applyFont="1" applyBorder="1" applyAlignment="1">
      <alignment horizontal="center" vertical="center" textRotation="90"/>
    </xf>
    <xf numFmtId="0" fontId="4" fillId="0" borderId="137" xfId="0" applyFont="1" applyBorder="1" applyAlignment="1">
      <alignment horizontal="center" vertical="center" textRotation="90"/>
    </xf>
    <xf numFmtId="0" fontId="8" fillId="0" borderId="138" xfId="0" applyFont="1" applyFill="1" applyBorder="1" applyAlignment="1">
      <alignment horizontal="left" vertical="justify"/>
    </xf>
    <xf numFmtId="0" fontId="9" fillId="0" borderId="135" xfId="0" applyFont="1" applyFill="1" applyBorder="1" applyAlignment="1" applyProtection="1">
      <alignment vertical="center"/>
      <protection hidden="1"/>
    </xf>
    <xf numFmtId="0" fontId="14" fillId="0" borderId="132" xfId="0" applyFont="1" applyBorder="1" applyAlignment="1" applyProtection="1">
      <alignment horizontal="center" vertical="center" textRotation="90"/>
      <protection hidden="1"/>
    </xf>
    <xf numFmtId="0" fontId="14" fillId="0" borderId="135" xfId="0" applyFont="1" applyBorder="1" applyAlignment="1" applyProtection="1">
      <alignment horizontal="center" vertical="center" textRotation="90"/>
      <protection hidden="1"/>
    </xf>
    <xf numFmtId="0" fontId="14" fillId="0" borderId="137" xfId="0" applyFont="1" applyBorder="1" applyAlignment="1" applyProtection="1">
      <alignment horizontal="center" vertical="center" textRotation="90"/>
      <protection hidden="1"/>
    </xf>
    <xf numFmtId="0" fontId="0" fillId="9" borderId="133" xfId="0" applyFill="1" applyBorder="1" applyAlignment="1" applyProtection="1">
      <alignment horizontal="left"/>
      <protection hidden="1"/>
    </xf>
    <xf numFmtId="0" fontId="8" fillId="9" borderId="133" xfId="0" applyFont="1" applyFill="1" applyBorder="1" applyAlignment="1" applyProtection="1">
      <alignment horizontal="justify" vertical="justify"/>
      <protection hidden="1"/>
    </xf>
    <xf numFmtId="0" fontId="0" fillId="9" borderId="138" xfId="0" applyFill="1" applyBorder="1" applyAlignment="1" applyProtection="1">
      <alignment horizontal="left"/>
      <protection hidden="1"/>
    </xf>
    <xf numFmtId="0" fontId="8" fillId="0" borderId="133" xfId="0" applyFont="1" applyBorder="1" applyAlignment="1" applyProtection="1">
      <alignment horizontal="left"/>
      <protection hidden="1"/>
    </xf>
    <xf numFmtId="0" fontId="9" fillId="0" borderId="132" xfId="0" applyFont="1" applyBorder="1" applyAlignment="1" applyProtection="1">
      <alignment horizontal="justify" vertical="center" textRotation="90"/>
      <protection hidden="1"/>
    </xf>
    <xf numFmtId="0" fontId="9" fillId="0" borderId="135" xfId="0" applyFont="1" applyBorder="1" applyAlignment="1" applyProtection="1">
      <alignment horizontal="justify" vertical="center" textRotation="90"/>
      <protection hidden="1"/>
    </xf>
    <xf numFmtId="0" fontId="9" fillId="0" borderId="137" xfId="0" applyFont="1" applyBorder="1" applyAlignment="1" applyProtection="1">
      <alignment horizontal="justify" vertical="center" textRotation="90"/>
      <protection hidden="1"/>
    </xf>
    <xf numFmtId="0" fontId="25" fillId="9" borderId="135" xfId="0" applyFont="1" applyFill="1" applyBorder="1" applyAlignment="1" applyProtection="1">
      <alignment horizontal="left" vertical="justify"/>
      <protection hidden="1"/>
    </xf>
    <xf numFmtId="0" fontId="8" fillId="9" borderId="0" xfId="0" applyFont="1" applyFill="1" applyBorder="1" applyAlignment="1" applyProtection="1">
      <alignment horizontal="left" vertical="justify"/>
      <protection hidden="1"/>
    </xf>
    <xf numFmtId="0" fontId="8" fillId="9" borderId="0" xfId="0" applyFont="1" applyFill="1" applyBorder="1" applyAlignment="1" applyProtection="1">
      <alignment horizontal="justify" vertical="justify"/>
      <protection hidden="1"/>
    </xf>
    <xf numFmtId="0" fontId="8" fillId="0" borderId="138" xfId="0" applyFont="1" applyBorder="1" applyAlignment="1" applyProtection="1">
      <alignment horizontal="left" vertical="center"/>
      <protection hidden="1"/>
    </xf>
    <xf numFmtId="0" fontId="20" fillId="0" borderId="132" xfId="0" applyFont="1" applyBorder="1" applyAlignment="1">
      <alignment horizontal="justify" vertical="center" textRotation="90"/>
    </xf>
    <xf numFmtId="0" fontId="20" fillId="0" borderId="135" xfId="0" applyFont="1" applyBorder="1" applyAlignment="1">
      <alignment horizontal="justify" vertical="center" textRotation="90"/>
    </xf>
    <xf numFmtId="0" fontId="20" fillId="0" borderId="137" xfId="0" applyFont="1" applyBorder="1" applyAlignment="1">
      <alignment horizontal="justify" vertical="center" textRotation="90"/>
    </xf>
    <xf numFmtId="0" fontId="4" fillId="0" borderId="135" xfId="0" applyFont="1" applyBorder="1" applyAlignment="1">
      <alignment horizontal="center" textRotation="90"/>
    </xf>
    <xf numFmtId="0" fontId="4" fillId="0" borderId="137" xfId="0" applyFont="1" applyBorder="1" applyAlignment="1">
      <alignment horizontal="center" textRotation="90"/>
    </xf>
    <xf numFmtId="0" fontId="8" fillId="0" borderId="138" xfId="0" applyFont="1" applyBorder="1" applyAlignment="1" applyProtection="1">
      <alignment horizontal="justify" vertical="justify"/>
      <protection hidden="1"/>
    </xf>
    <xf numFmtId="0" fontId="2" fillId="9" borderId="138" xfId="0" applyFont="1" applyFill="1" applyBorder="1" applyAlignment="1" applyProtection="1">
      <alignment horizontal="left"/>
      <protection hidden="1"/>
    </xf>
    <xf numFmtId="0" fontId="3" fillId="9" borderId="0" xfId="0" applyFont="1" applyFill="1" applyBorder="1" applyAlignment="1" applyProtection="1">
      <alignment horizontal="justify" vertical="justify"/>
      <protection hidden="1"/>
    </xf>
    <xf numFmtId="0" fontId="3" fillId="0" borderId="133" xfId="0" applyFont="1" applyBorder="1" applyAlignment="1" applyProtection="1">
      <alignment horizontal="justify" vertical="justify"/>
      <protection hidden="1"/>
    </xf>
    <xf numFmtId="0" fontId="3" fillId="0" borderId="138" xfId="0" applyFont="1" applyBorder="1" applyAlignment="1" applyProtection="1">
      <alignment horizontal="left" vertical="center"/>
      <protection hidden="1"/>
    </xf>
    <xf numFmtId="0" fontId="2" fillId="9" borderId="133" xfId="0" applyFont="1" applyFill="1" applyBorder="1" applyAlignment="1" applyProtection="1">
      <alignment horizontal="left"/>
      <protection hidden="1"/>
    </xf>
    <xf numFmtId="0" fontId="2" fillId="9" borderId="0" xfId="0" applyFont="1" applyFill="1" applyBorder="1" applyAlignment="1" applyProtection="1">
      <alignment horizontal="left" vertical="justify"/>
      <protection hidden="1"/>
    </xf>
    <xf numFmtId="0" fontId="2" fillId="0" borderId="137" xfId="0" applyFont="1" applyBorder="1" applyAlignment="1" applyProtection="1">
      <alignment horizontal="left"/>
      <protection hidden="1"/>
    </xf>
    <xf numFmtId="0" fontId="2" fillId="0" borderId="138" xfId="0" applyFont="1" applyBorder="1" applyAlignment="1" applyProtection="1">
      <alignment horizontal="left"/>
      <protection hidden="1"/>
    </xf>
    <xf numFmtId="0" fontId="2" fillId="9" borderId="138" xfId="0" applyFont="1" applyFill="1" applyBorder="1" applyAlignment="1" applyProtection="1">
      <alignment horizontal="justify" vertical="justify"/>
      <protection hidden="1"/>
    </xf>
    <xf numFmtId="0" fontId="9" fillId="9" borderId="132" xfId="0" applyFont="1" applyFill="1" applyBorder="1" applyAlignment="1" applyProtection="1">
      <alignment horizontal="left" vertical="center"/>
      <protection hidden="1"/>
    </xf>
    <xf numFmtId="0" fontId="9" fillId="9" borderId="133" xfId="0" applyFont="1" applyFill="1" applyBorder="1" applyAlignment="1" applyProtection="1">
      <alignment horizontal="left" vertical="center"/>
      <protection hidden="1"/>
    </xf>
    <xf numFmtId="0" fontId="2" fillId="0" borderId="133" xfId="0" applyFont="1" applyBorder="1" applyAlignment="1">
      <alignment horizontal="left"/>
    </xf>
    <xf numFmtId="0" fontId="0" fillId="0" borderId="133" xfId="0" applyBorder="1" applyAlignment="1">
      <alignment horizontal="left"/>
    </xf>
    <xf numFmtId="0" fontId="3" fillId="0" borderId="0" xfId="0" applyFont="1" applyBorder="1" applyAlignment="1">
      <alignment horizontal="left" vertical="justify"/>
    </xf>
    <xf numFmtId="0" fontId="25" fillId="0" borderId="135" xfId="0" applyFont="1" applyFill="1" applyBorder="1" applyAlignment="1" applyProtection="1">
      <alignment horizontal="left" vertical="justify"/>
      <protection hidden="1"/>
    </xf>
    <xf numFmtId="0" fontId="25" fillId="0" borderId="0" xfId="0" applyFont="1" applyFill="1" applyBorder="1" applyAlignment="1" applyProtection="1">
      <alignment horizontal="left" vertical="justify"/>
      <protection hidden="1"/>
    </xf>
    <xf numFmtId="171" fontId="8" fillId="21" borderId="0" xfId="4" applyNumberFormat="1" applyFont="1" applyFill="1" applyBorder="1" applyAlignment="1" applyProtection="1">
      <alignment horizontal="left" vertical="justify"/>
      <protection hidden="1"/>
    </xf>
    <xf numFmtId="0" fontId="15" fillId="0" borderId="140" xfId="0" applyFont="1" applyBorder="1" applyAlignment="1" applyProtection="1">
      <alignment horizontal="center" vertical="center" textRotation="90"/>
      <protection hidden="1"/>
    </xf>
    <xf numFmtId="0" fontId="15" fillId="0" borderId="141" xfId="0" applyFont="1" applyBorder="1" applyAlignment="1" applyProtection="1">
      <alignment horizontal="center" vertical="center" textRotation="90"/>
      <protection hidden="1"/>
    </xf>
    <xf numFmtId="0" fontId="15" fillId="0" borderId="142" xfId="0" applyFont="1" applyBorder="1" applyAlignment="1" applyProtection="1">
      <alignment horizontal="center" vertical="center" textRotation="90"/>
      <protection hidden="1"/>
    </xf>
    <xf numFmtId="0" fontId="9" fillId="0" borderId="132" xfId="0" applyFont="1" applyBorder="1" applyAlignment="1">
      <alignment horizontal="center" vertical="center" textRotation="90"/>
    </xf>
    <xf numFmtId="0" fontId="9" fillId="0" borderId="135" xfId="0" applyFont="1" applyBorder="1" applyAlignment="1">
      <alignment horizontal="center" vertical="center" textRotation="90"/>
    </xf>
    <xf numFmtId="0" fontId="9" fillId="0" borderId="137" xfId="0" applyFont="1" applyBorder="1" applyAlignment="1">
      <alignment horizontal="center" vertical="center" textRotation="90"/>
    </xf>
    <xf numFmtId="0" fontId="9" fillId="9" borderId="0" xfId="0" applyFont="1" applyFill="1" applyBorder="1" applyAlignment="1" applyProtection="1">
      <alignment horizontal="justify" vertical="justify"/>
      <protection hidden="1"/>
    </xf>
    <xf numFmtId="0" fontId="0" fillId="0" borderId="138" xfId="0" applyBorder="1" applyAlignment="1" applyProtection="1">
      <alignment horizontal="left"/>
      <protection hidden="1"/>
    </xf>
    <xf numFmtId="0" fontId="9" fillId="0" borderId="132" xfId="0" applyFont="1" applyBorder="1" applyAlignment="1">
      <alignment horizontal="center" textRotation="90"/>
    </xf>
    <xf numFmtId="0" fontId="9" fillId="0" borderId="135" xfId="0" applyFont="1" applyBorder="1" applyAlignment="1">
      <alignment horizontal="center" textRotation="90"/>
    </xf>
    <xf numFmtId="0" fontId="9" fillId="0" borderId="137" xfId="0" applyFont="1" applyBorder="1" applyAlignment="1">
      <alignment horizontal="center" textRotation="90"/>
    </xf>
    <xf numFmtId="0" fontId="74" fillId="0" borderId="0" xfId="0" applyFont="1" applyBorder="1" applyAlignment="1" applyProtection="1">
      <alignment horizontal="center"/>
      <protection hidden="1"/>
    </xf>
    <xf numFmtId="0" fontId="14" fillId="5" borderId="42" xfId="0" applyFont="1" applyFill="1" applyBorder="1" applyAlignment="1" applyProtection="1">
      <alignment horizontal="left" vertical="center"/>
      <protection locked="0"/>
    </xf>
    <xf numFmtId="0" fontId="14" fillId="5" borderId="40" xfId="0" applyFont="1" applyFill="1" applyBorder="1" applyAlignment="1" applyProtection="1">
      <alignment horizontal="left" vertical="center"/>
      <protection locked="0"/>
    </xf>
    <xf numFmtId="0" fontId="14" fillId="5" borderId="26" xfId="0" applyFont="1" applyFill="1" applyBorder="1" applyAlignment="1" applyProtection="1">
      <alignment horizontal="left" vertical="center"/>
      <protection locked="0"/>
    </xf>
    <xf numFmtId="0" fontId="3" fillId="0" borderId="42" xfId="0" applyFont="1" applyFill="1" applyBorder="1" applyAlignment="1" applyProtection="1">
      <alignment horizontal="left"/>
      <protection hidden="1"/>
    </xf>
    <xf numFmtId="0" fontId="3" fillId="0" borderId="40" xfId="0" applyFont="1" applyFill="1" applyBorder="1" applyAlignment="1" applyProtection="1">
      <alignment horizontal="left"/>
      <protection hidden="1"/>
    </xf>
    <xf numFmtId="0" fontId="3" fillId="0" borderId="26" xfId="0" applyFont="1" applyFill="1" applyBorder="1" applyAlignment="1" applyProtection="1">
      <alignment horizontal="left"/>
      <protection hidden="1"/>
    </xf>
    <xf numFmtId="0" fontId="0" fillId="0" borderId="7" xfId="0" applyBorder="1" applyAlignment="1" applyProtection="1">
      <alignment horizontal="center"/>
      <protection hidden="1"/>
    </xf>
    <xf numFmtId="0" fontId="20" fillId="6" borderId="42" xfId="0" applyFont="1" applyFill="1" applyBorder="1" applyAlignment="1" applyProtection="1">
      <alignment horizontal="left" vertical="center"/>
      <protection hidden="1"/>
    </xf>
    <xf numFmtId="0" fontId="20" fillId="6" borderId="40" xfId="0" applyFont="1" applyFill="1" applyBorder="1" applyAlignment="1" applyProtection="1">
      <alignment horizontal="left" vertical="center"/>
      <protection hidden="1"/>
    </xf>
    <xf numFmtId="0" fontId="20" fillId="6" borderId="26" xfId="0" applyFont="1" applyFill="1" applyBorder="1" applyAlignment="1" applyProtection="1">
      <alignment horizontal="left" vertical="center"/>
      <protection hidden="1"/>
    </xf>
    <xf numFmtId="0" fontId="14" fillId="6" borderId="56" xfId="0" applyFont="1" applyFill="1" applyBorder="1" applyAlignment="1" applyProtection="1">
      <alignment horizontal="right" vertical="center"/>
      <protection hidden="1"/>
    </xf>
    <xf numFmtId="0" fontId="14" fillId="6" borderId="57" xfId="0" applyFont="1" applyFill="1" applyBorder="1" applyAlignment="1" applyProtection="1">
      <alignment horizontal="right" vertical="center"/>
      <protection hidden="1"/>
    </xf>
    <xf numFmtId="0" fontId="14" fillId="6" borderId="59" xfId="0" applyFont="1" applyFill="1" applyBorder="1" applyAlignment="1" applyProtection="1">
      <alignment horizontal="right" vertical="center"/>
      <protection hidden="1"/>
    </xf>
    <xf numFmtId="0" fontId="6" fillId="0" borderId="11" xfId="0" applyFont="1" applyFill="1" applyBorder="1" applyAlignment="1" applyProtection="1">
      <alignment horizontal="center"/>
      <protection hidden="1"/>
    </xf>
    <xf numFmtId="0" fontId="6" fillId="0" borderId="12" xfId="0" applyFont="1" applyFill="1" applyBorder="1" applyAlignment="1" applyProtection="1">
      <alignment horizontal="center"/>
      <protection hidden="1"/>
    </xf>
    <xf numFmtId="0" fontId="6" fillId="0" borderId="13" xfId="0" applyFont="1" applyFill="1" applyBorder="1" applyAlignment="1" applyProtection="1">
      <alignment horizontal="center"/>
      <protection hidden="1"/>
    </xf>
    <xf numFmtId="0" fontId="5" fillId="0" borderId="57" xfId="0" applyFont="1" applyFill="1" applyBorder="1" applyAlignment="1" applyProtection="1">
      <alignment horizontal="center"/>
      <protection hidden="1"/>
    </xf>
    <xf numFmtId="0" fontId="5" fillId="0" borderId="41" xfId="0" applyFont="1" applyFill="1" applyBorder="1" applyAlignment="1" applyProtection="1">
      <alignment horizontal="center"/>
      <protection hidden="1"/>
    </xf>
    <xf numFmtId="0" fontId="5" fillId="0" borderId="4" xfId="0" applyFont="1" applyFill="1" applyBorder="1" applyAlignment="1" applyProtection="1">
      <alignment horizontal="left"/>
      <protection hidden="1"/>
    </xf>
    <xf numFmtId="0" fontId="5" fillId="0" borderId="1" xfId="0" applyFont="1" applyFill="1" applyBorder="1" applyAlignment="1" applyProtection="1">
      <alignment horizontal="left"/>
      <protection hidden="1"/>
    </xf>
    <xf numFmtId="0" fontId="4" fillId="0" borderId="4" xfId="0" applyFont="1" applyBorder="1" applyAlignment="1" applyProtection="1">
      <alignment horizontal="center"/>
      <protection hidden="1"/>
    </xf>
    <xf numFmtId="0" fontId="4" fillId="0" borderId="1" xfId="0" applyFont="1" applyBorder="1" applyAlignment="1" applyProtection="1">
      <alignment horizontal="center"/>
      <protection hidden="1"/>
    </xf>
    <xf numFmtId="171" fontId="5" fillId="0" borderId="43" xfId="4" applyNumberFormat="1" applyFont="1" applyFill="1" applyBorder="1" applyAlignment="1" applyProtection="1">
      <alignment horizontal="center"/>
      <protection hidden="1"/>
    </xf>
    <xf numFmtId="171" fontId="5" fillId="0" borderId="32" xfId="4" applyNumberFormat="1" applyFont="1" applyFill="1" applyBorder="1" applyAlignment="1" applyProtection="1">
      <alignment horizontal="center"/>
      <protection hidden="1"/>
    </xf>
    <xf numFmtId="0" fontId="7" fillId="0" borderId="17" xfId="0" applyFont="1" applyFill="1" applyBorder="1" applyAlignment="1" applyProtection="1">
      <alignment horizontal="center"/>
      <protection hidden="1"/>
    </xf>
    <xf numFmtId="0" fontId="8" fillId="6" borderId="42" xfId="0" applyFont="1" applyFill="1" applyBorder="1" applyAlignment="1" applyProtection="1">
      <alignment horizontal="left" vertical="center" wrapText="1"/>
      <protection hidden="1"/>
    </xf>
    <xf numFmtId="0" fontId="8" fillId="6" borderId="40" xfId="0" applyFont="1" applyFill="1" applyBorder="1" applyAlignment="1" applyProtection="1">
      <alignment horizontal="left" vertical="center" wrapText="1"/>
      <protection hidden="1"/>
    </xf>
    <xf numFmtId="0" fontId="8" fillId="6" borderId="26" xfId="0" applyFont="1" applyFill="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0" fillId="0" borderId="31" xfId="0" applyBorder="1" applyAlignment="1" applyProtection="1">
      <alignment horizontal="justify" vertical="justify"/>
      <protection hidden="1"/>
    </xf>
    <xf numFmtId="0" fontId="0" fillId="0" borderId="131" xfId="0" applyBorder="1" applyAlignment="1" applyProtection="1">
      <alignment horizontal="justify" vertical="justify"/>
      <protection hidden="1"/>
    </xf>
    <xf numFmtId="171" fontId="16" fillId="6" borderId="43" xfId="4" applyNumberFormat="1" applyFont="1" applyFill="1" applyBorder="1" applyAlignment="1" applyProtection="1">
      <alignment horizontal="center" vertical="center"/>
      <protection hidden="1"/>
    </xf>
    <xf numFmtId="171" fontId="16" fillId="6" borderId="32" xfId="4" applyNumberFormat="1" applyFont="1" applyFill="1" applyBorder="1" applyAlignment="1" applyProtection="1">
      <alignment horizontal="center" vertical="center"/>
      <protection hidden="1"/>
    </xf>
    <xf numFmtId="0" fontId="5" fillId="0" borderId="42" xfId="0" applyFont="1" applyFill="1" applyBorder="1" applyAlignment="1" applyProtection="1">
      <alignment horizontal="left"/>
      <protection hidden="1"/>
    </xf>
    <xf numFmtId="0" fontId="5" fillId="0" borderId="40" xfId="0" applyFont="1" applyFill="1" applyBorder="1" applyAlignment="1" applyProtection="1">
      <alignment horizontal="left"/>
      <protection hidden="1"/>
    </xf>
    <xf numFmtId="0" fontId="5" fillId="0" borderId="26" xfId="0" applyFont="1" applyFill="1" applyBorder="1" applyAlignment="1" applyProtection="1">
      <alignment horizontal="left"/>
      <protection hidden="1"/>
    </xf>
    <xf numFmtId="9" fontId="3" fillId="6" borderId="4" xfId="0" applyNumberFormat="1" applyFont="1" applyFill="1" applyBorder="1" applyAlignment="1" applyProtection="1">
      <alignment horizontal="left" vertical="center"/>
      <protection hidden="1"/>
    </xf>
    <xf numFmtId="9" fontId="3" fillId="6" borderId="1" xfId="0" applyNumberFormat="1" applyFont="1" applyFill="1" applyBorder="1" applyAlignment="1" applyProtection="1">
      <alignment horizontal="left" vertical="center"/>
      <protection hidden="1"/>
    </xf>
    <xf numFmtId="0" fontId="8" fillId="0" borderId="4" xfId="0" applyFont="1" applyBorder="1" applyAlignment="1" applyProtection="1">
      <alignment horizontal="left" vertical="justify"/>
      <protection hidden="1"/>
    </xf>
    <xf numFmtId="0" fontId="8" fillId="0" borderId="1" xfId="0" applyFont="1" applyBorder="1" applyAlignment="1" applyProtection="1">
      <alignment horizontal="left" vertical="justify"/>
      <protection hidden="1"/>
    </xf>
    <xf numFmtId="0" fontId="8" fillId="0" borderId="4" xfId="0" applyFont="1" applyBorder="1" applyAlignment="1" applyProtection="1">
      <alignment horizontal="left"/>
      <protection hidden="1"/>
    </xf>
    <xf numFmtId="0" fontId="6" fillId="6" borderId="16" xfId="0" applyFont="1" applyFill="1" applyBorder="1" applyAlignment="1" applyProtection="1">
      <alignment horizontal="center"/>
      <protection hidden="1"/>
    </xf>
    <xf numFmtId="0" fontId="6" fillId="6" borderId="17" xfId="0" applyFont="1" applyFill="1" applyBorder="1" applyAlignment="1" applyProtection="1">
      <alignment horizontal="center"/>
      <protection hidden="1"/>
    </xf>
    <xf numFmtId="0" fontId="6" fillId="6" borderId="66" xfId="0" applyFont="1" applyFill="1" applyBorder="1" applyAlignment="1" applyProtection="1">
      <alignment horizontal="center"/>
      <protection hidden="1"/>
    </xf>
    <xf numFmtId="0" fontId="25" fillId="5" borderId="60" xfId="0" applyFont="1" applyFill="1" applyBorder="1" applyAlignment="1">
      <alignment horizontal="left" vertical="justify"/>
    </xf>
    <xf numFmtId="0" fontId="25" fillId="5" borderId="61" xfId="0" applyFont="1" applyFill="1" applyBorder="1" applyAlignment="1">
      <alignment horizontal="left" vertical="justify"/>
    </xf>
    <xf numFmtId="0" fontId="7" fillId="6" borderId="0" xfId="0" applyFont="1" applyFill="1" applyBorder="1" applyAlignment="1" applyProtection="1">
      <alignment horizontal="center"/>
      <protection hidden="1"/>
    </xf>
    <xf numFmtId="9" fontId="64" fillId="6" borderId="4" xfId="0" applyNumberFormat="1" applyFont="1" applyFill="1" applyBorder="1" applyAlignment="1" applyProtection="1">
      <alignment horizontal="left" vertical="center"/>
      <protection hidden="1"/>
    </xf>
    <xf numFmtId="9" fontId="64" fillId="6" borderId="1" xfId="0" applyNumberFormat="1" applyFont="1" applyFill="1" applyBorder="1" applyAlignment="1" applyProtection="1">
      <alignment horizontal="left" vertical="center"/>
      <protection hidden="1"/>
    </xf>
    <xf numFmtId="0" fontId="15" fillId="15" borderId="11" xfId="0" applyFont="1" applyFill="1" applyBorder="1" applyAlignment="1" applyProtection="1">
      <alignment horizontal="center"/>
      <protection hidden="1"/>
    </xf>
    <xf numFmtId="0" fontId="15" fillId="15" borderId="12" xfId="0" applyFont="1" applyFill="1" applyBorder="1" applyAlignment="1" applyProtection="1">
      <alignment horizontal="center"/>
      <protection hidden="1"/>
    </xf>
    <xf numFmtId="0" fontId="15" fillId="15" borderId="13" xfId="0" applyFont="1" applyFill="1" applyBorder="1" applyAlignment="1" applyProtection="1">
      <alignment horizontal="center"/>
      <protection hidden="1"/>
    </xf>
    <xf numFmtId="0" fontId="4" fillId="6" borderId="16" xfId="0" applyFont="1" applyFill="1" applyBorder="1" applyAlignment="1" applyProtection="1">
      <alignment horizontal="left"/>
      <protection hidden="1"/>
    </xf>
    <xf numFmtId="0" fontId="4" fillId="6" borderId="17" xfId="0" applyFont="1" applyFill="1" applyBorder="1" applyAlignment="1" applyProtection="1">
      <alignment horizontal="left"/>
      <protection hidden="1"/>
    </xf>
    <xf numFmtId="0" fontId="20" fillId="6" borderId="4" xfId="0" applyFont="1" applyFill="1" applyBorder="1" applyAlignment="1" applyProtection="1">
      <alignment horizontal="left" vertical="justify"/>
      <protection hidden="1"/>
    </xf>
    <xf numFmtId="0" fontId="20" fillId="6" borderId="1" xfId="0" applyFont="1" applyFill="1" applyBorder="1" applyAlignment="1" applyProtection="1">
      <alignment horizontal="left" vertical="justify"/>
      <protection hidden="1"/>
    </xf>
    <xf numFmtId="0" fontId="6" fillId="19" borderId="2" xfId="0" applyFont="1" applyFill="1" applyBorder="1" applyAlignment="1" applyProtection="1">
      <alignment horizontal="left"/>
      <protection hidden="1"/>
    </xf>
    <xf numFmtId="0" fontId="6" fillId="19" borderId="29" xfId="0" applyFont="1" applyFill="1" applyBorder="1" applyAlignment="1" applyProtection="1">
      <alignment horizontal="left"/>
      <protection hidden="1"/>
    </xf>
    <xf numFmtId="0" fontId="3" fillId="6" borderId="4" xfId="0" applyFont="1" applyFill="1" applyBorder="1" applyAlignment="1" applyProtection="1">
      <alignment horizontal="left"/>
      <protection hidden="1"/>
    </xf>
    <xf numFmtId="0" fontId="3" fillId="6" borderId="1" xfId="0" applyFont="1" applyFill="1" applyBorder="1" applyAlignment="1" applyProtection="1">
      <alignment horizontal="left"/>
      <protection hidden="1"/>
    </xf>
    <xf numFmtId="0" fontId="20" fillId="6" borderId="4" xfId="0" applyFont="1" applyFill="1" applyBorder="1" applyAlignment="1" applyProtection="1">
      <alignment horizontal="left" vertical="center"/>
      <protection hidden="1"/>
    </xf>
    <xf numFmtId="0" fontId="20" fillId="6" borderId="1" xfId="0" applyFont="1" applyFill="1" applyBorder="1" applyAlignment="1" applyProtection="1">
      <alignment horizontal="left" vertical="center"/>
      <protection hidden="1"/>
    </xf>
    <xf numFmtId="0" fontId="19" fillId="6" borderId="1" xfId="0" applyFont="1" applyFill="1" applyBorder="1" applyAlignment="1" applyProtection="1">
      <alignment horizontal="center" vertical="center"/>
      <protection hidden="1"/>
    </xf>
    <xf numFmtId="167" fontId="8" fillId="6" borderId="5" xfId="5" applyNumberFormat="1" applyFont="1" applyFill="1" applyBorder="1" applyAlignment="1" applyProtection="1">
      <alignment horizontal="center"/>
      <protection hidden="1"/>
    </xf>
    <xf numFmtId="0" fontId="9" fillId="6" borderId="42" xfId="0" applyNumberFormat="1" applyFont="1" applyFill="1" applyBorder="1" applyAlignment="1" applyProtection="1">
      <alignment horizontal="left" vertical="justify"/>
      <protection hidden="1"/>
    </xf>
    <xf numFmtId="0" fontId="9" fillId="6" borderId="26" xfId="0" applyNumberFormat="1" applyFont="1" applyFill="1" applyBorder="1" applyAlignment="1" applyProtection="1">
      <alignment horizontal="left" vertical="justify"/>
      <protection hidden="1"/>
    </xf>
    <xf numFmtId="0" fontId="4" fillId="19" borderId="2" xfId="0" applyFont="1" applyFill="1" applyBorder="1" applyAlignment="1" applyProtection="1">
      <alignment horizontal="center"/>
      <protection hidden="1"/>
    </xf>
    <xf numFmtId="0" fontId="4" fillId="19" borderId="29" xfId="0" applyFont="1" applyFill="1" applyBorder="1" applyAlignment="1" applyProtection="1">
      <alignment horizontal="center"/>
      <protection hidden="1"/>
    </xf>
    <xf numFmtId="0" fontId="25" fillId="0" borderId="4" xfId="0" applyFont="1" applyBorder="1" applyAlignment="1" applyProtection="1">
      <alignment horizontal="left"/>
      <protection hidden="1"/>
    </xf>
    <xf numFmtId="0" fontId="25" fillId="0" borderId="1" xfId="0" applyFont="1" applyBorder="1" applyAlignment="1" applyProtection="1">
      <alignment horizontal="left"/>
      <protection hidden="1"/>
    </xf>
    <xf numFmtId="0" fontId="25" fillId="0" borderId="6" xfId="0" applyFont="1" applyBorder="1" applyAlignment="1" applyProtection="1">
      <alignment horizontal="left"/>
      <protection hidden="1"/>
    </xf>
    <xf numFmtId="0" fontId="25" fillId="0" borderId="27" xfId="0" applyFont="1" applyBorder="1" applyAlignment="1" applyProtection="1">
      <alignment horizontal="left"/>
      <protection hidden="1"/>
    </xf>
    <xf numFmtId="0" fontId="9" fillId="6" borderId="4" xfId="0" applyFont="1" applyFill="1" applyBorder="1" applyAlignment="1" applyProtection="1">
      <alignment horizontal="left" vertical="center"/>
      <protection hidden="1"/>
    </xf>
    <xf numFmtId="0" fontId="9" fillId="6" borderId="1" xfId="0" applyFont="1" applyFill="1" applyBorder="1" applyAlignment="1" applyProtection="1">
      <alignment horizontal="left" vertical="center"/>
      <protection hidden="1"/>
    </xf>
    <xf numFmtId="0" fontId="20" fillId="6" borderId="42" xfId="0" applyFont="1" applyFill="1" applyBorder="1" applyAlignment="1" applyProtection="1">
      <alignment horizontal="justify" vertical="justify"/>
      <protection hidden="1"/>
    </xf>
    <xf numFmtId="0" fontId="20" fillId="6" borderId="26" xfId="0" applyFont="1" applyFill="1" applyBorder="1" applyAlignment="1" applyProtection="1">
      <alignment horizontal="justify" vertical="justify"/>
      <protection hidden="1"/>
    </xf>
    <xf numFmtId="167" fontId="8" fillId="6" borderId="5" xfId="5" applyNumberFormat="1" applyFont="1" applyFill="1" applyBorder="1" applyAlignment="1" applyProtection="1">
      <alignment horizontal="center" vertical="center"/>
      <protection hidden="1"/>
    </xf>
    <xf numFmtId="0" fontId="3" fillId="0" borderId="4" xfId="0" applyFont="1" applyFill="1" applyBorder="1" applyAlignment="1" applyProtection="1">
      <alignment horizontal="left" indent="2"/>
      <protection hidden="1"/>
    </xf>
    <xf numFmtId="0" fontId="3" fillId="0" borderId="1" xfId="0" applyFont="1" applyFill="1" applyBorder="1" applyAlignment="1" applyProtection="1">
      <alignment horizontal="left" indent="2"/>
      <protection hidden="1"/>
    </xf>
    <xf numFmtId="167" fontId="20" fillId="6" borderId="42" xfId="5" applyNumberFormat="1" applyFont="1" applyFill="1" applyBorder="1" applyAlignment="1" applyProtection="1">
      <alignment horizontal="left" vertical="justify"/>
      <protection hidden="1"/>
    </xf>
    <xf numFmtId="167" fontId="20" fillId="6" borderId="26" xfId="5" applyNumberFormat="1" applyFont="1" applyFill="1" applyBorder="1" applyAlignment="1" applyProtection="1">
      <alignment horizontal="left" vertical="justify"/>
      <protection hidden="1"/>
    </xf>
    <xf numFmtId="167" fontId="20" fillId="6" borderId="4" xfId="5" applyNumberFormat="1" applyFont="1" applyFill="1" applyBorder="1" applyAlignment="1" applyProtection="1">
      <protection hidden="1"/>
    </xf>
    <xf numFmtId="167" fontId="20" fillId="6" borderId="1" xfId="5" applyNumberFormat="1" applyFont="1" applyFill="1" applyBorder="1" applyAlignment="1" applyProtection="1">
      <protection hidden="1"/>
    </xf>
    <xf numFmtId="0" fontId="4" fillId="6" borderId="145" xfId="0" applyFont="1" applyFill="1" applyBorder="1" applyAlignment="1" applyProtection="1">
      <alignment horizontal="center"/>
      <protection hidden="1"/>
    </xf>
    <xf numFmtId="0" fontId="4" fillId="6" borderId="146" xfId="0" applyFont="1" applyFill="1" applyBorder="1" applyAlignment="1" applyProtection="1">
      <alignment horizontal="center"/>
      <protection hidden="1"/>
    </xf>
    <xf numFmtId="0" fontId="14" fillId="6" borderId="4" xfId="0" applyFont="1" applyFill="1" applyBorder="1" applyAlignment="1" applyProtection="1">
      <alignment horizontal="left" vertical="justify"/>
      <protection hidden="1"/>
    </xf>
    <xf numFmtId="0" fontId="14" fillId="6" borderId="1" xfId="0" applyFont="1" applyFill="1" applyBorder="1" applyAlignment="1" applyProtection="1">
      <alignment horizontal="left" vertical="justify"/>
      <protection hidden="1"/>
    </xf>
    <xf numFmtId="0" fontId="15" fillId="19" borderId="34" xfId="0" applyFont="1" applyFill="1" applyBorder="1" applyAlignment="1" applyProtection="1">
      <alignment horizontal="left" vertical="justify"/>
      <protection hidden="1"/>
    </xf>
    <xf numFmtId="0" fontId="15" fillId="19" borderId="33" xfId="0" applyFont="1" applyFill="1" applyBorder="1" applyAlignment="1" applyProtection="1">
      <alignment horizontal="left" vertical="justify"/>
      <protection hidden="1"/>
    </xf>
    <xf numFmtId="0" fontId="15" fillId="19" borderId="20" xfId="0" applyFont="1" applyFill="1" applyBorder="1" applyAlignment="1" applyProtection="1">
      <alignment horizontal="left" vertical="justify"/>
      <protection hidden="1"/>
    </xf>
    <xf numFmtId="0" fontId="3" fillId="0" borderId="42" xfId="0" applyFont="1" applyBorder="1" applyAlignment="1" applyProtection="1">
      <alignment horizontal="justify" vertical="justify"/>
      <protection hidden="1"/>
    </xf>
    <xf numFmtId="0" fontId="3" fillId="0" borderId="40" xfId="0" applyFont="1" applyBorder="1" applyAlignment="1" applyProtection="1">
      <alignment horizontal="justify" vertical="justify"/>
      <protection hidden="1"/>
    </xf>
    <xf numFmtId="167" fontId="14" fillId="0" borderId="5" xfId="5" applyNumberFormat="1" applyFont="1" applyFill="1" applyBorder="1" applyAlignment="1" applyProtection="1">
      <alignment horizontal="center" vertical="justify"/>
      <protection hidden="1"/>
    </xf>
    <xf numFmtId="167" fontId="3" fillId="0" borderId="43" xfId="5" applyNumberFormat="1" applyFont="1" applyFill="1" applyBorder="1" applyAlignment="1" applyProtection="1">
      <alignment horizontal="center"/>
      <protection hidden="1"/>
    </xf>
    <xf numFmtId="167" fontId="3" fillId="0" borderId="24" xfId="5" applyNumberFormat="1" applyFont="1" applyFill="1" applyBorder="1" applyAlignment="1" applyProtection="1">
      <alignment horizontal="center"/>
      <protection hidden="1"/>
    </xf>
    <xf numFmtId="167" fontId="25" fillId="6" borderId="42" xfId="0" applyNumberFormat="1" applyFont="1" applyFill="1" applyBorder="1" applyAlignment="1" applyProtection="1">
      <alignment horizontal="justify" vertical="justify"/>
      <protection hidden="1"/>
    </xf>
    <xf numFmtId="0" fontId="25" fillId="6" borderId="40" xfId="0" applyFont="1" applyFill="1" applyBorder="1" applyAlignment="1" applyProtection="1">
      <alignment horizontal="justify" vertical="justify"/>
      <protection hidden="1"/>
    </xf>
    <xf numFmtId="0" fontId="25" fillId="6" borderId="26" xfId="0" applyFont="1" applyFill="1" applyBorder="1" applyAlignment="1" applyProtection="1">
      <alignment horizontal="justify" vertical="justify"/>
      <protection hidden="1"/>
    </xf>
    <xf numFmtId="0" fontId="7" fillId="6" borderId="107" xfId="0" applyFont="1" applyFill="1" applyBorder="1" applyAlignment="1" applyProtection="1">
      <alignment horizontal="center"/>
      <protection hidden="1"/>
    </xf>
    <xf numFmtId="0" fontId="14" fillId="6" borderId="6" xfId="0" applyFont="1" applyFill="1" applyBorder="1" applyAlignment="1" applyProtection="1">
      <alignment horizontal="left" vertical="justify"/>
      <protection hidden="1"/>
    </xf>
    <xf numFmtId="0" fontId="14" fillId="6" borderId="27" xfId="0" applyFont="1" applyFill="1" applyBorder="1" applyAlignment="1" applyProtection="1">
      <alignment horizontal="left" vertical="justify"/>
      <protection hidden="1"/>
    </xf>
    <xf numFmtId="167" fontId="49" fillId="0" borderId="5" xfId="5" applyNumberFormat="1" applyFont="1" applyFill="1" applyBorder="1" applyAlignment="1" applyProtection="1">
      <alignment horizontal="center" vertical="center"/>
      <protection hidden="1"/>
    </xf>
    <xf numFmtId="167" fontId="49" fillId="0" borderId="7" xfId="5" applyNumberFormat="1" applyFont="1" applyFill="1" applyBorder="1" applyAlignment="1" applyProtection="1">
      <alignment horizontal="center" vertical="center"/>
      <protection hidden="1"/>
    </xf>
    <xf numFmtId="0" fontId="3" fillId="6" borderId="6" xfId="0" applyFont="1" applyFill="1" applyBorder="1" applyAlignment="1" applyProtection="1">
      <alignment horizontal="left" vertical="center"/>
      <protection hidden="1"/>
    </xf>
    <xf numFmtId="0" fontId="3" fillId="6" borderId="27" xfId="0" applyFont="1" applyFill="1" applyBorder="1" applyAlignment="1" applyProtection="1">
      <alignment horizontal="left" vertical="center"/>
      <protection hidden="1"/>
    </xf>
    <xf numFmtId="0" fontId="75" fillId="6" borderId="63" xfId="0" applyFont="1" applyFill="1" applyBorder="1" applyAlignment="1" applyProtection="1">
      <alignment horizontal="left"/>
      <protection hidden="1"/>
    </xf>
    <xf numFmtId="0" fontId="75" fillId="6" borderId="64" xfId="0" applyFont="1" applyFill="1" applyBorder="1" applyAlignment="1" applyProtection="1">
      <alignment horizontal="left"/>
      <protection hidden="1"/>
    </xf>
    <xf numFmtId="0" fontId="8" fillId="6" borderId="42" xfId="0" applyFont="1" applyFill="1" applyBorder="1" applyAlignment="1" applyProtection="1">
      <alignment horizontal="left" vertical="center"/>
      <protection hidden="1"/>
    </xf>
    <xf numFmtId="0" fontId="8" fillId="6" borderId="26" xfId="0" applyFont="1" applyFill="1" applyBorder="1" applyAlignment="1" applyProtection="1">
      <alignment horizontal="left" vertical="center"/>
      <protection hidden="1"/>
    </xf>
    <xf numFmtId="0" fontId="8" fillId="6" borderId="4" xfId="0" applyFont="1" applyFill="1" applyBorder="1" applyAlignment="1" applyProtection="1">
      <alignment horizontal="left" vertical="center"/>
      <protection hidden="1"/>
    </xf>
    <xf numFmtId="0" fontId="8" fillId="6" borderId="1" xfId="0" applyFont="1" applyFill="1" applyBorder="1" applyAlignment="1" applyProtection="1">
      <alignment horizontal="left" vertical="center"/>
      <protection hidden="1"/>
    </xf>
    <xf numFmtId="0" fontId="6" fillId="7" borderId="30" xfId="0" applyFont="1" applyFill="1" applyBorder="1" applyAlignment="1" applyProtection="1">
      <alignment horizontal="center"/>
      <protection hidden="1"/>
    </xf>
    <xf numFmtId="0" fontId="6" fillId="7" borderId="28" xfId="0" applyFont="1" applyFill="1" applyBorder="1" applyAlignment="1" applyProtection="1">
      <alignment horizontal="center"/>
      <protection hidden="1"/>
    </xf>
    <xf numFmtId="0" fontId="6" fillId="7" borderId="23" xfId="0" applyFont="1" applyFill="1" applyBorder="1" applyAlignment="1" applyProtection="1">
      <alignment horizontal="center"/>
      <protection hidden="1"/>
    </xf>
    <xf numFmtId="0" fontId="15" fillId="6" borderId="6" xfId="0" applyFont="1" applyFill="1" applyBorder="1" applyAlignment="1" applyProtection="1">
      <alignment vertical="center"/>
      <protection hidden="1"/>
    </xf>
    <xf numFmtId="0" fontId="15" fillId="6" borderId="27" xfId="0" applyFont="1" applyFill="1" applyBorder="1" applyAlignment="1" applyProtection="1">
      <alignment vertical="center"/>
      <protection hidden="1"/>
    </xf>
    <xf numFmtId="0" fontId="0" fillId="0" borderId="52" xfId="0" applyBorder="1" applyAlignment="1" applyProtection="1">
      <alignment horizontal="center" vertical="center"/>
      <protection hidden="1"/>
    </xf>
    <xf numFmtId="0" fontId="0" fillId="0" borderId="46" xfId="0" applyBorder="1" applyAlignment="1" applyProtection="1">
      <alignment horizontal="center" vertical="center"/>
      <protection hidden="1"/>
    </xf>
    <xf numFmtId="0" fontId="0" fillId="0" borderId="65" xfId="0" applyBorder="1" applyAlignment="1" applyProtection="1">
      <alignment horizontal="center" vertical="center"/>
      <protection hidden="1"/>
    </xf>
    <xf numFmtId="167" fontId="10" fillId="6" borderId="43" xfId="5" applyNumberFormat="1" applyFont="1" applyFill="1" applyBorder="1" applyAlignment="1" applyProtection="1">
      <alignment horizontal="center" vertical="center"/>
      <protection hidden="1"/>
    </xf>
    <xf numFmtId="167" fontId="10" fillId="6" borderId="55" xfId="5" applyNumberFormat="1" applyFont="1" applyFill="1" applyBorder="1" applyAlignment="1" applyProtection="1">
      <alignment horizontal="center" vertical="center"/>
      <protection hidden="1"/>
    </xf>
    <xf numFmtId="167" fontId="10" fillId="6" borderId="32" xfId="5" applyNumberFormat="1" applyFont="1" applyFill="1" applyBorder="1" applyAlignment="1" applyProtection="1">
      <alignment horizontal="center" vertical="center"/>
      <protection hidden="1"/>
    </xf>
    <xf numFmtId="0" fontId="2" fillId="0" borderId="31" xfId="0" applyFont="1" applyBorder="1" applyAlignment="1" applyProtection="1">
      <alignment horizontal="center" vertical="center"/>
      <protection hidden="1"/>
    </xf>
    <xf numFmtId="0" fontId="2" fillId="0" borderId="14" xfId="0" applyFont="1" applyBorder="1" applyAlignment="1" applyProtection="1">
      <alignment horizontal="center" vertical="center"/>
      <protection hidden="1"/>
    </xf>
    <xf numFmtId="0" fontId="2" fillId="0" borderId="131" xfId="0" applyFont="1" applyBorder="1" applyAlignment="1" applyProtection="1">
      <alignment horizontal="center" vertical="center"/>
      <protection hidden="1"/>
    </xf>
    <xf numFmtId="0" fontId="4" fillId="6" borderId="4" xfId="0" applyFont="1" applyFill="1" applyBorder="1" applyAlignment="1" applyProtection="1">
      <alignment horizontal="left" vertical="center"/>
      <protection hidden="1"/>
    </xf>
    <xf numFmtId="0" fontId="4" fillId="6" borderId="1" xfId="0" applyFont="1" applyFill="1" applyBorder="1" applyAlignment="1" applyProtection="1">
      <alignment horizontal="left" vertical="center"/>
      <protection hidden="1"/>
    </xf>
    <xf numFmtId="0" fontId="0" fillId="6" borderId="91" xfId="0" applyFill="1" applyBorder="1" applyAlignment="1" applyProtection="1">
      <alignment horizontal="center"/>
      <protection locked="0"/>
    </xf>
    <xf numFmtId="0" fontId="0" fillId="6" borderId="108" xfId="0" applyFill="1" applyBorder="1" applyAlignment="1" applyProtection="1">
      <alignment horizontal="center"/>
      <protection locked="0"/>
    </xf>
    <xf numFmtId="0" fontId="14" fillId="6" borderId="16" xfId="0" applyFont="1" applyFill="1" applyBorder="1" applyAlignment="1" applyProtection="1">
      <alignment horizontal="right" vertical="center"/>
      <protection hidden="1"/>
    </xf>
    <xf numFmtId="0" fontId="14" fillId="6" borderId="17" xfId="0" applyFont="1" applyFill="1" applyBorder="1" applyAlignment="1" applyProtection="1">
      <alignment horizontal="right" vertical="center"/>
      <protection hidden="1"/>
    </xf>
    <xf numFmtId="0" fontId="14" fillId="6" borderId="66" xfId="0" applyFont="1" applyFill="1" applyBorder="1" applyAlignment="1" applyProtection="1">
      <alignment horizontal="right" vertical="center"/>
      <protection hidden="1"/>
    </xf>
    <xf numFmtId="0" fontId="0" fillId="6" borderId="0" xfId="0" applyFill="1" applyBorder="1" applyAlignment="1" applyProtection="1">
      <alignment horizontal="center"/>
      <protection locked="0"/>
    </xf>
    <xf numFmtId="0" fontId="0" fillId="6" borderId="15" xfId="0" applyFill="1" applyBorder="1" applyAlignment="1" applyProtection="1">
      <alignment horizontal="center"/>
      <protection locked="0"/>
    </xf>
    <xf numFmtId="171" fontId="19" fillId="0" borderId="5" xfId="4" applyNumberFormat="1" applyFont="1" applyBorder="1" applyAlignment="1" applyProtection="1">
      <alignment horizontal="center" vertical="center"/>
      <protection hidden="1"/>
    </xf>
    <xf numFmtId="0" fontId="6" fillId="15" borderId="30" xfId="0" applyFont="1" applyFill="1" applyBorder="1" applyAlignment="1" applyProtection="1">
      <alignment horizontal="center"/>
      <protection hidden="1"/>
    </xf>
    <xf numFmtId="0" fontId="6" fillId="15" borderId="28" xfId="0" applyFont="1" applyFill="1" applyBorder="1" applyAlignment="1" applyProtection="1">
      <alignment horizontal="center"/>
      <protection hidden="1"/>
    </xf>
    <xf numFmtId="0" fontId="6" fillId="15" borderId="23" xfId="0" applyFont="1" applyFill="1" applyBorder="1" applyAlignment="1" applyProtection="1">
      <alignment horizontal="center"/>
      <protection hidden="1"/>
    </xf>
    <xf numFmtId="0" fontId="9" fillId="6" borderId="4" xfId="0" applyFont="1" applyFill="1" applyBorder="1" applyAlignment="1" applyProtection="1">
      <alignment horizontal="left" vertical="justify"/>
      <protection hidden="1"/>
    </xf>
    <xf numFmtId="0" fontId="9" fillId="6" borderId="1" xfId="0" applyFont="1" applyFill="1" applyBorder="1" applyAlignment="1" applyProtection="1">
      <alignment horizontal="left" vertical="justify"/>
      <protection hidden="1"/>
    </xf>
    <xf numFmtId="167" fontId="20" fillId="6" borderId="42" xfId="5" applyNumberFormat="1" applyFont="1" applyFill="1" applyBorder="1" applyAlignment="1" applyProtection="1">
      <alignment horizontal="left"/>
      <protection hidden="1"/>
    </xf>
    <xf numFmtId="167" fontId="20" fillId="6" borderId="26" xfId="5" applyNumberFormat="1" applyFont="1" applyFill="1" applyBorder="1" applyAlignment="1" applyProtection="1">
      <alignment horizontal="left"/>
      <protection hidden="1"/>
    </xf>
    <xf numFmtId="0" fontId="4" fillId="6" borderId="2" xfId="0" applyFont="1" applyFill="1" applyBorder="1" applyAlignment="1" applyProtection="1">
      <alignment vertical="center"/>
      <protection hidden="1"/>
    </xf>
    <xf numFmtId="0" fontId="4" fillId="6" borderId="29" xfId="0" applyFont="1" applyFill="1" applyBorder="1" applyAlignment="1" applyProtection="1">
      <alignment vertical="center"/>
      <protection hidden="1"/>
    </xf>
    <xf numFmtId="0" fontId="25" fillId="6" borderId="4" xfId="0" applyFont="1" applyFill="1" applyBorder="1" applyAlignment="1" applyProtection="1">
      <alignment horizontal="left" vertical="justify"/>
      <protection hidden="1"/>
    </xf>
    <xf numFmtId="0" fontId="25" fillId="6" borderId="1" xfId="0" applyFont="1" applyFill="1" applyBorder="1" applyAlignment="1" applyProtection="1">
      <alignment horizontal="left" vertical="justify"/>
      <protection hidden="1"/>
    </xf>
    <xf numFmtId="0" fontId="7" fillId="6" borderId="2" xfId="0" applyFont="1" applyFill="1" applyBorder="1" applyAlignment="1" applyProtection="1">
      <alignment horizontal="center" vertical="center"/>
      <protection hidden="1"/>
    </xf>
    <xf numFmtId="0" fontId="7" fillId="6" borderId="29" xfId="0" applyFont="1" applyFill="1" applyBorder="1" applyAlignment="1" applyProtection="1">
      <alignment horizontal="center" vertical="center"/>
      <protection hidden="1"/>
    </xf>
    <xf numFmtId="0" fontId="17" fillId="6" borderId="1" xfId="0" applyFont="1" applyFill="1" applyBorder="1" applyAlignment="1" applyProtection="1">
      <alignment horizontal="center" vertical="center"/>
      <protection hidden="1"/>
    </xf>
    <xf numFmtId="0" fontId="9" fillId="5" borderId="42"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protection locked="0"/>
    </xf>
    <xf numFmtId="0" fontId="9" fillId="5" borderId="26" xfId="0" applyFont="1" applyFill="1" applyBorder="1" applyAlignment="1" applyProtection="1">
      <alignment horizontal="left" vertical="center"/>
      <protection locked="0"/>
    </xf>
    <xf numFmtId="0" fontId="8" fillId="0" borderId="6" xfId="0" applyFont="1" applyFill="1" applyBorder="1" applyAlignment="1" applyProtection="1">
      <alignment horizontal="left" vertical="justify" indent="2"/>
      <protection hidden="1"/>
    </xf>
    <xf numFmtId="0" fontId="8" fillId="0" borderId="27" xfId="0" applyFont="1" applyFill="1" applyBorder="1" applyAlignment="1" applyProtection="1">
      <alignment horizontal="left" vertical="justify" indent="2"/>
      <protection hidden="1"/>
    </xf>
    <xf numFmtId="0" fontId="64" fillId="6" borderId="4" xfId="0" applyFont="1" applyFill="1" applyBorder="1" applyAlignment="1" applyProtection="1">
      <alignment horizontal="left" vertical="justify"/>
      <protection hidden="1"/>
    </xf>
    <xf numFmtId="0" fontId="9" fillId="6" borderId="60" xfId="0" applyFont="1" applyFill="1" applyBorder="1" applyAlignment="1" applyProtection="1">
      <alignment horizontal="left" vertical="center"/>
      <protection hidden="1"/>
    </xf>
    <xf numFmtId="0" fontId="9" fillId="6" borderId="61" xfId="0" applyFont="1" applyFill="1" applyBorder="1" applyAlignment="1" applyProtection="1">
      <alignment horizontal="left" vertical="center"/>
      <protection hidden="1"/>
    </xf>
    <xf numFmtId="0" fontId="9" fillId="6" borderId="62" xfId="0" applyFont="1" applyFill="1" applyBorder="1" applyAlignment="1" applyProtection="1">
      <alignment horizontal="left" vertical="center"/>
      <protection hidden="1"/>
    </xf>
    <xf numFmtId="0" fontId="6" fillId="15" borderId="56" xfId="0" applyFont="1" applyFill="1" applyBorder="1" applyAlignment="1" applyProtection="1">
      <alignment horizontal="center" vertical="center"/>
      <protection locked="0"/>
    </xf>
    <xf numFmtId="0" fontId="6" fillId="15" borderId="57" xfId="0" applyFont="1" applyFill="1" applyBorder="1" applyAlignment="1" applyProtection="1">
      <alignment horizontal="center" vertical="center"/>
      <protection locked="0"/>
    </xf>
    <xf numFmtId="0" fontId="6" fillId="15" borderId="41" xfId="0" applyFont="1" applyFill="1" applyBorder="1" applyAlignment="1" applyProtection="1">
      <alignment horizontal="center" vertical="center"/>
      <protection locked="0"/>
    </xf>
    <xf numFmtId="0" fontId="64" fillId="6" borderId="4" xfId="0" applyFont="1" applyFill="1" applyBorder="1" applyAlignment="1" applyProtection="1">
      <alignment horizontal="left" vertical="center"/>
      <protection hidden="1"/>
    </xf>
    <xf numFmtId="0" fontId="64" fillId="6" borderId="1" xfId="0" applyFont="1" applyFill="1" applyBorder="1" applyAlignment="1" applyProtection="1">
      <alignment horizontal="left" vertical="center"/>
      <protection hidden="1"/>
    </xf>
    <xf numFmtId="167" fontId="20" fillId="6" borderId="4" xfId="5" applyNumberFormat="1" applyFont="1" applyFill="1" applyBorder="1" applyAlignment="1" applyProtection="1">
      <alignment horizontal="left"/>
      <protection hidden="1"/>
    </xf>
    <xf numFmtId="167" fontId="20" fillId="6" borderId="1" xfId="5" applyNumberFormat="1" applyFont="1" applyFill="1" applyBorder="1" applyAlignment="1" applyProtection="1">
      <alignment horizontal="left"/>
      <protection hidden="1"/>
    </xf>
    <xf numFmtId="0" fontId="9" fillId="6" borderId="6" xfId="0" applyFont="1" applyFill="1" applyBorder="1" applyAlignment="1" applyProtection="1">
      <alignment horizontal="left"/>
      <protection hidden="1"/>
    </xf>
    <xf numFmtId="0" fontId="9" fillId="6" borderId="27" xfId="0" applyFont="1" applyFill="1" applyBorder="1" applyAlignment="1" applyProtection="1">
      <alignment horizontal="left"/>
      <protection hidden="1"/>
    </xf>
    <xf numFmtId="0" fontId="9" fillId="6" borderId="56" xfId="0" applyFont="1" applyFill="1" applyBorder="1" applyAlignment="1" applyProtection="1">
      <alignment horizontal="left" vertical="justify"/>
      <protection hidden="1"/>
    </xf>
    <xf numFmtId="0" fontId="9" fillId="6" borderId="57" xfId="0" applyFont="1" applyFill="1" applyBorder="1" applyAlignment="1" applyProtection="1">
      <alignment horizontal="left" vertical="justify"/>
      <protection hidden="1"/>
    </xf>
    <xf numFmtId="0" fontId="9" fillId="6" borderId="59" xfId="0" applyFont="1" applyFill="1" applyBorder="1" applyAlignment="1" applyProtection="1">
      <alignment horizontal="left" vertical="justify"/>
      <protection hidden="1"/>
    </xf>
    <xf numFmtId="0" fontId="20" fillId="6" borderId="4" xfId="0" applyFont="1" applyFill="1" applyBorder="1" applyAlignment="1" applyProtection="1">
      <alignment horizontal="left"/>
      <protection hidden="1"/>
    </xf>
    <xf numFmtId="0" fontId="20" fillId="6" borderId="1" xfId="0" applyFont="1" applyFill="1" applyBorder="1" applyAlignment="1" applyProtection="1">
      <alignment horizontal="left"/>
      <protection hidden="1"/>
    </xf>
    <xf numFmtId="0" fontId="3" fillId="0" borderId="6" xfId="0" applyFont="1" applyFill="1" applyBorder="1" applyAlignment="1" applyProtection="1">
      <alignment horizontal="left" indent="2"/>
      <protection hidden="1"/>
    </xf>
    <xf numFmtId="0" fontId="3" fillId="0" borderId="27" xfId="0" applyFont="1" applyFill="1" applyBorder="1" applyAlignment="1" applyProtection="1">
      <alignment horizontal="left" indent="2"/>
      <protection hidden="1"/>
    </xf>
    <xf numFmtId="0" fontId="5" fillId="0" borderId="1" xfId="0" applyFont="1" applyFill="1" applyBorder="1" applyAlignment="1" applyProtection="1">
      <alignment horizontal="center"/>
      <protection hidden="1"/>
    </xf>
    <xf numFmtId="0" fontId="4" fillId="6" borderId="14" xfId="0" applyFont="1" applyFill="1" applyBorder="1" applyAlignment="1" applyProtection="1">
      <alignment horizontal="right" vertical="center"/>
      <protection hidden="1"/>
    </xf>
    <xf numFmtId="0" fontId="4" fillId="6" borderId="0" xfId="0" applyFont="1" applyFill="1" applyBorder="1" applyAlignment="1" applyProtection="1">
      <alignment horizontal="right" vertical="center"/>
      <protection hidden="1"/>
    </xf>
    <xf numFmtId="0" fontId="4" fillId="6" borderId="15" xfId="0" applyFont="1" applyFill="1" applyBorder="1" applyAlignment="1" applyProtection="1">
      <alignment horizontal="right" vertical="center"/>
      <protection hidden="1"/>
    </xf>
    <xf numFmtId="0" fontId="14" fillId="6" borderId="4" xfId="0" applyFont="1" applyFill="1" applyBorder="1" applyAlignment="1" applyProtection="1">
      <alignment vertical="justify"/>
      <protection hidden="1"/>
    </xf>
    <xf numFmtId="0" fontId="14" fillId="6" borderId="1" xfId="0" applyFont="1" applyFill="1" applyBorder="1" applyAlignment="1" applyProtection="1">
      <alignment vertical="justify"/>
      <protection hidden="1"/>
    </xf>
    <xf numFmtId="0" fontId="6" fillId="0" borderId="4" xfId="0" applyFont="1" applyFill="1" applyBorder="1" applyAlignment="1" applyProtection="1">
      <alignment horizontal="center"/>
      <protection hidden="1"/>
    </xf>
    <xf numFmtId="0" fontId="6" fillId="0" borderId="1" xfId="0" applyFont="1" applyFill="1" applyBorder="1" applyAlignment="1" applyProtection="1">
      <alignment horizontal="center"/>
      <protection hidden="1"/>
    </xf>
    <xf numFmtId="0" fontId="6" fillId="0" borderId="5" xfId="0" applyFont="1" applyFill="1" applyBorder="1" applyAlignment="1" applyProtection="1">
      <alignment horizontal="center"/>
      <protection hidden="1"/>
    </xf>
    <xf numFmtId="0" fontId="7" fillId="19" borderId="34" xfId="0" applyFont="1" applyFill="1" applyBorder="1" applyAlignment="1" applyProtection="1">
      <alignment horizontal="left"/>
      <protection hidden="1"/>
    </xf>
    <xf numFmtId="0" fontId="7" fillId="19" borderId="33" xfId="0" applyFont="1" applyFill="1" applyBorder="1" applyAlignment="1" applyProtection="1">
      <alignment horizontal="left"/>
      <protection hidden="1"/>
    </xf>
    <xf numFmtId="0" fontId="7" fillId="19" borderId="21" xfId="0" applyFont="1" applyFill="1" applyBorder="1" applyAlignment="1" applyProtection="1">
      <alignment horizontal="left"/>
      <protection hidden="1"/>
    </xf>
    <xf numFmtId="0" fontId="15" fillId="15" borderId="34" xfId="0" applyFont="1" applyFill="1" applyBorder="1" applyAlignment="1" applyProtection="1">
      <alignment horizontal="center" vertical="center"/>
      <protection hidden="1"/>
    </xf>
    <xf numFmtId="0" fontId="15" fillId="15" borderId="33" xfId="0" applyFont="1" applyFill="1" applyBorder="1" applyAlignment="1" applyProtection="1">
      <alignment horizontal="center" vertical="center"/>
      <protection hidden="1"/>
    </xf>
    <xf numFmtId="0" fontId="15" fillId="15" borderId="21" xfId="0" applyFont="1" applyFill="1" applyBorder="1" applyAlignment="1" applyProtection="1">
      <alignment horizontal="center" vertical="center"/>
      <protection hidden="1"/>
    </xf>
    <xf numFmtId="0" fontId="25" fillId="6" borderId="4" xfId="0" applyFont="1" applyFill="1" applyBorder="1" applyAlignment="1" applyProtection="1">
      <alignment horizontal="left"/>
      <protection hidden="1"/>
    </xf>
    <xf numFmtId="0" fontId="25" fillId="6" borderId="1" xfId="0" applyFont="1" applyFill="1" applyBorder="1" applyAlignment="1" applyProtection="1">
      <alignment horizontal="left"/>
      <protection hidden="1"/>
    </xf>
    <xf numFmtId="0" fontId="7" fillId="16" borderId="11" xfId="0" applyFont="1" applyFill="1" applyBorder="1" applyAlignment="1" applyProtection="1">
      <alignment horizontal="center" vertical="center"/>
      <protection hidden="1"/>
    </xf>
    <xf numFmtId="0" fontId="7" fillId="16" borderId="12" xfId="0" applyFont="1" applyFill="1" applyBorder="1" applyAlignment="1" applyProtection="1">
      <alignment horizontal="center" vertical="center"/>
      <protection hidden="1"/>
    </xf>
    <xf numFmtId="0" fontId="7" fillId="16" borderId="13" xfId="0" applyFont="1" applyFill="1" applyBorder="1" applyAlignment="1" applyProtection="1">
      <alignment horizontal="center" vertical="center"/>
      <protection hidden="1"/>
    </xf>
    <xf numFmtId="0" fontId="9" fillId="6" borderId="4" xfId="0" applyFont="1" applyFill="1" applyBorder="1" applyAlignment="1" applyProtection="1">
      <alignment horizontal="left"/>
      <protection hidden="1"/>
    </xf>
    <xf numFmtId="0" fontId="9" fillId="6" borderId="1" xfId="0" applyFont="1" applyFill="1" applyBorder="1" applyAlignment="1" applyProtection="1">
      <alignment horizontal="left"/>
      <protection hidden="1"/>
    </xf>
    <xf numFmtId="0" fontId="72" fillId="17" borderId="46" xfId="0" applyFont="1" applyFill="1" applyBorder="1" applyAlignment="1" applyProtection="1">
      <alignment horizontal="center" vertical="center"/>
      <protection hidden="1"/>
    </xf>
    <xf numFmtId="0" fontId="72" fillId="17" borderId="67" xfId="0" applyFont="1" applyFill="1" applyBorder="1" applyAlignment="1" applyProtection="1">
      <alignment horizontal="center" vertical="center"/>
      <protection hidden="1"/>
    </xf>
    <xf numFmtId="0" fontId="72" fillId="17" borderId="5" xfId="0" applyFont="1" applyFill="1" applyBorder="1" applyAlignment="1" applyProtection="1">
      <alignment horizontal="center" vertical="center"/>
      <protection hidden="1"/>
    </xf>
    <xf numFmtId="0" fontId="64" fillId="6" borderId="1" xfId="0" applyFont="1" applyFill="1" applyBorder="1" applyAlignment="1" applyProtection="1">
      <alignment horizontal="left" vertical="justify"/>
      <protection hidden="1"/>
    </xf>
    <xf numFmtId="172" fontId="4" fillId="5" borderId="5" xfId="0" applyNumberFormat="1" applyFont="1" applyFill="1" applyBorder="1" applyAlignment="1" applyProtection="1">
      <alignment horizontal="left" vertical="center"/>
      <protection locked="0"/>
    </xf>
    <xf numFmtId="0" fontId="73" fillId="16" borderId="34" xfId="0" applyFont="1" applyFill="1" applyBorder="1" applyAlignment="1" applyProtection="1">
      <alignment horizontal="center" vertical="justify"/>
      <protection hidden="1"/>
    </xf>
    <xf numFmtId="0" fontId="73" fillId="16" borderId="33" xfId="0" applyFont="1" applyFill="1" applyBorder="1" applyAlignment="1" applyProtection="1">
      <alignment horizontal="center" vertical="justify"/>
      <protection hidden="1"/>
    </xf>
    <xf numFmtId="0" fontId="73" fillId="16" borderId="21" xfId="0" applyFont="1" applyFill="1" applyBorder="1" applyAlignment="1" applyProtection="1">
      <alignment horizontal="center" vertical="justify"/>
      <protection hidden="1"/>
    </xf>
    <xf numFmtId="0" fontId="73" fillId="16" borderId="14" xfId="0" applyFont="1" applyFill="1" applyBorder="1" applyAlignment="1" applyProtection="1">
      <alignment horizontal="center" vertical="center"/>
      <protection hidden="1"/>
    </xf>
    <xf numFmtId="0" fontId="73" fillId="16" borderId="0" xfId="0" applyFont="1" applyFill="1" applyBorder="1" applyAlignment="1" applyProtection="1">
      <alignment horizontal="center" vertical="center"/>
      <protection hidden="1"/>
    </xf>
    <xf numFmtId="0" fontId="73" fillId="16" borderId="15" xfId="0" applyFont="1" applyFill="1" applyBorder="1" applyAlignment="1" applyProtection="1">
      <alignment horizontal="center" vertical="center"/>
      <protection hidden="1"/>
    </xf>
    <xf numFmtId="0" fontId="72" fillId="17" borderId="52" xfId="0" applyFont="1" applyFill="1" applyBorder="1" applyAlignment="1" applyProtection="1">
      <alignment horizontal="center" vertical="center"/>
      <protection hidden="1"/>
    </xf>
    <xf numFmtId="0" fontId="72" fillId="17" borderId="39" xfId="0" applyFont="1" applyFill="1" applyBorder="1" applyAlignment="1" applyProtection="1">
      <alignment horizontal="center" vertical="center"/>
      <protection hidden="1"/>
    </xf>
    <xf numFmtId="0" fontId="64" fillId="6" borderId="42" xfId="0" applyFont="1" applyFill="1" applyBorder="1" applyAlignment="1" applyProtection="1">
      <alignment horizontal="left" vertical="center"/>
      <protection hidden="1"/>
    </xf>
    <xf numFmtId="0" fontId="64" fillId="6" borderId="26" xfId="0" applyFont="1" applyFill="1" applyBorder="1" applyAlignment="1" applyProtection="1">
      <alignment horizontal="left" vertical="center"/>
      <protection hidden="1"/>
    </xf>
    <xf numFmtId="0" fontId="7" fillId="7" borderId="34" xfId="0" applyFont="1" applyFill="1" applyBorder="1" applyAlignment="1" applyProtection="1">
      <alignment horizontal="center" vertical="center"/>
      <protection hidden="1"/>
    </xf>
    <xf numFmtId="0" fontId="7" fillId="7" borderId="33" xfId="0" applyFont="1" applyFill="1" applyBorder="1" applyAlignment="1" applyProtection="1">
      <alignment horizontal="center" vertical="center"/>
      <protection hidden="1"/>
    </xf>
    <xf numFmtId="0" fontId="7" fillId="7" borderId="21" xfId="0" applyFont="1" applyFill="1" applyBorder="1" applyAlignment="1" applyProtection="1">
      <alignment horizontal="center" vertical="center"/>
      <protection hidden="1"/>
    </xf>
    <xf numFmtId="0" fontId="64" fillId="6" borderId="42" xfId="0" applyFont="1" applyFill="1" applyBorder="1" applyAlignment="1" applyProtection="1">
      <alignment horizontal="left" vertical="justify"/>
      <protection hidden="1"/>
    </xf>
    <xf numFmtId="0" fontId="64" fillId="6" borderId="26" xfId="0" applyFont="1" applyFill="1" applyBorder="1" applyAlignment="1" applyProtection="1">
      <alignment horizontal="left" vertical="justify"/>
      <protection hidden="1"/>
    </xf>
    <xf numFmtId="9" fontId="64" fillId="6" borderId="42" xfId="14" applyFont="1" applyFill="1" applyBorder="1" applyAlignment="1" applyProtection="1">
      <alignment horizontal="left" vertical="center"/>
      <protection hidden="1"/>
    </xf>
    <xf numFmtId="9" fontId="64" fillId="6" borderId="26" xfId="14" applyFont="1" applyFill="1" applyBorder="1" applyAlignment="1" applyProtection="1">
      <alignment horizontal="left" vertical="center"/>
      <protection hidden="1"/>
    </xf>
    <xf numFmtId="0" fontId="9" fillId="6" borderId="4" xfId="0" applyFont="1" applyFill="1" applyBorder="1" applyAlignment="1" applyProtection="1">
      <alignment horizontal="center" vertical="center"/>
      <protection hidden="1"/>
    </xf>
    <xf numFmtId="0" fontId="9" fillId="6" borderId="1" xfId="0" applyFont="1" applyFill="1" applyBorder="1" applyAlignment="1" applyProtection="1">
      <alignment horizontal="center" vertical="center"/>
      <protection hidden="1"/>
    </xf>
    <xf numFmtId="0" fontId="4" fillId="6" borderId="39" xfId="0" applyFont="1" applyFill="1" applyBorder="1" applyAlignment="1" applyProtection="1">
      <alignment horizontal="center" vertical="center"/>
      <protection hidden="1"/>
    </xf>
    <xf numFmtId="0" fontId="4" fillId="6" borderId="67" xfId="0" applyFont="1" applyFill="1" applyBorder="1" applyAlignment="1" applyProtection="1">
      <alignment horizontal="center" vertical="center"/>
      <protection hidden="1"/>
    </xf>
    <xf numFmtId="0" fontId="4" fillId="6" borderId="22" xfId="0" applyFont="1" applyFill="1" applyBorder="1" applyAlignment="1" applyProtection="1">
      <alignment horizontal="center" vertical="center"/>
      <protection hidden="1"/>
    </xf>
    <xf numFmtId="0" fontId="87" fillId="15" borderId="11" xfId="0" applyFont="1" applyFill="1" applyBorder="1" applyAlignment="1" applyProtection="1">
      <alignment horizontal="center"/>
      <protection hidden="1"/>
    </xf>
    <xf numFmtId="0" fontId="87" fillId="15" borderId="12" xfId="0" applyFont="1" applyFill="1" applyBorder="1" applyAlignment="1" applyProtection="1">
      <alignment horizontal="center"/>
      <protection hidden="1"/>
    </xf>
    <xf numFmtId="0" fontId="87" fillId="15" borderId="13" xfId="0" applyFont="1" applyFill="1" applyBorder="1" applyAlignment="1" applyProtection="1">
      <alignment horizontal="center"/>
      <protection hidden="1"/>
    </xf>
    <xf numFmtId="0" fontId="7" fillId="0" borderId="14" xfId="0" applyFont="1" applyFill="1" applyBorder="1" applyAlignment="1" applyProtection="1">
      <alignment horizontal="center"/>
      <protection hidden="1"/>
    </xf>
    <xf numFmtId="0" fontId="7" fillId="0" borderId="0" xfId="0" applyFont="1" applyFill="1" applyBorder="1" applyAlignment="1" applyProtection="1">
      <alignment horizontal="center"/>
      <protection hidden="1"/>
    </xf>
    <xf numFmtId="0" fontId="7" fillId="0" borderId="15" xfId="0" applyFont="1" applyFill="1" applyBorder="1" applyAlignment="1" applyProtection="1">
      <alignment horizontal="center"/>
      <protection hidden="1"/>
    </xf>
    <xf numFmtId="0" fontId="15" fillId="19" borderId="2" xfId="0" applyFont="1" applyFill="1" applyBorder="1" applyAlignment="1" applyProtection="1">
      <alignment horizontal="left"/>
      <protection hidden="1"/>
    </xf>
    <xf numFmtId="0" fontId="15" fillId="19" borderId="29" xfId="0" applyFont="1" applyFill="1" applyBorder="1" applyAlignment="1" applyProtection="1">
      <alignment horizontal="left"/>
      <protection hidden="1"/>
    </xf>
    <xf numFmtId="0" fontId="4" fillId="15" borderId="56" xfId="0" applyFont="1" applyFill="1" applyBorder="1" applyAlignment="1" applyProtection="1">
      <alignment horizontal="center"/>
      <protection hidden="1"/>
    </xf>
    <xf numFmtId="0" fontId="4" fillId="15" borderId="57" xfId="0" applyFont="1" applyFill="1" applyBorder="1" applyAlignment="1" applyProtection="1">
      <alignment horizontal="center"/>
      <protection hidden="1"/>
    </xf>
    <xf numFmtId="0" fontId="4" fillId="15" borderId="41" xfId="0" applyFont="1" applyFill="1" applyBorder="1" applyAlignment="1" applyProtection="1">
      <alignment horizontal="center"/>
      <protection hidden="1"/>
    </xf>
    <xf numFmtId="0" fontId="6" fillId="6" borderId="65" xfId="0" applyFont="1" applyFill="1" applyBorder="1" applyAlignment="1" applyProtection="1">
      <alignment horizontal="center" vertical="center"/>
      <protection hidden="1"/>
    </xf>
    <xf numFmtId="0" fontId="6" fillId="6" borderId="22" xfId="0" applyFont="1" applyFill="1" applyBorder="1" applyAlignment="1" applyProtection="1">
      <alignment horizontal="center" vertical="center"/>
      <protection hidden="1"/>
    </xf>
    <xf numFmtId="0" fontId="15" fillId="7" borderId="2" xfId="0" applyFont="1" applyFill="1" applyBorder="1" applyAlignment="1" applyProtection="1">
      <alignment horizontal="center" vertical="center"/>
      <protection hidden="1"/>
    </xf>
    <xf numFmtId="0" fontId="15" fillId="7" borderId="29" xfId="0" applyFont="1" applyFill="1" applyBorder="1" applyAlignment="1" applyProtection="1">
      <alignment horizontal="center" vertical="center"/>
      <protection hidden="1"/>
    </xf>
    <xf numFmtId="0" fontId="15" fillId="7" borderId="3" xfId="0" applyFont="1" applyFill="1" applyBorder="1" applyAlignment="1" applyProtection="1">
      <alignment horizontal="center" vertical="center"/>
      <protection hidden="1"/>
    </xf>
    <xf numFmtId="0" fontId="14" fillId="6" borderId="4" xfId="0" applyFont="1" applyFill="1" applyBorder="1" applyAlignment="1" applyProtection="1">
      <alignment vertical="center"/>
      <protection hidden="1"/>
    </xf>
    <xf numFmtId="0" fontId="14" fillId="6" borderId="1" xfId="0" applyFont="1" applyFill="1" applyBorder="1" applyAlignment="1" applyProtection="1">
      <alignment vertical="center"/>
      <protection hidden="1"/>
    </xf>
    <xf numFmtId="0" fontId="8" fillId="0" borderId="4" xfId="0" applyFont="1" applyBorder="1" applyAlignment="1" applyProtection="1">
      <alignment horizontal="justify" vertical="justify"/>
      <protection hidden="1"/>
    </xf>
    <xf numFmtId="0" fontId="8" fillId="0" borderId="1" xfId="0" applyFont="1" applyBorder="1" applyAlignment="1" applyProtection="1">
      <alignment horizontal="justify" vertical="justify"/>
      <protection hidden="1"/>
    </xf>
    <xf numFmtId="0" fontId="17" fillId="0" borderId="1" xfId="0" applyFont="1" applyFill="1" applyBorder="1" applyAlignment="1" applyProtection="1">
      <alignment horizontal="center" vertical="center"/>
      <protection hidden="1"/>
    </xf>
    <xf numFmtId="0" fontId="25" fillId="6" borderId="42" xfId="0" applyFont="1" applyFill="1" applyBorder="1" applyAlignment="1" applyProtection="1">
      <alignment horizontal="left" vertical="center"/>
      <protection hidden="1"/>
    </xf>
    <xf numFmtId="0" fontId="25" fillId="6" borderId="26" xfId="0" applyFont="1" applyFill="1" applyBorder="1" applyAlignment="1" applyProtection="1">
      <alignment horizontal="left" vertical="center"/>
      <protection hidden="1"/>
    </xf>
    <xf numFmtId="167" fontId="5" fillId="5" borderId="43" xfId="5" applyNumberFormat="1" applyFont="1" applyFill="1" applyBorder="1" applyAlignment="1" applyProtection="1">
      <alignment horizontal="center" vertical="center"/>
      <protection locked="0"/>
    </xf>
    <xf numFmtId="167" fontId="5" fillId="5" borderId="55" xfId="5" applyNumberFormat="1" applyFont="1" applyFill="1" applyBorder="1" applyAlignment="1" applyProtection="1">
      <alignment horizontal="center" vertical="center"/>
      <protection locked="0"/>
    </xf>
    <xf numFmtId="167" fontId="5" fillId="5" borderId="32" xfId="5" applyNumberFormat="1" applyFont="1" applyFill="1" applyBorder="1" applyAlignment="1" applyProtection="1">
      <alignment horizontal="center" vertical="center"/>
      <protection locked="0"/>
    </xf>
    <xf numFmtId="0" fontId="3" fillId="6" borderId="42" xfId="0" applyFont="1" applyFill="1" applyBorder="1" applyAlignment="1" applyProtection="1">
      <alignment horizontal="left" vertical="center"/>
      <protection hidden="1"/>
    </xf>
    <xf numFmtId="0" fontId="3" fillId="6" borderId="40" xfId="0" applyFont="1" applyFill="1" applyBorder="1" applyAlignment="1" applyProtection="1">
      <alignment horizontal="left" vertical="center"/>
      <protection hidden="1"/>
    </xf>
    <xf numFmtId="0" fontId="3" fillId="6" borderId="26" xfId="0" applyFont="1" applyFill="1" applyBorder="1" applyAlignment="1" applyProtection="1">
      <alignment horizontal="left" vertical="center"/>
      <protection hidden="1"/>
    </xf>
    <xf numFmtId="167" fontId="8" fillId="0" borderId="43" xfId="5" applyNumberFormat="1" applyFont="1" applyFill="1" applyBorder="1" applyAlignment="1" applyProtection="1">
      <alignment horizontal="center"/>
      <protection hidden="1"/>
    </xf>
    <xf numFmtId="167" fontId="8" fillId="0" borderId="32" xfId="5" applyNumberFormat="1" applyFont="1" applyFill="1" applyBorder="1" applyAlignment="1" applyProtection="1">
      <alignment horizontal="center"/>
      <protection hidden="1"/>
    </xf>
    <xf numFmtId="0" fontId="8" fillId="0" borderId="42" xfId="0" applyFont="1" applyBorder="1" applyAlignment="1" applyProtection="1">
      <alignment horizontal="justify" vertical="justify"/>
      <protection hidden="1"/>
    </xf>
    <xf numFmtId="0" fontId="8" fillId="0" borderId="40" xfId="0" applyFont="1" applyBorder="1" applyAlignment="1" applyProtection="1">
      <alignment horizontal="justify" vertical="justify"/>
      <protection hidden="1"/>
    </xf>
    <xf numFmtId="171" fontId="5" fillId="0" borderId="5" xfId="4" applyNumberFormat="1" applyFont="1" applyFill="1" applyBorder="1" applyAlignment="1" applyProtection="1">
      <alignment horizontal="center"/>
      <protection hidden="1"/>
    </xf>
    <xf numFmtId="171" fontId="5" fillId="0" borderId="7" xfId="4" applyNumberFormat="1" applyFont="1" applyFill="1" applyBorder="1" applyAlignment="1" applyProtection="1">
      <alignment horizontal="center"/>
      <protection hidden="1"/>
    </xf>
    <xf numFmtId="0" fontId="15" fillId="0" borderId="4" xfId="0" applyFont="1" applyBorder="1" applyAlignment="1" applyProtection="1">
      <alignment horizontal="left"/>
      <protection hidden="1"/>
    </xf>
    <xf numFmtId="0" fontId="15" fillId="0" borderId="1" xfId="0" applyFont="1" applyBorder="1" applyAlignment="1" applyProtection="1">
      <alignment horizontal="left"/>
      <protection hidden="1"/>
    </xf>
    <xf numFmtId="0" fontId="8" fillId="0" borderId="4" xfId="0" applyFont="1" applyBorder="1" applyAlignment="1" applyProtection="1">
      <alignment horizontal="left" indent="2"/>
      <protection hidden="1"/>
    </xf>
    <xf numFmtId="0" fontId="8" fillId="0" borderId="1" xfId="0" applyFont="1" applyBorder="1" applyAlignment="1" applyProtection="1">
      <alignment horizontal="left" indent="2"/>
      <protection hidden="1"/>
    </xf>
    <xf numFmtId="0" fontId="14" fillId="0" borderId="43" xfId="0" applyFont="1" applyFill="1" applyBorder="1" applyAlignment="1" applyProtection="1">
      <alignment horizontal="center"/>
      <protection hidden="1"/>
    </xf>
    <xf numFmtId="0" fontId="14" fillId="0" borderId="55" xfId="0" applyFont="1" applyFill="1" applyBorder="1" applyAlignment="1" applyProtection="1">
      <alignment horizontal="center"/>
      <protection hidden="1"/>
    </xf>
    <xf numFmtId="0" fontId="14" fillId="0" borderId="24" xfId="0" applyFont="1" applyFill="1" applyBorder="1" applyAlignment="1" applyProtection="1">
      <alignment horizontal="center"/>
      <protection hidden="1"/>
    </xf>
    <xf numFmtId="0" fontId="14" fillId="0" borderId="5" xfId="0" applyFont="1" applyFill="1" applyBorder="1" applyAlignment="1" applyProtection="1">
      <alignment horizontal="center"/>
      <protection hidden="1"/>
    </xf>
    <xf numFmtId="0" fontId="14" fillId="0" borderId="7" xfId="0" applyFont="1" applyFill="1" applyBorder="1" applyAlignment="1" applyProtection="1">
      <alignment horizontal="center"/>
      <protection hidden="1"/>
    </xf>
    <xf numFmtId="0" fontId="5" fillId="0" borderId="0" xfId="0" applyFont="1" applyFill="1" applyBorder="1" applyAlignment="1" applyProtection="1">
      <alignment horizontal="center"/>
      <protection hidden="1"/>
    </xf>
    <xf numFmtId="0" fontId="5" fillId="0" borderId="15" xfId="0" applyFont="1" applyFill="1" applyBorder="1" applyAlignment="1" applyProtection="1">
      <alignment horizontal="center"/>
      <protection hidden="1"/>
    </xf>
    <xf numFmtId="0" fontId="3" fillId="0" borderId="65" xfId="0" applyFont="1" applyFill="1" applyBorder="1" applyAlignment="1" applyProtection="1">
      <alignment horizontal="left" indent="2"/>
      <protection hidden="1"/>
    </xf>
    <xf numFmtId="0" fontId="3" fillId="0" borderId="22" xfId="0" applyFont="1" applyFill="1" applyBorder="1" applyAlignment="1" applyProtection="1">
      <alignment horizontal="left" indent="2"/>
      <protection hidden="1"/>
    </xf>
    <xf numFmtId="0" fontId="7" fillId="19" borderId="2" xfId="0" applyFont="1" applyFill="1" applyBorder="1" applyAlignment="1" applyProtection="1">
      <alignment horizontal="left"/>
      <protection hidden="1"/>
    </xf>
    <xf numFmtId="0" fontId="7" fillId="19" borderId="29" xfId="0" applyFont="1" applyFill="1" applyBorder="1" applyAlignment="1" applyProtection="1">
      <alignment horizontal="left"/>
      <protection hidden="1"/>
    </xf>
    <xf numFmtId="0" fontId="0" fillId="0" borderId="94" xfId="0" applyBorder="1" applyAlignment="1" applyProtection="1">
      <alignment horizontal="center"/>
      <protection locked="0"/>
    </xf>
    <xf numFmtId="0" fontId="6" fillId="6" borderId="56" xfId="0" applyFont="1" applyFill="1" applyBorder="1" applyAlignment="1" applyProtection="1">
      <alignment horizontal="center"/>
      <protection hidden="1"/>
    </xf>
    <xf numFmtId="0" fontId="6" fillId="6" borderId="57" xfId="0" applyFont="1" applyFill="1" applyBorder="1" applyAlignment="1" applyProtection="1">
      <alignment horizontal="center"/>
      <protection hidden="1"/>
    </xf>
    <xf numFmtId="0" fontId="3" fillId="6" borderId="56" xfId="0" applyFont="1" applyFill="1" applyBorder="1" applyAlignment="1" applyProtection="1">
      <alignment horizontal="left" vertical="center"/>
      <protection hidden="1"/>
    </xf>
    <xf numFmtId="0" fontId="3" fillId="6" borderId="57" xfId="0" applyFont="1" applyFill="1" applyBorder="1" applyAlignment="1" applyProtection="1">
      <alignment horizontal="left" vertical="center"/>
      <protection hidden="1"/>
    </xf>
    <xf numFmtId="0" fontId="3" fillId="6" borderId="59" xfId="0" applyFont="1" applyFill="1" applyBorder="1" applyAlignment="1" applyProtection="1">
      <alignment horizontal="left" vertical="center"/>
      <protection hidden="1"/>
    </xf>
    <xf numFmtId="0" fontId="4" fillId="8" borderId="16" xfId="0" applyFont="1" applyFill="1" applyBorder="1" applyAlignment="1" applyProtection="1">
      <alignment horizontal="right"/>
      <protection hidden="1"/>
    </xf>
    <xf numFmtId="0" fontId="4" fillId="8" borderId="17" xfId="0" applyFont="1" applyFill="1" applyBorder="1" applyAlignment="1" applyProtection="1">
      <alignment horizontal="right"/>
      <protection hidden="1"/>
    </xf>
    <xf numFmtId="0" fontId="4" fillId="8" borderId="19" xfId="0" applyFont="1" applyFill="1" applyBorder="1" applyAlignment="1" applyProtection="1">
      <alignment horizontal="right"/>
      <protection hidden="1"/>
    </xf>
    <xf numFmtId="0" fontId="14" fillId="6" borderId="42" xfId="0" applyFont="1" applyFill="1" applyBorder="1" applyAlignment="1" applyProtection="1">
      <alignment horizontal="right" vertical="center"/>
      <protection hidden="1"/>
    </xf>
    <xf numFmtId="0" fontId="14" fillId="6" borderId="40" xfId="0" applyFont="1" applyFill="1" applyBorder="1" applyAlignment="1" applyProtection="1">
      <alignment horizontal="right" vertical="center"/>
      <protection hidden="1"/>
    </xf>
    <xf numFmtId="0" fontId="14" fillId="6" borderId="26" xfId="0" applyFont="1" applyFill="1" applyBorder="1" applyAlignment="1" applyProtection="1">
      <alignment horizontal="right" vertical="center"/>
      <protection hidden="1"/>
    </xf>
    <xf numFmtId="0" fontId="3" fillId="6" borderId="4" xfId="0" applyFont="1" applyFill="1" applyBorder="1" applyAlignment="1" applyProtection="1">
      <alignment horizontal="left" vertical="center"/>
      <protection hidden="1"/>
    </xf>
    <xf numFmtId="0" fontId="3" fillId="6" borderId="1" xfId="0" applyFont="1" applyFill="1" applyBorder="1" applyAlignment="1" applyProtection="1">
      <alignment horizontal="left" vertical="center"/>
      <protection hidden="1"/>
    </xf>
    <xf numFmtId="0" fontId="5" fillId="5" borderId="4" xfId="0" applyFont="1" applyFill="1" applyBorder="1" applyAlignment="1" applyProtection="1">
      <alignment horizontal="left"/>
      <protection locked="0"/>
    </xf>
    <xf numFmtId="0" fontId="5" fillId="5" borderId="1" xfId="0" applyFont="1" applyFill="1" applyBorder="1" applyAlignment="1" applyProtection="1">
      <alignment horizontal="left"/>
      <protection locked="0"/>
    </xf>
    <xf numFmtId="0" fontId="14" fillId="6" borderId="60" xfId="0" applyFont="1" applyFill="1" applyBorder="1" applyAlignment="1" applyProtection="1">
      <alignment horizontal="right" vertical="center"/>
      <protection hidden="1"/>
    </xf>
    <xf numFmtId="0" fontId="14" fillId="6" borderId="61" xfId="0" applyFont="1" applyFill="1" applyBorder="1" applyAlignment="1" applyProtection="1">
      <alignment horizontal="right" vertical="center"/>
      <protection hidden="1"/>
    </xf>
    <xf numFmtId="0" fontId="14" fillId="6" borderId="62" xfId="0" applyFont="1" applyFill="1" applyBorder="1" applyAlignment="1" applyProtection="1">
      <alignment horizontal="right" vertical="center"/>
      <protection hidden="1"/>
    </xf>
    <xf numFmtId="0" fontId="2" fillId="6" borderId="2" xfId="0" applyFont="1" applyFill="1" applyBorder="1" applyAlignment="1" applyProtection="1">
      <alignment horizontal="left"/>
      <protection hidden="1"/>
    </xf>
    <xf numFmtId="0" fontId="0" fillId="6" borderId="29" xfId="0" applyFill="1" applyBorder="1" applyAlignment="1" applyProtection="1">
      <alignment horizontal="left"/>
      <protection hidden="1"/>
    </xf>
    <xf numFmtId="0" fontId="0" fillId="0" borderId="131" xfId="0" applyBorder="1" applyAlignment="1" applyProtection="1">
      <alignment horizontal="left" vertical="center"/>
      <protection hidden="1"/>
    </xf>
    <xf numFmtId="0" fontId="0" fillId="0" borderId="18" xfId="0" applyBorder="1" applyAlignment="1" applyProtection="1">
      <alignment horizontal="left" vertical="center"/>
      <protection hidden="1"/>
    </xf>
    <xf numFmtId="0" fontId="2" fillId="0" borderId="31" xfId="0" applyFont="1" applyBorder="1" applyAlignment="1" applyProtection="1">
      <alignment horizontal="justify" vertical="justify"/>
      <protection hidden="1"/>
    </xf>
    <xf numFmtId="9" fontId="8" fillId="6" borderId="4" xfId="0" applyNumberFormat="1" applyFont="1" applyFill="1" applyBorder="1" applyAlignment="1" applyProtection="1">
      <alignment horizontal="left" vertical="center"/>
      <protection hidden="1"/>
    </xf>
    <xf numFmtId="9" fontId="8" fillId="6" borderId="1" xfId="0" applyNumberFormat="1" applyFont="1" applyFill="1" applyBorder="1" applyAlignment="1" applyProtection="1">
      <alignment horizontal="left" vertical="center"/>
      <protection hidden="1"/>
    </xf>
    <xf numFmtId="0" fontId="25" fillId="0" borderId="31" xfId="0" applyFont="1" applyBorder="1" applyAlignment="1">
      <alignment horizontal="left" vertical="justify"/>
    </xf>
    <xf numFmtId="0" fontId="25" fillId="0" borderId="131" xfId="0" applyFont="1" applyBorder="1" applyAlignment="1">
      <alignment horizontal="left" vertical="justify"/>
    </xf>
    <xf numFmtId="0" fontId="0" fillId="0" borderId="31" xfId="0" applyBorder="1" applyAlignment="1">
      <alignment horizontal="left" vertical="center"/>
    </xf>
    <xf numFmtId="0" fontId="0" fillId="0" borderId="131" xfId="0" applyBorder="1" applyAlignment="1">
      <alignment horizontal="left" vertical="center"/>
    </xf>
    <xf numFmtId="0" fontId="20" fillId="0" borderId="4" xfId="0" applyFont="1" applyBorder="1" applyAlignment="1" applyProtection="1">
      <alignment horizontal="justify" vertical="center"/>
      <protection hidden="1"/>
    </xf>
    <xf numFmtId="0" fontId="20" fillId="0" borderId="1" xfId="0" applyFont="1" applyBorder="1" applyAlignment="1" applyProtection="1">
      <alignment horizontal="justify" vertical="center"/>
      <protection hidden="1"/>
    </xf>
    <xf numFmtId="0" fontId="20" fillId="0" borderId="6" xfId="0" applyFont="1" applyBorder="1" applyAlignment="1" applyProtection="1">
      <alignment horizontal="justify" vertical="center"/>
      <protection hidden="1"/>
    </xf>
    <xf numFmtId="0" fontId="20" fillId="0" borderId="27" xfId="0" applyFont="1" applyBorder="1" applyAlignment="1" applyProtection="1">
      <alignment horizontal="justify" vertical="center"/>
      <protection hidden="1"/>
    </xf>
    <xf numFmtId="167" fontId="10" fillId="6" borderId="5" xfId="5" applyNumberFormat="1" applyFont="1" applyFill="1" applyBorder="1" applyAlignment="1" applyProtection="1">
      <alignment horizontal="center"/>
      <protection hidden="1"/>
    </xf>
    <xf numFmtId="167" fontId="10" fillId="6" borderId="7" xfId="5" applyNumberFormat="1" applyFont="1" applyFill="1" applyBorder="1" applyAlignment="1" applyProtection="1">
      <alignment horizontal="center"/>
      <protection hidden="1"/>
    </xf>
    <xf numFmtId="0" fontId="2" fillId="6" borderId="4" xfId="0" applyFont="1" applyFill="1" applyBorder="1" applyAlignment="1" applyProtection="1">
      <alignment horizontal="left"/>
      <protection hidden="1"/>
    </xf>
    <xf numFmtId="0" fontId="0" fillId="6" borderId="1" xfId="0" applyFill="1" applyBorder="1" applyAlignment="1" applyProtection="1">
      <alignment horizontal="left"/>
      <protection hidden="1"/>
    </xf>
    <xf numFmtId="0" fontId="3" fillId="0" borderId="60" xfId="0" applyFont="1" applyFill="1" applyBorder="1" applyAlignment="1" applyProtection="1">
      <alignment horizontal="left"/>
      <protection hidden="1"/>
    </xf>
    <xf numFmtId="0" fontId="3" fillId="0" borderId="61" xfId="0" applyFont="1" applyFill="1" applyBorder="1" applyAlignment="1" applyProtection="1">
      <alignment horizontal="left"/>
      <protection hidden="1"/>
    </xf>
    <xf numFmtId="0" fontId="3" fillId="0" borderId="62" xfId="0" applyFont="1" applyFill="1" applyBorder="1" applyAlignment="1" applyProtection="1">
      <alignment horizontal="left"/>
      <protection hidden="1"/>
    </xf>
    <xf numFmtId="0" fontId="3" fillId="0" borderId="12" xfId="0" applyFont="1" applyFill="1" applyBorder="1" applyAlignment="1" applyProtection="1">
      <alignment horizontal="center"/>
      <protection hidden="1"/>
    </xf>
    <xf numFmtId="0" fontId="4" fillId="19" borderId="2" xfId="0" applyFont="1" applyFill="1" applyBorder="1" applyAlignment="1" applyProtection="1">
      <alignment horizontal="left"/>
      <protection hidden="1"/>
    </xf>
    <xf numFmtId="0" fontId="4" fillId="19" borderId="29" xfId="0" applyFont="1" applyFill="1" applyBorder="1" applyAlignment="1" applyProtection="1">
      <alignment horizontal="left"/>
      <protection hidden="1"/>
    </xf>
    <xf numFmtId="0" fontId="25" fillId="0" borderId="42" xfId="0" applyFont="1" applyBorder="1" applyAlignment="1" applyProtection="1">
      <alignment horizontal="left" vertical="center"/>
      <protection hidden="1"/>
    </xf>
    <xf numFmtId="0" fontId="25" fillId="0" borderId="26" xfId="0" applyFont="1" applyBorder="1" applyAlignment="1" applyProtection="1">
      <alignment horizontal="left" vertical="center"/>
      <protection hidden="1"/>
    </xf>
    <xf numFmtId="0" fontId="6" fillId="6" borderId="59" xfId="0" applyFont="1" applyFill="1" applyBorder="1" applyAlignment="1" applyProtection="1">
      <alignment horizontal="center"/>
      <protection hidden="1"/>
    </xf>
    <xf numFmtId="0" fontId="8" fillId="6" borderId="60" xfId="0" applyFont="1" applyFill="1" applyBorder="1" applyAlignment="1" applyProtection="1">
      <alignment horizontal="left" vertical="center" wrapText="1"/>
      <protection hidden="1"/>
    </xf>
    <xf numFmtId="0" fontId="8" fillId="6" borderId="61" xfId="0" applyFont="1" applyFill="1" applyBorder="1" applyAlignment="1" applyProtection="1">
      <alignment horizontal="left" vertical="center" wrapText="1"/>
      <protection hidden="1"/>
    </xf>
    <xf numFmtId="0" fontId="8" fillId="6" borderId="62" xfId="0" applyFont="1" applyFill="1" applyBorder="1" applyAlignment="1" applyProtection="1">
      <alignment horizontal="left" vertical="center" wrapText="1"/>
      <protection hidden="1"/>
    </xf>
    <xf numFmtId="0" fontId="8" fillId="5" borderId="1" xfId="0" applyFont="1" applyFill="1" applyBorder="1" applyAlignment="1" applyProtection="1">
      <alignment horizontal="left" vertical="justify"/>
      <protection locked="0"/>
    </xf>
    <xf numFmtId="0" fontId="25" fillId="0" borderId="4" xfId="0" applyFont="1" applyBorder="1" applyAlignment="1" applyProtection="1">
      <alignment horizontal="left" vertical="center"/>
      <protection hidden="1"/>
    </xf>
    <xf numFmtId="0" fontId="25" fillId="0" borderId="1" xfId="0" applyFont="1" applyBorder="1" applyAlignment="1" applyProtection="1">
      <alignment horizontal="left" vertical="center"/>
      <protection hidden="1"/>
    </xf>
    <xf numFmtId="0" fontId="7" fillId="0" borderId="11" xfId="0" applyFont="1" applyFill="1" applyBorder="1" applyAlignment="1" applyProtection="1">
      <alignment horizontal="center"/>
      <protection hidden="1"/>
    </xf>
    <xf numFmtId="0" fontId="7" fillId="0" borderId="12" xfId="0" applyFont="1" applyFill="1" applyBorder="1" applyAlignment="1" applyProtection="1">
      <alignment horizontal="center"/>
      <protection hidden="1"/>
    </xf>
    <xf numFmtId="0" fontId="7" fillId="0" borderId="13" xfId="0" applyFont="1" applyFill="1" applyBorder="1" applyAlignment="1" applyProtection="1">
      <alignment horizontal="center"/>
      <protection hidden="1"/>
    </xf>
    <xf numFmtId="0" fontId="8" fillId="0" borderId="52" xfId="0" applyFont="1" applyBorder="1" applyAlignment="1" applyProtection="1">
      <alignment horizontal="center" vertical="justify"/>
      <protection hidden="1"/>
    </xf>
    <xf numFmtId="0" fontId="8" fillId="0" borderId="65" xfId="0" applyFont="1" applyBorder="1" applyAlignment="1" applyProtection="1">
      <alignment horizontal="center" vertical="justify"/>
      <protection hidden="1"/>
    </xf>
    <xf numFmtId="167" fontId="0" fillId="0" borderId="43" xfId="0" applyNumberFormat="1" applyBorder="1" applyAlignment="1" applyProtection="1">
      <alignment horizontal="center"/>
      <protection hidden="1"/>
    </xf>
    <xf numFmtId="167" fontId="0" fillId="0" borderId="55" xfId="0" applyNumberFormat="1" applyBorder="1" applyAlignment="1" applyProtection="1">
      <alignment horizontal="center"/>
      <protection hidden="1"/>
    </xf>
    <xf numFmtId="167" fontId="0" fillId="0" borderId="24" xfId="0" applyNumberFormat="1" applyBorder="1" applyAlignment="1" applyProtection="1">
      <alignment horizontal="center"/>
      <protection hidden="1"/>
    </xf>
    <xf numFmtId="0" fontId="25" fillId="0" borderId="42" xfId="0" applyFont="1" applyBorder="1" applyAlignment="1" applyProtection="1">
      <alignment horizontal="justify" vertical="center"/>
      <protection hidden="1"/>
    </xf>
    <xf numFmtId="0" fontId="25" fillId="0" borderId="26" xfId="0" applyFont="1" applyBorder="1" applyAlignment="1" applyProtection="1">
      <alignment horizontal="justify" vertical="center"/>
      <protection hidden="1"/>
    </xf>
    <xf numFmtId="0" fontId="3" fillId="0" borderId="61" xfId="0" applyFont="1" applyFill="1" applyBorder="1" applyAlignment="1" applyProtection="1">
      <alignment horizontal="center"/>
      <protection hidden="1"/>
    </xf>
    <xf numFmtId="0" fontId="6" fillId="0" borderId="42" xfId="0" applyFont="1" applyFill="1" applyBorder="1" applyAlignment="1" applyProtection="1">
      <alignment horizontal="left"/>
      <protection hidden="1"/>
    </xf>
    <xf numFmtId="0" fontId="6" fillId="0" borderId="26" xfId="0" applyFont="1" applyFill="1" applyBorder="1" applyAlignment="1" applyProtection="1">
      <alignment horizontal="left"/>
      <protection hidden="1"/>
    </xf>
    <xf numFmtId="0" fontId="25" fillId="0" borderId="42" xfId="0" applyFont="1" applyBorder="1" applyAlignment="1" applyProtection="1">
      <alignment horizontal="justify" vertical="justify"/>
      <protection hidden="1"/>
    </xf>
    <xf numFmtId="0" fontId="25" fillId="0" borderId="26" xfId="0" applyFont="1" applyBorder="1" applyAlignment="1" applyProtection="1">
      <alignment horizontal="justify" vertical="justify"/>
      <protection hidden="1"/>
    </xf>
    <xf numFmtId="0" fontId="5" fillId="0" borderId="109" xfId="0" applyFont="1" applyBorder="1" applyAlignment="1">
      <alignment horizontal="center"/>
    </xf>
    <xf numFmtId="0" fontId="5" fillId="0" borderId="0" xfId="0" applyFont="1" applyBorder="1" applyAlignment="1">
      <alignment horizontal="center"/>
    </xf>
    <xf numFmtId="0" fontId="3" fillId="0" borderId="0" xfId="0" applyFont="1" applyBorder="1" applyAlignment="1">
      <alignment horizontal="left"/>
    </xf>
    <xf numFmtId="0" fontId="9" fillId="0" borderId="113" xfId="0" applyFont="1" applyBorder="1" applyAlignment="1">
      <alignment horizontal="center"/>
    </xf>
    <xf numFmtId="0" fontId="9" fillId="0" borderId="114" xfId="0" applyFont="1" applyBorder="1" applyAlignment="1">
      <alignment horizontal="center"/>
    </xf>
    <xf numFmtId="0" fontId="9" fillId="0" borderId="115" xfId="0" applyFont="1" applyBorder="1" applyAlignment="1">
      <alignment horizontal="center"/>
    </xf>
    <xf numFmtId="0" fontId="15" fillId="0" borderId="116" xfId="0" applyFont="1" applyFill="1" applyBorder="1" applyAlignment="1">
      <alignment horizontal="center"/>
    </xf>
    <xf numFmtId="0" fontId="15" fillId="0" borderId="117" xfId="0" applyFont="1" applyFill="1" applyBorder="1" applyAlignment="1">
      <alignment horizontal="center"/>
    </xf>
    <xf numFmtId="0" fontId="15" fillId="0" borderId="118" xfId="0" applyFont="1" applyFill="1" applyBorder="1" applyAlignment="1">
      <alignment horizontal="center"/>
    </xf>
    <xf numFmtId="0" fontId="5" fillId="12" borderId="0" xfId="0" applyFont="1" applyFill="1" applyBorder="1" applyAlignment="1">
      <alignment horizontal="left"/>
    </xf>
    <xf numFmtId="0" fontId="5" fillId="0" borderId="109" xfId="0" applyFont="1" applyFill="1" applyBorder="1" applyAlignment="1">
      <alignment horizontal="left"/>
    </xf>
    <xf numFmtId="0" fontId="5" fillId="0" borderId="106" xfId="0" applyFont="1" applyFill="1" applyBorder="1" applyAlignment="1">
      <alignment horizontal="left"/>
    </xf>
    <xf numFmtId="9" fontId="9" fillId="0" borderId="4" xfId="0" applyNumberFormat="1" applyFont="1" applyBorder="1" applyAlignment="1">
      <alignment horizontal="left" vertical="center"/>
    </xf>
    <xf numFmtId="0" fontId="8" fillId="0" borderId="1" xfId="0" applyFont="1" applyBorder="1"/>
    <xf numFmtId="0" fontId="14" fillId="12" borderId="109" xfId="0" applyFont="1" applyFill="1" applyBorder="1" applyAlignment="1">
      <alignment horizontal="left"/>
    </xf>
    <xf numFmtId="0" fontId="14" fillId="12" borderId="0" xfId="0" applyFont="1" applyFill="1" applyBorder="1" applyAlignment="1">
      <alignment horizontal="left"/>
    </xf>
    <xf numFmtId="0" fontId="14" fillId="12" borderId="106" xfId="0" applyFont="1" applyFill="1" applyBorder="1" applyAlignment="1">
      <alignment horizontal="left"/>
    </xf>
    <xf numFmtId="0" fontId="5" fillId="12" borderId="106" xfId="0" applyFont="1" applyFill="1" applyBorder="1" applyAlignment="1">
      <alignment horizontal="left"/>
    </xf>
    <xf numFmtId="0" fontId="6" fillId="12" borderId="110" xfId="0" applyFont="1" applyFill="1" applyBorder="1" applyAlignment="1">
      <alignment horizontal="center"/>
    </xf>
    <xf numFmtId="0" fontId="6" fillId="12" borderId="111" xfId="0" applyFont="1" applyFill="1" applyBorder="1" applyAlignment="1">
      <alignment horizontal="center"/>
    </xf>
    <xf numFmtId="0" fontId="6" fillId="12" borderId="112" xfId="0" applyFont="1" applyFill="1" applyBorder="1" applyAlignment="1">
      <alignment horizontal="center"/>
    </xf>
    <xf numFmtId="171" fontId="64" fillId="6" borderId="0" xfId="4" applyNumberFormat="1" applyFont="1" applyFill="1" applyBorder="1" applyAlignment="1">
      <alignment horizontal="left" vertical="center"/>
    </xf>
    <xf numFmtId="0" fontId="10" fillId="0" borderId="2" xfId="0" applyFont="1" applyBorder="1" applyAlignment="1">
      <alignment horizontal="center"/>
    </xf>
    <xf numFmtId="0" fontId="0" fillId="0" borderId="3" xfId="0" applyBorder="1" applyAlignment="1">
      <alignment horizontal="center"/>
    </xf>
    <xf numFmtId="2" fontId="0" fillId="0" borderId="6" xfId="0" applyNumberFormat="1" applyBorder="1" applyAlignment="1">
      <alignment horizontal="center"/>
    </xf>
    <xf numFmtId="2" fontId="0" fillId="0" borderId="7" xfId="0" applyNumberFormat="1" applyBorder="1" applyAlignment="1">
      <alignment horizontal="center"/>
    </xf>
    <xf numFmtId="0" fontId="6" fillId="0" borderId="25" xfId="0" applyFont="1" applyBorder="1" applyAlignment="1">
      <alignment horizontal="center" vertical="center"/>
    </xf>
    <xf numFmtId="0" fontId="6" fillId="0" borderId="40" xfId="0" applyFont="1" applyBorder="1" applyAlignment="1">
      <alignment horizontal="center" vertical="center"/>
    </xf>
    <xf numFmtId="0" fontId="6" fillId="0" borderId="26" xfId="0" applyFont="1" applyBorder="1" applyAlignment="1">
      <alignment horizontal="center" vertical="center"/>
    </xf>
    <xf numFmtId="0" fontId="8" fillId="10" borderId="1" xfId="0" applyFont="1" applyFill="1" applyBorder="1" applyAlignment="1">
      <alignment horizontal="center"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3" fillId="5" borderId="51" xfId="0" applyFont="1" applyFill="1" applyBorder="1" applyAlignment="1">
      <alignment horizontal="center"/>
    </xf>
    <xf numFmtId="0" fontId="6" fillId="0" borderId="0" xfId="0" applyFont="1" applyBorder="1" applyAlignment="1" applyProtection="1">
      <alignment horizontal="center" vertical="center" textRotation="90"/>
      <protection hidden="1"/>
    </xf>
    <xf numFmtId="0" fontId="76" fillId="22" borderId="0" xfId="0" applyFont="1" applyFill="1" applyBorder="1" applyAlignment="1" applyProtection="1">
      <alignment horizontal="left"/>
      <protection hidden="1"/>
    </xf>
    <xf numFmtId="0" fontId="0" fillId="18" borderId="0" xfId="0" applyFill="1" applyBorder="1" applyAlignment="1" applyProtection="1">
      <alignment horizontal="center"/>
      <protection hidden="1"/>
    </xf>
    <xf numFmtId="0" fontId="4" fillId="0" borderId="0" xfId="0" applyFont="1" applyAlignment="1">
      <alignment horizontal="center" vertical="center" textRotation="90"/>
    </xf>
    <xf numFmtId="0" fontId="6" fillId="18" borderId="0" xfId="0" applyFont="1" applyFill="1" applyBorder="1" applyAlignment="1" applyProtection="1">
      <alignment horizontal="center"/>
      <protection hidden="1"/>
    </xf>
    <xf numFmtId="171" fontId="8" fillId="18" borderId="0" xfId="4" applyNumberFormat="1" applyFont="1" applyFill="1" applyBorder="1" applyAlignment="1" applyProtection="1">
      <alignment horizontal="center"/>
      <protection hidden="1"/>
    </xf>
    <xf numFmtId="0" fontId="6" fillId="22" borderId="0" xfId="0" applyFont="1" applyFill="1" applyBorder="1" applyAlignment="1" applyProtection="1">
      <alignment wrapText="1"/>
      <protection hidden="1"/>
    </xf>
    <xf numFmtId="0" fontId="6" fillId="22" borderId="0" xfId="0" applyFont="1" applyFill="1" applyAlignment="1">
      <alignment horizontal="justify" vertical="center"/>
    </xf>
    <xf numFmtId="0" fontId="6" fillId="0" borderId="2" xfId="0" applyFont="1" applyBorder="1" applyAlignment="1">
      <alignment horizontal="center"/>
    </xf>
    <xf numFmtId="0" fontId="6" fillId="0" borderId="29" xfId="0" applyFont="1" applyBorder="1" applyAlignment="1">
      <alignment horizontal="center"/>
    </xf>
    <xf numFmtId="0" fontId="6" fillId="0" borderId="3" xfId="0" applyFont="1" applyBorder="1" applyAlignment="1">
      <alignment horizontal="center"/>
    </xf>
    <xf numFmtId="0" fontId="3" fillId="10" borderId="4" xfId="0" applyFont="1" applyFill="1" applyBorder="1" applyAlignment="1">
      <alignment horizontal="center"/>
    </xf>
    <xf numFmtId="0" fontId="4" fillId="0" borderId="25" xfId="0" applyFont="1" applyBorder="1" applyAlignment="1">
      <alignment horizontal="left"/>
    </xf>
    <xf numFmtId="0" fontId="4" fillId="0" borderId="37" xfId="0" applyFont="1" applyBorder="1" applyAlignment="1">
      <alignment horizontal="left"/>
    </xf>
    <xf numFmtId="0" fontId="3" fillId="5" borderId="31" xfId="0" applyFont="1" applyFill="1" applyBorder="1" applyAlignment="1">
      <alignment horizontal="center"/>
    </xf>
    <xf numFmtId="0" fontId="3" fillId="5" borderId="38" xfId="0" applyFont="1" applyFill="1" applyBorder="1" applyAlignment="1">
      <alignment horizontal="center"/>
    </xf>
    <xf numFmtId="0" fontId="4" fillId="10" borderId="0" xfId="0" applyFont="1" applyFill="1" applyBorder="1" applyAlignment="1">
      <alignment horizontal="center" vertical="center" textRotation="90"/>
    </xf>
    <xf numFmtId="0" fontId="7" fillId="0" borderId="14" xfId="0" applyFont="1" applyBorder="1" applyAlignment="1" applyProtection="1">
      <alignment horizontal="center" vertical="center" textRotation="90"/>
      <protection hidden="1"/>
    </xf>
    <xf numFmtId="0" fontId="7" fillId="0" borderId="16" xfId="0" applyFont="1" applyBorder="1" applyAlignment="1" applyProtection="1">
      <alignment horizontal="center" vertical="center" textRotation="90"/>
      <protection hidden="1"/>
    </xf>
    <xf numFmtId="0" fontId="15" fillId="22" borderId="0" xfId="0" applyFont="1" applyFill="1" applyBorder="1" applyAlignment="1">
      <alignment horizontal="left" vertical="justify"/>
    </xf>
    <xf numFmtId="0" fontId="8" fillId="0" borderId="0" xfId="0" applyFont="1" applyBorder="1" applyAlignment="1">
      <alignment horizontal="center" textRotation="90"/>
    </xf>
    <xf numFmtId="0" fontId="6" fillId="0" borderId="0" xfId="0" applyFont="1" applyBorder="1" applyAlignment="1" applyProtection="1">
      <alignment horizontal="left"/>
      <protection hidden="1"/>
    </xf>
    <xf numFmtId="0" fontId="6" fillId="22" borderId="17" xfId="0" applyFont="1" applyFill="1" applyBorder="1" applyAlignment="1">
      <alignment horizontal="left" vertical="center"/>
    </xf>
    <xf numFmtId="0" fontId="0" fillId="18" borderId="15" xfId="0" applyFill="1" applyBorder="1" applyAlignment="1" applyProtection="1">
      <alignment horizontal="center"/>
      <protection hidden="1"/>
    </xf>
    <xf numFmtId="0" fontId="0" fillId="0" borderId="15" xfId="0" applyBorder="1" applyAlignment="1">
      <alignment horizontal="center"/>
    </xf>
    <xf numFmtId="0" fontId="0" fillId="18" borderId="0" xfId="0" applyFill="1" applyBorder="1" applyAlignment="1">
      <alignment horizontal="center"/>
    </xf>
    <xf numFmtId="0" fontId="0" fillId="18" borderId="15" xfId="0" applyFill="1" applyBorder="1" applyAlignment="1">
      <alignment horizontal="center"/>
    </xf>
    <xf numFmtId="0" fontId="14" fillId="22" borderId="0" xfId="0" applyFont="1" applyFill="1" applyBorder="1" applyAlignment="1" applyProtection="1">
      <alignment horizontal="left"/>
      <protection hidden="1"/>
    </xf>
    <xf numFmtId="171" fontId="8" fillId="18" borderId="15" xfId="4" applyNumberFormat="1" applyFont="1" applyFill="1" applyBorder="1" applyAlignment="1" applyProtection="1">
      <alignment horizontal="center"/>
      <protection hidden="1"/>
    </xf>
    <xf numFmtId="0" fontId="20" fillId="0" borderId="0" xfId="0" applyFont="1" applyBorder="1" applyAlignment="1">
      <alignment horizontal="center" vertical="center"/>
    </xf>
    <xf numFmtId="0" fontId="75" fillId="0" borderId="0" xfId="0" applyFont="1" applyBorder="1" applyAlignment="1">
      <alignment horizontal="center" vertical="center" textRotation="90"/>
    </xf>
    <xf numFmtId="0" fontId="6" fillId="22" borderId="0" xfId="0" applyFont="1" applyFill="1" applyBorder="1" applyAlignment="1" applyProtection="1">
      <alignment horizontal="left"/>
      <protection hidden="1"/>
    </xf>
    <xf numFmtId="0" fontId="92" fillId="22" borderId="0" xfId="0" applyFont="1" applyFill="1" applyBorder="1" applyAlignment="1" applyProtection="1">
      <alignment horizontal="left" vertical="justify"/>
      <protection hidden="1"/>
    </xf>
    <xf numFmtId="0" fontId="3" fillId="10" borderId="1" xfId="0" applyFont="1" applyFill="1" applyBorder="1" applyAlignment="1">
      <alignment horizontal="center" vertical="center"/>
    </xf>
    <xf numFmtId="0" fontId="7" fillId="0" borderId="0" xfId="0" applyFont="1" applyBorder="1" applyAlignment="1" applyProtection="1">
      <alignment horizontal="center" vertical="center" textRotation="90"/>
      <protection hidden="1"/>
    </xf>
    <xf numFmtId="0" fontId="6" fillId="0" borderId="0" xfId="0" applyFont="1" applyFill="1" applyBorder="1" applyAlignment="1" applyProtection="1">
      <alignment horizontal="center"/>
      <protection hidden="1"/>
    </xf>
    <xf numFmtId="0" fontId="15" fillId="22" borderId="0" xfId="0" applyFont="1" applyFill="1" applyAlignment="1">
      <alignment horizontal="justify"/>
    </xf>
    <xf numFmtId="171" fontId="8" fillId="0" borderId="0" xfId="4" applyNumberFormat="1" applyFont="1" applyFill="1" applyBorder="1" applyAlignment="1" applyProtection="1">
      <alignment horizontal="center"/>
      <protection hidden="1"/>
    </xf>
    <xf numFmtId="0" fontId="8" fillId="0" borderId="0" xfId="0" applyFont="1" applyAlignment="1">
      <alignment horizontal="center" textRotation="90"/>
    </xf>
    <xf numFmtId="0" fontId="6" fillId="22" borderId="0" xfId="0" applyFont="1" applyFill="1" applyAlignment="1">
      <alignment horizontal="left" vertical="justify"/>
    </xf>
    <xf numFmtId="0" fontId="6" fillId="22" borderId="0" xfId="0" applyFont="1" applyFill="1" applyAlignment="1">
      <alignment vertical="justify"/>
    </xf>
    <xf numFmtId="0" fontId="4" fillId="10" borderId="0" xfId="0" applyFont="1" applyFill="1" applyAlignment="1">
      <alignment horizontal="center" vertical="center" textRotation="90"/>
    </xf>
    <xf numFmtId="0" fontId="4" fillId="10" borderId="0" xfId="0" applyFont="1" applyFill="1" applyAlignment="1">
      <alignment horizontal="center" textRotation="90"/>
    </xf>
    <xf numFmtId="0" fontId="0" fillId="0" borderId="0" xfId="0" applyFill="1" applyBorder="1" applyAlignment="1" applyProtection="1">
      <alignment horizontal="center" vertical="center"/>
      <protection hidden="1"/>
    </xf>
    <xf numFmtId="0" fontId="15" fillId="22" borderId="14" xfId="0" applyFont="1" applyFill="1" applyBorder="1" applyAlignment="1">
      <alignment horizontal="left" vertical="justify" wrapText="1"/>
    </xf>
    <xf numFmtId="0" fontId="6" fillId="22" borderId="14" xfId="0" applyFont="1" applyFill="1" applyBorder="1" applyAlignment="1">
      <alignment horizontal="left" vertical="justify"/>
    </xf>
    <xf numFmtId="0" fontId="6" fillId="22" borderId="0" xfId="0" applyFont="1" applyFill="1" applyBorder="1" applyAlignment="1">
      <alignment horizontal="left" vertical="justify"/>
    </xf>
    <xf numFmtId="0" fontId="6" fillId="22" borderId="14" xfId="0" applyFont="1" applyFill="1" applyBorder="1" applyAlignment="1">
      <alignment vertical="justify" wrapText="1"/>
    </xf>
    <xf numFmtId="0" fontId="6" fillId="22" borderId="0" xfId="0" applyFont="1" applyFill="1" applyBorder="1" applyAlignment="1">
      <alignment vertical="justify"/>
    </xf>
    <xf numFmtId="0" fontId="15" fillId="22" borderId="16" xfId="0" applyFont="1" applyFill="1" applyBorder="1" applyAlignment="1">
      <alignment horizontal="justify" vertical="justify"/>
    </xf>
    <xf numFmtId="0" fontId="15" fillId="22" borderId="17" xfId="0" applyFont="1" applyFill="1" applyBorder="1" applyAlignment="1">
      <alignment horizontal="justify" vertical="justify"/>
    </xf>
    <xf numFmtId="0" fontId="6" fillId="22" borderId="14" xfId="0" applyFont="1" applyFill="1" applyBorder="1" applyAlignment="1">
      <alignment horizontal="center" vertical="justify"/>
    </xf>
    <xf numFmtId="0" fontId="6" fillId="22" borderId="0" xfId="0" applyFont="1" applyFill="1" applyBorder="1" applyAlignment="1">
      <alignment horizontal="center" vertical="justify"/>
    </xf>
    <xf numFmtId="0" fontId="4" fillId="0" borderId="37" xfId="0" applyFont="1" applyBorder="1" applyAlignment="1">
      <alignment horizontal="left" vertical="center"/>
    </xf>
    <xf numFmtId="0" fontId="0" fillId="0" borderId="15" xfId="0" applyFill="1" applyBorder="1" applyAlignment="1" applyProtection="1">
      <alignment horizontal="center" vertical="center"/>
      <protection hidden="1"/>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41" xfId="0" applyFont="1" applyBorder="1" applyAlignment="1">
      <alignment horizontal="center" vertical="center"/>
    </xf>
    <xf numFmtId="0" fontId="3" fillId="10" borderId="2" xfId="0" applyFont="1" applyFill="1" applyBorder="1" applyAlignment="1">
      <alignment horizontal="center"/>
    </xf>
    <xf numFmtId="0" fontId="3" fillId="10" borderId="29" xfId="0" applyFont="1" applyFill="1" applyBorder="1" applyAlignment="1">
      <alignment horizontal="center"/>
    </xf>
    <xf numFmtId="0" fontId="4" fillId="0" borderId="35" xfId="0" applyFont="1" applyBorder="1" applyAlignment="1">
      <alignment horizontal="left"/>
    </xf>
    <xf numFmtId="0" fontId="4" fillId="0" borderId="21" xfId="0" applyFont="1" applyBorder="1" applyAlignment="1">
      <alignment horizontal="left"/>
    </xf>
    <xf numFmtId="0" fontId="76" fillId="22" borderId="11" xfId="0" applyFont="1" applyFill="1" applyBorder="1" applyAlignment="1" applyProtection="1">
      <alignment horizontal="left"/>
      <protection hidden="1"/>
    </xf>
    <xf numFmtId="0" fontId="76" fillId="22" borderId="12" xfId="0" applyFont="1" applyFill="1" applyBorder="1" applyAlignment="1" applyProtection="1">
      <alignment horizontal="left"/>
      <protection hidden="1"/>
    </xf>
    <xf numFmtId="0" fontId="6" fillId="0" borderId="14" xfId="0" applyFont="1" applyFill="1" applyBorder="1" applyAlignment="1" applyProtection="1">
      <alignment horizontal="center"/>
      <protection hidden="1"/>
    </xf>
    <xf numFmtId="171" fontId="8" fillId="0" borderId="15" xfId="4" applyNumberFormat="1" applyFont="1" applyFill="1" applyBorder="1" applyAlignment="1" applyProtection="1">
      <alignment horizontal="center"/>
      <protection hidden="1"/>
    </xf>
    <xf numFmtId="0" fontId="6" fillId="22" borderId="14" xfId="0" applyFont="1" applyFill="1" applyBorder="1" applyAlignment="1" applyProtection="1">
      <alignment wrapText="1"/>
      <protection hidden="1"/>
    </xf>
    <xf numFmtId="0" fontId="75" fillId="0" borderId="0" xfId="0" applyFont="1" applyFill="1" applyBorder="1" applyAlignment="1">
      <alignment horizontal="right" textRotation="90"/>
    </xf>
    <xf numFmtId="0" fontId="8" fillId="0" borderId="14" xfId="0" applyFont="1" applyBorder="1" applyAlignment="1">
      <alignment horizontal="center" textRotation="90"/>
    </xf>
    <xf numFmtId="0" fontId="6" fillId="0" borderId="14" xfId="0" applyFont="1" applyBorder="1" applyAlignment="1">
      <alignment horizontal="center" vertical="center"/>
    </xf>
    <xf numFmtId="0" fontId="6" fillId="0" borderId="0" xfId="0" applyFont="1" applyBorder="1" applyAlignment="1">
      <alignment horizontal="center" vertical="center"/>
    </xf>
    <xf numFmtId="0" fontId="6" fillId="0" borderId="15" xfId="0" applyFont="1" applyBorder="1" applyAlignment="1">
      <alignment horizontal="center" vertical="center"/>
    </xf>
    <xf numFmtId="0" fontId="8" fillId="10" borderId="25" xfId="0" applyFont="1" applyFill="1" applyBorder="1" applyAlignment="1">
      <alignment horizontal="center" vertical="center"/>
    </xf>
    <xf numFmtId="0" fontId="8" fillId="10" borderId="26" xfId="0" applyFont="1" applyFill="1" applyBorder="1" applyAlignment="1">
      <alignment horizontal="center" vertical="center"/>
    </xf>
    <xf numFmtId="0" fontId="75" fillId="10" borderId="0" xfId="0" applyFont="1" applyFill="1" applyBorder="1" applyAlignment="1" applyProtection="1">
      <alignment horizontal="justify" vertical="justify" wrapText="1"/>
      <protection hidden="1"/>
    </xf>
    <xf numFmtId="0" fontId="6" fillId="22" borderId="0" xfId="0" applyFont="1" applyFill="1" applyAlignment="1">
      <alignment horizontal="left" vertical="center"/>
    </xf>
    <xf numFmtId="0" fontId="0" fillId="18" borderId="0" xfId="0" applyFill="1" applyAlignment="1">
      <alignment horizontal="center"/>
    </xf>
    <xf numFmtId="0" fontId="75" fillId="0" borderId="1" xfId="0" applyFont="1" applyBorder="1" applyAlignment="1">
      <alignment horizontal="left"/>
    </xf>
  </cellXfs>
  <cellStyles count="16">
    <cellStyle name="Hipervínculo" xfId="1" builtinId="8"/>
    <cellStyle name="Hipervínculo 2" xfId="2"/>
    <cellStyle name="Hipervínculo 3" xfId="3"/>
    <cellStyle name="Millares" xfId="4" builtinId="3"/>
    <cellStyle name="Moneda" xfId="5" builtinId="4"/>
    <cellStyle name="Moneda [0]" xfId="15" builtinId="7"/>
    <cellStyle name="Moneda 11" xfId="6"/>
    <cellStyle name="Normal" xfId="0" builtinId="0"/>
    <cellStyle name="Normal 2" xfId="7"/>
    <cellStyle name="Normal 2 2" xfId="8"/>
    <cellStyle name="Normal 2 3" xfId="9"/>
    <cellStyle name="Normal 3" xfId="10"/>
    <cellStyle name="Porcentaje" xfId="11" builtinId="5"/>
    <cellStyle name="Porcentaje 2" xfId="12"/>
    <cellStyle name="Porcentaje 3" xfId="13"/>
    <cellStyle name="Porcentual 2" xfId="14"/>
  </cellStyles>
  <dxfs count="0"/>
  <tableStyles count="0" defaultTableStyle="TableStyleMedium9" defaultPivotStyle="PivotStyleLight16"/>
  <colors>
    <mruColors>
      <color rgb="FF1865E2"/>
      <color rgb="FF6E97C8"/>
      <color rgb="FF99FF66"/>
      <color rgb="FF66FF99"/>
      <color rgb="FF00FF99"/>
      <color rgb="FF99FF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ATOS PARA DEPURAR'!A1"/></Relationships>
</file>

<file path=xl/drawings/_rels/drawing2.xml.rels><?xml version="1.0" encoding="UTF-8" standalone="yes"?>
<Relationships xmlns="http://schemas.openxmlformats.org/package/2006/relationships"><Relationship Id="rId1" Type="http://schemas.openxmlformats.org/officeDocument/2006/relationships/hyperlink" Target="#'DATOS PARA DEPURAR'!A1"/></Relationships>
</file>

<file path=xl/drawings/_rels/drawing3.xml.rels><?xml version="1.0" encoding="UTF-8" standalone="yes"?>
<Relationships xmlns="http://schemas.openxmlformats.org/package/2006/relationships"><Relationship Id="rId1" Type="http://schemas.openxmlformats.org/officeDocument/2006/relationships/hyperlink" Target="#'DATOS PARA DEPURAR'!A1"/></Relationships>
</file>

<file path=xl/drawings/_rels/drawing4.xml.rels><?xml version="1.0" encoding="UTF-8" standalone="yes"?>
<Relationships xmlns="http://schemas.openxmlformats.org/package/2006/relationships"><Relationship Id="rId1" Type="http://schemas.openxmlformats.org/officeDocument/2006/relationships/hyperlink" Target="#'DATOS PARA DEPURAR'!A1"/></Relationships>
</file>

<file path=xl/drawings/_rels/drawing5.xml.rels><?xml version="1.0" encoding="UTF-8" standalone="yes"?>
<Relationships xmlns="http://schemas.openxmlformats.org/package/2006/relationships"><Relationship Id="rId1" Type="http://schemas.openxmlformats.org/officeDocument/2006/relationships/hyperlink" Target="#'DATOS PARA DEPURAR'!A1"/></Relationships>
</file>

<file path=xl/drawings/_rels/drawing6.xml.rels><?xml version="1.0" encoding="UTF-8" standalone="yes"?>
<Relationships xmlns="http://schemas.openxmlformats.org/package/2006/relationships"><Relationship Id="rId1" Type="http://schemas.openxmlformats.org/officeDocument/2006/relationships/hyperlink" Target="#'FORMULARIO 2019 RENTA CEDULA'!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ATOS PARA DEPURAR'!A1"/></Relationships>
</file>

<file path=xl/drawings/drawing1.xml><?xml version="1.0" encoding="utf-8"?>
<xdr:wsDr xmlns:xdr="http://schemas.openxmlformats.org/drawingml/2006/spreadsheetDrawing" xmlns:a="http://schemas.openxmlformats.org/drawingml/2006/main">
  <xdr:twoCellAnchor>
    <xdr:from>
      <xdr:col>2</xdr:col>
      <xdr:colOff>563219</xdr:colOff>
      <xdr:row>44</xdr:row>
      <xdr:rowOff>82411</xdr:rowOff>
    </xdr:from>
    <xdr:to>
      <xdr:col>4</xdr:col>
      <xdr:colOff>527604</xdr:colOff>
      <xdr:row>45</xdr:row>
      <xdr:rowOff>91108</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4201769" y="9016861"/>
          <a:ext cx="1650310" cy="227772"/>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AR" sz="800"/>
            <a:t>VOLVER A DATOS PARA DEPURAR</a:t>
          </a:r>
        </a:p>
      </xdr:txBody>
    </xdr:sp>
    <xdr:clientData/>
  </xdr:twoCellAnchor>
  <xdr:twoCellAnchor editAs="oneCell">
    <xdr:from>
      <xdr:col>1</xdr:col>
      <xdr:colOff>2628900</xdr:colOff>
      <xdr:row>43</xdr:row>
      <xdr:rowOff>19050</xdr:rowOff>
    </xdr:from>
    <xdr:to>
      <xdr:col>2</xdr:col>
      <xdr:colOff>152400</xdr:colOff>
      <xdr:row>45</xdr:row>
      <xdr:rowOff>123825</xdr:rowOff>
    </xdr:to>
    <xdr:pic>
      <xdr:nvPicPr>
        <xdr:cNvPr id="11327" name="Picture 3">
          <a:extLst>
            <a:ext uri="{FF2B5EF4-FFF2-40B4-BE49-F238E27FC236}">
              <a16:creationId xmlns:a16="http://schemas.microsoft.com/office/drawing/2014/main" id="{00000000-0008-0000-0200-00003F2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00400" y="9039225"/>
          <a:ext cx="590550" cy="5238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389283</xdr:colOff>
      <xdr:row>40</xdr:row>
      <xdr:rowOff>16565</xdr:rowOff>
    </xdr:from>
    <xdr:to>
      <xdr:col>8</xdr:col>
      <xdr:colOff>5799</xdr:colOff>
      <xdr:row>40</xdr:row>
      <xdr:rowOff>190913</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4712805" y="9201978"/>
          <a:ext cx="1645755" cy="17434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AR" sz="800"/>
            <a:t>VOLVER A DATOS PARA DEPURAR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856008</xdr:colOff>
      <xdr:row>66</xdr:row>
      <xdr:rowOff>64190</xdr:rowOff>
    </xdr:from>
    <xdr:to>
      <xdr:col>10</xdr:col>
      <xdr:colOff>224874</xdr:colOff>
      <xdr:row>66</xdr:row>
      <xdr:rowOff>238538</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DCBC27DB-BCA0-4BDC-B21E-BB0339A6DD96}"/>
            </a:ext>
          </a:extLst>
        </xdr:cNvPr>
        <xdr:cNvSpPr txBox="1"/>
      </xdr:nvSpPr>
      <xdr:spPr>
        <a:xfrm>
          <a:off x="5313708" y="10617890"/>
          <a:ext cx="1645341" cy="17434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AR" sz="800"/>
            <a:t>VOLVER A DATOS PARA DEPURAR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856008</xdr:colOff>
      <xdr:row>110</xdr:row>
      <xdr:rowOff>64190</xdr:rowOff>
    </xdr:from>
    <xdr:to>
      <xdr:col>20</xdr:col>
      <xdr:colOff>224874</xdr:colOff>
      <xdr:row>110</xdr:row>
      <xdr:rowOff>238538</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DCBC27DB-BCA0-4BDC-B21E-BB0339A6DD96}"/>
            </a:ext>
          </a:extLst>
        </xdr:cNvPr>
        <xdr:cNvSpPr txBox="1"/>
      </xdr:nvSpPr>
      <xdr:spPr>
        <a:xfrm>
          <a:off x="5837583" y="11544300"/>
          <a:ext cx="1683441" cy="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AR" sz="800"/>
            <a:t>VOLVER A DATOS PARA DEPURAR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856008</xdr:colOff>
      <xdr:row>42</xdr:row>
      <xdr:rowOff>64190</xdr:rowOff>
    </xdr:from>
    <xdr:to>
      <xdr:col>9</xdr:col>
      <xdr:colOff>224874</xdr:colOff>
      <xdr:row>42</xdr:row>
      <xdr:rowOff>238538</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5304183" y="10617890"/>
          <a:ext cx="1645341" cy="17434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AR" sz="800"/>
            <a:t>VOLVER A DATOS PARA DEPURAR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8280</xdr:colOff>
      <xdr:row>64</xdr:row>
      <xdr:rowOff>191961</xdr:rowOff>
    </xdr:from>
    <xdr:to>
      <xdr:col>1</xdr:col>
      <xdr:colOff>902801</xdr:colOff>
      <xdr:row>65</xdr:row>
      <xdr:rowOff>194163</xdr:rowOff>
    </xdr:to>
    <xdr:sp macro="" textlink="">
      <xdr:nvSpPr>
        <xdr:cNvPr id="4" name="3 CuadroTexto">
          <a:extLst>
            <a:ext uri="{FF2B5EF4-FFF2-40B4-BE49-F238E27FC236}">
              <a16:creationId xmlns:a16="http://schemas.microsoft.com/office/drawing/2014/main" id="{00000000-0008-0000-0500-000004000000}"/>
            </a:ext>
          </a:extLst>
        </xdr:cNvPr>
        <xdr:cNvSpPr txBox="1"/>
      </xdr:nvSpPr>
      <xdr:spPr>
        <a:xfrm>
          <a:off x="8280" y="20127786"/>
          <a:ext cx="961196" cy="240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AVALUO INMUEBLE</a:t>
          </a:r>
        </a:p>
      </xdr:txBody>
    </xdr:sp>
    <xdr:clientData/>
  </xdr:twoCellAnchor>
  <xdr:twoCellAnchor>
    <xdr:from>
      <xdr:col>2</xdr:col>
      <xdr:colOff>821121</xdr:colOff>
      <xdr:row>317</xdr:row>
      <xdr:rowOff>49497</xdr:rowOff>
    </xdr:from>
    <xdr:to>
      <xdr:col>3</xdr:col>
      <xdr:colOff>450020</xdr:colOff>
      <xdr:row>317</xdr:row>
      <xdr:rowOff>254077</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500-000002000000}"/>
            </a:ext>
          </a:extLst>
        </xdr:cNvPr>
        <xdr:cNvSpPr txBox="1"/>
      </xdr:nvSpPr>
      <xdr:spPr>
        <a:xfrm>
          <a:off x="2870638" y="75697704"/>
          <a:ext cx="1303985" cy="204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AR" sz="800">
              <a:solidFill>
                <a:srgbClr val="FF0000"/>
              </a:solidFill>
            </a:rPr>
            <a:t>FORMATO 210 AÑO 2020</a:t>
          </a:r>
        </a:p>
      </xdr:txBody>
    </xdr:sp>
    <xdr:clientData/>
  </xdr:twoCellAnchor>
  <xdr:twoCellAnchor>
    <xdr:from>
      <xdr:col>0</xdr:col>
      <xdr:colOff>9877</xdr:colOff>
      <xdr:row>66</xdr:row>
      <xdr:rowOff>325188</xdr:rowOff>
    </xdr:from>
    <xdr:to>
      <xdr:col>1</xdr:col>
      <xdr:colOff>904398</xdr:colOff>
      <xdr:row>67</xdr:row>
      <xdr:rowOff>242363</xdr:rowOff>
    </xdr:to>
    <xdr:sp macro="" textlink="">
      <xdr:nvSpPr>
        <xdr:cNvPr id="5" name="4 CuadroTexto">
          <a:extLst>
            <a:ext uri="{FF2B5EF4-FFF2-40B4-BE49-F238E27FC236}">
              <a16:creationId xmlns:a16="http://schemas.microsoft.com/office/drawing/2014/main" id="{00000000-0008-0000-0500-000005000000}"/>
            </a:ext>
          </a:extLst>
        </xdr:cNvPr>
        <xdr:cNvSpPr txBox="1"/>
      </xdr:nvSpPr>
      <xdr:spPr>
        <a:xfrm>
          <a:off x="9877" y="23369119"/>
          <a:ext cx="960211" cy="271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AVALUO INMUEBLE</a:t>
          </a:r>
        </a:p>
      </xdr:txBody>
    </xdr:sp>
    <xdr:clientData/>
  </xdr:twoCellAnchor>
  <xdr:twoCellAnchor>
    <xdr:from>
      <xdr:col>1</xdr:col>
      <xdr:colOff>1901947</xdr:colOff>
      <xdr:row>64</xdr:row>
      <xdr:rowOff>189188</xdr:rowOff>
    </xdr:from>
    <xdr:to>
      <xdr:col>2</xdr:col>
      <xdr:colOff>1081969</xdr:colOff>
      <xdr:row>65</xdr:row>
      <xdr:rowOff>179509</xdr:rowOff>
    </xdr:to>
    <xdr:sp macro="" textlink="">
      <xdr:nvSpPr>
        <xdr:cNvPr id="7" name="6 CuadroTexto">
          <a:extLst>
            <a:ext uri="{FF2B5EF4-FFF2-40B4-BE49-F238E27FC236}">
              <a16:creationId xmlns:a16="http://schemas.microsoft.com/office/drawing/2014/main" id="{00000000-0008-0000-0500-000007000000}"/>
            </a:ext>
          </a:extLst>
        </xdr:cNvPr>
        <xdr:cNvSpPr txBox="1"/>
      </xdr:nvSpPr>
      <xdr:spPr>
        <a:xfrm>
          <a:off x="1968622" y="20125013"/>
          <a:ext cx="1161222" cy="228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VALOR ASIGNADO</a:t>
          </a:r>
        </a:p>
      </xdr:txBody>
    </xdr:sp>
    <xdr:clientData/>
  </xdr:twoCellAnchor>
  <xdr:twoCellAnchor>
    <xdr:from>
      <xdr:col>1</xdr:col>
      <xdr:colOff>1933045</xdr:colOff>
      <xdr:row>66</xdr:row>
      <xdr:rowOff>326801</xdr:rowOff>
    </xdr:from>
    <xdr:to>
      <xdr:col>2</xdr:col>
      <xdr:colOff>1113067</xdr:colOff>
      <xdr:row>67</xdr:row>
      <xdr:rowOff>243976</xdr:rowOff>
    </xdr:to>
    <xdr:sp macro="" textlink="">
      <xdr:nvSpPr>
        <xdr:cNvPr id="8" name="7 CuadroTexto">
          <a:extLst>
            <a:ext uri="{FF2B5EF4-FFF2-40B4-BE49-F238E27FC236}">
              <a16:creationId xmlns:a16="http://schemas.microsoft.com/office/drawing/2014/main" id="{00000000-0008-0000-0500-000008000000}"/>
            </a:ext>
          </a:extLst>
        </xdr:cNvPr>
        <xdr:cNvSpPr txBox="1"/>
      </xdr:nvSpPr>
      <xdr:spPr>
        <a:xfrm>
          <a:off x="1998735" y="23370732"/>
          <a:ext cx="1163849" cy="271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VALOR ASIGNADO</a:t>
          </a:r>
        </a:p>
      </xdr:txBody>
    </xdr:sp>
    <xdr:clientData/>
  </xdr:twoCellAnchor>
  <xdr:twoCellAnchor>
    <xdr:from>
      <xdr:col>0</xdr:col>
      <xdr:colOff>0</xdr:colOff>
      <xdr:row>59</xdr:row>
      <xdr:rowOff>182212</xdr:rowOff>
    </xdr:from>
    <xdr:to>
      <xdr:col>1</xdr:col>
      <xdr:colOff>1548847</xdr:colOff>
      <xdr:row>60</xdr:row>
      <xdr:rowOff>132521</xdr:rowOff>
    </xdr:to>
    <xdr:sp macro="" textlink="">
      <xdr:nvSpPr>
        <xdr:cNvPr id="9" name="8 CuadroTexto">
          <a:extLst>
            <a:ext uri="{FF2B5EF4-FFF2-40B4-BE49-F238E27FC236}">
              <a16:creationId xmlns:a16="http://schemas.microsoft.com/office/drawing/2014/main" id="{00000000-0008-0000-0500-000009000000}"/>
            </a:ext>
          </a:extLst>
        </xdr:cNvPr>
        <xdr:cNvSpPr txBox="1"/>
      </xdr:nvSpPr>
      <xdr:spPr>
        <a:xfrm>
          <a:off x="0" y="11529386"/>
          <a:ext cx="1598543" cy="149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POSEIDO</a:t>
          </a:r>
          <a:r>
            <a:rPr lang="es-CO" sz="700" baseline="0"/>
            <a:t> POR MAS DE DOS AÑOS</a:t>
          </a:r>
          <a:endParaRPr lang="es-CO" sz="700"/>
        </a:p>
      </xdr:txBody>
    </xdr:sp>
    <xdr:clientData/>
  </xdr:twoCellAnchor>
  <xdr:twoCellAnchor>
    <xdr:from>
      <xdr:col>1</xdr:col>
      <xdr:colOff>1916606</xdr:colOff>
      <xdr:row>59</xdr:row>
      <xdr:rowOff>185524</xdr:rowOff>
    </xdr:from>
    <xdr:to>
      <xdr:col>3</xdr:col>
      <xdr:colOff>66272</xdr:colOff>
      <xdr:row>60</xdr:row>
      <xdr:rowOff>124238</xdr:rowOff>
    </xdr:to>
    <xdr:sp macro="" textlink="">
      <xdr:nvSpPr>
        <xdr:cNvPr id="10" name="9 CuadroTexto">
          <a:extLst>
            <a:ext uri="{FF2B5EF4-FFF2-40B4-BE49-F238E27FC236}">
              <a16:creationId xmlns:a16="http://schemas.microsoft.com/office/drawing/2014/main" id="{00000000-0008-0000-0500-00000A000000}"/>
            </a:ext>
          </a:extLst>
        </xdr:cNvPr>
        <xdr:cNvSpPr txBox="1"/>
      </xdr:nvSpPr>
      <xdr:spPr>
        <a:xfrm>
          <a:off x="1966302" y="11532698"/>
          <a:ext cx="2017644" cy="170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POSEIDO</a:t>
          </a:r>
          <a:r>
            <a:rPr lang="es-CO" sz="700" baseline="0"/>
            <a:t> POR MENOS O IGUAL A DOS AÑOS</a:t>
          </a:r>
          <a:endParaRPr lang="es-CO" sz="700"/>
        </a:p>
      </xdr:txBody>
    </xdr:sp>
    <xdr:clientData/>
  </xdr:twoCellAnchor>
  <xdr:twoCellAnchor>
    <xdr:from>
      <xdr:col>0</xdr:col>
      <xdr:colOff>0</xdr:colOff>
      <xdr:row>61</xdr:row>
      <xdr:rowOff>143380</xdr:rowOff>
    </xdr:from>
    <xdr:to>
      <xdr:col>1</xdr:col>
      <xdr:colOff>1548847</xdr:colOff>
      <xdr:row>62</xdr:row>
      <xdr:rowOff>139211</xdr:rowOff>
    </xdr:to>
    <xdr:sp macro="" textlink="">
      <xdr:nvSpPr>
        <xdr:cNvPr id="11" name="10 CuadroTexto">
          <a:extLst>
            <a:ext uri="{FF2B5EF4-FFF2-40B4-BE49-F238E27FC236}">
              <a16:creationId xmlns:a16="http://schemas.microsoft.com/office/drawing/2014/main" id="{00000000-0008-0000-0500-00000B000000}"/>
            </a:ext>
          </a:extLst>
        </xdr:cNvPr>
        <xdr:cNvSpPr txBox="1"/>
      </xdr:nvSpPr>
      <xdr:spPr>
        <a:xfrm>
          <a:off x="0" y="13419765"/>
          <a:ext cx="1614789" cy="16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POSEIDO</a:t>
          </a:r>
          <a:r>
            <a:rPr lang="es-CO" sz="700" baseline="0"/>
            <a:t> POR MAS DE DOS AÑOS</a:t>
          </a:r>
          <a:endParaRPr lang="es-CO" sz="700"/>
        </a:p>
      </xdr:txBody>
    </xdr:sp>
    <xdr:clientData/>
  </xdr:twoCellAnchor>
  <xdr:twoCellAnchor>
    <xdr:from>
      <xdr:col>1</xdr:col>
      <xdr:colOff>1900996</xdr:colOff>
      <xdr:row>61</xdr:row>
      <xdr:rowOff>119930</xdr:rowOff>
    </xdr:from>
    <xdr:to>
      <xdr:col>3</xdr:col>
      <xdr:colOff>50662</xdr:colOff>
      <xdr:row>62</xdr:row>
      <xdr:rowOff>109584</xdr:rowOff>
    </xdr:to>
    <xdr:sp macro="" textlink="">
      <xdr:nvSpPr>
        <xdr:cNvPr id="12" name="11 CuadroTexto">
          <a:extLst>
            <a:ext uri="{FF2B5EF4-FFF2-40B4-BE49-F238E27FC236}">
              <a16:creationId xmlns:a16="http://schemas.microsoft.com/office/drawing/2014/main" id="{00000000-0008-0000-0500-00000C000000}"/>
            </a:ext>
          </a:extLst>
        </xdr:cNvPr>
        <xdr:cNvSpPr txBox="1"/>
      </xdr:nvSpPr>
      <xdr:spPr>
        <a:xfrm>
          <a:off x="1966938" y="13396315"/>
          <a:ext cx="1959666" cy="158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POSEIDO</a:t>
          </a:r>
          <a:r>
            <a:rPr lang="es-CO" sz="700" baseline="0"/>
            <a:t> POR MENOS O IGUAL A DOS AÑOS</a:t>
          </a:r>
          <a:endParaRPr lang="es-CO" sz="700"/>
        </a:p>
      </xdr:txBody>
    </xdr:sp>
    <xdr:clientData/>
  </xdr:twoCellAnchor>
  <xdr:twoCellAnchor>
    <xdr:from>
      <xdr:col>0</xdr:col>
      <xdr:colOff>22931</xdr:colOff>
      <xdr:row>33</xdr:row>
      <xdr:rowOff>317928</xdr:rowOff>
    </xdr:from>
    <xdr:to>
      <xdr:col>1</xdr:col>
      <xdr:colOff>1340827</xdr:colOff>
      <xdr:row>34</xdr:row>
      <xdr:rowOff>109904</xdr:rowOff>
    </xdr:to>
    <xdr:sp macro="" textlink="">
      <xdr:nvSpPr>
        <xdr:cNvPr id="3" name="2 CuadroTexto">
          <a:extLst>
            <a:ext uri="{FF2B5EF4-FFF2-40B4-BE49-F238E27FC236}">
              <a16:creationId xmlns:a16="http://schemas.microsoft.com/office/drawing/2014/main" id="{00000000-0008-0000-0500-000003000000}"/>
            </a:ext>
          </a:extLst>
        </xdr:cNvPr>
        <xdr:cNvSpPr txBox="1"/>
      </xdr:nvSpPr>
      <xdr:spPr>
        <a:xfrm>
          <a:off x="22931" y="13286582"/>
          <a:ext cx="1383838" cy="172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CO" sz="800" b="1"/>
            <a:t>MAGISTRADOS Y FISCALES</a:t>
          </a:r>
        </a:p>
      </xdr:txBody>
    </xdr:sp>
    <xdr:clientData/>
  </xdr:twoCellAnchor>
  <xdr:twoCellAnchor>
    <xdr:from>
      <xdr:col>1</xdr:col>
      <xdr:colOff>1930304</xdr:colOff>
      <xdr:row>33</xdr:row>
      <xdr:rowOff>361310</xdr:rowOff>
    </xdr:from>
    <xdr:to>
      <xdr:col>2</xdr:col>
      <xdr:colOff>1502752</xdr:colOff>
      <xdr:row>34</xdr:row>
      <xdr:rowOff>194896</xdr:rowOff>
    </xdr:to>
    <xdr:sp macro="" textlink="">
      <xdr:nvSpPr>
        <xdr:cNvPr id="13" name="12 CuadroTexto">
          <a:extLst>
            <a:ext uri="{FF2B5EF4-FFF2-40B4-BE49-F238E27FC236}">
              <a16:creationId xmlns:a16="http://schemas.microsoft.com/office/drawing/2014/main" id="{00000000-0008-0000-0500-00000D000000}"/>
            </a:ext>
          </a:extLst>
        </xdr:cNvPr>
        <xdr:cNvSpPr txBox="1"/>
      </xdr:nvSpPr>
      <xdr:spPr>
        <a:xfrm>
          <a:off x="1996246" y="13329964"/>
          <a:ext cx="1550718" cy="2145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JUEZ</a:t>
          </a:r>
          <a:r>
            <a:rPr lang="es-CO" sz="800" b="1" baseline="0"/>
            <a:t> DE LA REPUBLICA</a:t>
          </a:r>
          <a:endParaRPr lang="es-CO" sz="800" b="1"/>
        </a:p>
      </xdr:txBody>
    </xdr:sp>
    <xdr:clientData/>
  </xdr:twoCellAnchor>
  <xdr:twoCellAnchor>
    <xdr:from>
      <xdr:col>0</xdr:col>
      <xdr:colOff>0</xdr:colOff>
      <xdr:row>34</xdr:row>
      <xdr:rowOff>279379</xdr:rowOff>
    </xdr:from>
    <xdr:to>
      <xdr:col>2</xdr:col>
      <xdr:colOff>402980</xdr:colOff>
      <xdr:row>35</xdr:row>
      <xdr:rowOff>146538</xdr:rowOff>
    </xdr:to>
    <xdr:sp macro="" textlink="">
      <xdr:nvSpPr>
        <xdr:cNvPr id="14" name="13 CuadroTexto">
          <a:extLst>
            <a:ext uri="{FF2B5EF4-FFF2-40B4-BE49-F238E27FC236}">
              <a16:creationId xmlns:a16="http://schemas.microsoft.com/office/drawing/2014/main" id="{00000000-0008-0000-0500-00000E000000}"/>
            </a:ext>
          </a:extLst>
        </xdr:cNvPr>
        <xdr:cNvSpPr txBox="1"/>
      </xdr:nvSpPr>
      <xdr:spPr>
        <a:xfrm>
          <a:off x="0" y="13629033"/>
          <a:ext cx="2447192" cy="1602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RECTORES Y PROFESORES DE UNIVERSIDAD</a:t>
          </a:r>
          <a:r>
            <a:rPr lang="es-CO" sz="800" b="1" baseline="0"/>
            <a:t> PUBLICA</a:t>
          </a:r>
          <a:endParaRPr lang="es-CO" sz="800" b="1"/>
        </a:p>
      </xdr:txBody>
    </xdr:sp>
    <xdr:clientData/>
  </xdr:twoCellAnchor>
  <xdr:twoCellAnchor>
    <xdr:from>
      <xdr:col>0</xdr:col>
      <xdr:colOff>3308</xdr:colOff>
      <xdr:row>82</xdr:row>
      <xdr:rowOff>260483</xdr:rowOff>
    </xdr:from>
    <xdr:to>
      <xdr:col>1</xdr:col>
      <xdr:colOff>897829</xdr:colOff>
      <xdr:row>83</xdr:row>
      <xdr:rowOff>177658</xdr:rowOff>
    </xdr:to>
    <xdr:sp macro="" textlink="">
      <xdr:nvSpPr>
        <xdr:cNvPr id="15" name="14 CuadroTexto">
          <a:extLst>
            <a:ext uri="{FF2B5EF4-FFF2-40B4-BE49-F238E27FC236}">
              <a16:creationId xmlns:a16="http://schemas.microsoft.com/office/drawing/2014/main" id="{00000000-0008-0000-0500-00000F000000}"/>
            </a:ext>
          </a:extLst>
        </xdr:cNvPr>
        <xdr:cNvSpPr txBox="1"/>
      </xdr:nvSpPr>
      <xdr:spPr>
        <a:xfrm>
          <a:off x="3308" y="24301583"/>
          <a:ext cx="961196" cy="21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LUCRO CESANTE</a:t>
          </a:r>
        </a:p>
      </xdr:txBody>
    </xdr:sp>
    <xdr:clientData/>
  </xdr:twoCellAnchor>
  <xdr:twoCellAnchor>
    <xdr:from>
      <xdr:col>1</xdr:col>
      <xdr:colOff>1928190</xdr:colOff>
      <xdr:row>82</xdr:row>
      <xdr:rowOff>255528</xdr:rowOff>
    </xdr:from>
    <xdr:to>
      <xdr:col>2</xdr:col>
      <xdr:colOff>1108212</xdr:colOff>
      <xdr:row>83</xdr:row>
      <xdr:rowOff>172703</xdr:rowOff>
    </xdr:to>
    <xdr:sp macro="" textlink="">
      <xdr:nvSpPr>
        <xdr:cNvPr id="16" name="15 CuadroTexto">
          <a:extLst>
            <a:ext uri="{FF2B5EF4-FFF2-40B4-BE49-F238E27FC236}">
              <a16:creationId xmlns:a16="http://schemas.microsoft.com/office/drawing/2014/main" id="{00000000-0008-0000-0500-000010000000}"/>
            </a:ext>
          </a:extLst>
        </xdr:cNvPr>
        <xdr:cNvSpPr txBox="1"/>
      </xdr:nvSpPr>
      <xdr:spPr>
        <a:xfrm>
          <a:off x="1994865" y="24296628"/>
          <a:ext cx="1161222" cy="21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DAÑO EMERGENTE</a:t>
          </a:r>
        </a:p>
      </xdr:txBody>
    </xdr:sp>
    <xdr:clientData/>
  </xdr:twoCellAnchor>
  <xdr:twoCellAnchor>
    <xdr:from>
      <xdr:col>1</xdr:col>
      <xdr:colOff>1921776</xdr:colOff>
      <xdr:row>113</xdr:row>
      <xdr:rowOff>465866</xdr:rowOff>
    </xdr:from>
    <xdr:to>
      <xdr:col>3</xdr:col>
      <xdr:colOff>45983</xdr:colOff>
      <xdr:row>114</xdr:row>
      <xdr:rowOff>91965</xdr:rowOff>
    </xdr:to>
    <xdr:sp macro="" textlink="">
      <xdr:nvSpPr>
        <xdr:cNvPr id="19" name="18 CuadroTexto">
          <a:extLst>
            <a:ext uri="{FF2B5EF4-FFF2-40B4-BE49-F238E27FC236}">
              <a16:creationId xmlns:a16="http://schemas.microsoft.com/office/drawing/2014/main" id="{00000000-0008-0000-0500-000013000000}"/>
            </a:ext>
          </a:extLst>
        </xdr:cNvPr>
        <xdr:cNvSpPr txBox="1"/>
      </xdr:nvSpPr>
      <xdr:spPr>
        <a:xfrm>
          <a:off x="1987466" y="37954952"/>
          <a:ext cx="1783120" cy="118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500"/>
            <a:t>RENTA LABORAL Y HONORARIOS - ART 206 E.T. PARAGRAFO 5</a:t>
          </a:r>
        </a:p>
      </xdr:txBody>
    </xdr:sp>
    <xdr:clientData/>
  </xdr:twoCellAnchor>
  <xdr:twoCellAnchor>
    <xdr:from>
      <xdr:col>2</xdr:col>
      <xdr:colOff>1609725</xdr:colOff>
      <xdr:row>113</xdr:row>
      <xdr:rowOff>447675</xdr:rowOff>
    </xdr:from>
    <xdr:to>
      <xdr:col>3</xdr:col>
      <xdr:colOff>1094547</xdr:colOff>
      <xdr:row>114</xdr:row>
      <xdr:rowOff>164825</xdr:rowOff>
    </xdr:to>
    <xdr:sp macro="" textlink="">
      <xdr:nvSpPr>
        <xdr:cNvPr id="20" name="19 CuadroTexto">
          <a:extLst>
            <a:ext uri="{FF2B5EF4-FFF2-40B4-BE49-F238E27FC236}">
              <a16:creationId xmlns:a16="http://schemas.microsoft.com/office/drawing/2014/main" id="{00000000-0008-0000-0500-000014000000}"/>
            </a:ext>
          </a:extLst>
        </xdr:cNvPr>
        <xdr:cNvSpPr txBox="1"/>
      </xdr:nvSpPr>
      <xdr:spPr>
        <a:xfrm>
          <a:off x="3657600" y="38071425"/>
          <a:ext cx="1161222" cy="21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PENSION</a:t>
          </a:r>
        </a:p>
      </xdr:txBody>
    </xdr:sp>
    <xdr:clientData/>
  </xdr:twoCellAnchor>
  <xdr:twoCellAnchor>
    <xdr:from>
      <xdr:col>1</xdr:col>
      <xdr:colOff>1905001</xdr:colOff>
      <xdr:row>114</xdr:row>
      <xdr:rowOff>265031</xdr:rowOff>
    </xdr:from>
    <xdr:to>
      <xdr:col>2</xdr:col>
      <xdr:colOff>729156</xdr:colOff>
      <xdr:row>115</xdr:row>
      <xdr:rowOff>91966</xdr:rowOff>
    </xdr:to>
    <xdr:sp macro="" textlink="">
      <xdr:nvSpPr>
        <xdr:cNvPr id="21" name="20 CuadroTexto">
          <a:extLst>
            <a:ext uri="{FF2B5EF4-FFF2-40B4-BE49-F238E27FC236}">
              <a16:creationId xmlns:a16="http://schemas.microsoft.com/office/drawing/2014/main" id="{00000000-0008-0000-0500-000015000000}"/>
            </a:ext>
          </a:extLst>
        </xdr:cNvPr>
        <xdr:cNvSpPr txBox="1"/>
      </xdr:nvSpPr>
      <xdr:spPr>
        <a:xfrm>
          <a:off x="1970691" y="38246790"/>
          <a:ext cx="807982" cy="129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1609724</xdr:colOff>
      <xdr:row>114</xdr:row>
      <xdr:rowOff>271627</xdr:rowOff>
    </xdr:from>
    <xdr:to>
      <xdr:col>3</xdr:col>
      <xdr:colOff>932793</xdr:colOff>
      <xdr:row>115</xdr:row>
      <xdr:rowOff>184436</xdr:rowOff>
    </xdr:to>
    <xdr:sp macro="" textlink="">
      <xdr:nvSpPr>
        <xdr:cNvPr id="22" name="21 CuadroTexto">
          <a:extLst>
            <a:ext uri="{FF2B5EF4-FFF2-40B4-BE49-F238E27FC236}">
              <a16:creationId xmlns:a16="http://schemas.microsoft.com/office/drawing/2014/main" id="{00000000-0008-0000-0500-000016000000}"/>
            </a:ext>
          </a:extLst>
        </xdr:cNvPr>
        <xdr:cNvSpPr txBox="1"/>
      </xdr:nvSpPr>
      <xdr:spPr>
        <a:xfrm>
          <a:off x="3659241" y="38253386"/>
          <a:ext cx="998155" cy="214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2</xdr:col>
      <xdr:colOff>1609725</xdr:colOff>
      <xdr:row>116</xdr:row>
      <xdr:rowOff>281303</xdr:rowOff>
    </xdr:from>
    <xdr:to>
      <xdr:col>3</xdr:col>
      <xdr:colOff>1094547</xdr:colOff>
      <xdr:row>117</xdr:row>
      <xdr:rowOff>211849</xdr:rowOff>
    </xdr:to>
    <xdr:sp macro="" textlink="">
      <xdr:nvSpPr>
        <xdr:cNvPr id="24" name="23 CuadroTexto">
          <a:extLst>
            <a:ext uri="{FF2B5EF4-FFF2-40B4-BE49-F238E27FC236}">
              <a16:creationId xmlns:a16="http://schemas.microsoft.com/office/drawing/2014/main" id="{00000000-0008-0000-0500-000018000000}"/>
            </a:ext>
          </a:extLst>
        </xdr:cNvPr>
        <xdr:cNvSpPr txBox="1"/>
      </xdr:nvSpPr>
      <xdr:spPr>
        <a:xfrm>
          <a:off x="3657600" y="38943278"/>
          <a:ext cx="1161222" cy="244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PENSION</a:t>
          </a:r>
        </a:p>
      </xdr:txBody>
    </xdr:sp>
    <xdr:clientData/>
  </xdr:twoCellAnchor>
  <xdr:twoCellAnchor>
    <xdr:from>
      <xdr:col>1</xdr:col>
      <xdr:colOff>1897673</xdr:colOff>
      <xdr:row>117</xdr:row>
      <xdr:rowOff>308413</xdr:rowOff>
    </xdr:from>
    <xdr:to>
      <xdr:col>2</xdr:col>
      <xdr:colOff>1077695</xdr:colOff>
      <xdr:row>118</xdr:row>
      <xdr:rowOff>229333</xdr:rowOff>
    </xdr:to>
    <xdr:sp macro="" textlink="">
      <xdr:nvSpPr>
        <xdr:cNvPr id="25" name="24 CuadroTexto">
          <a:extLst>
            <a:ext uri="{FF2B5EF4-FFF2-40B4-BE49-F238E27FC236}">
              <a16:creationId xmlns:a16="http://schemas.microsoft.com/office/drawing/2014/main" id="{00000000-0008-0000-0500-000019000000}"/>
            </a:ext>
          </a:extLst>
        </xdr:cNvPr>
        <xdr:cNvSpPr txBox="1"/>
      </xdr:nvSpPr>
      <xdr:spPr>
        <a:xfrm>
          <a:off x="1964348" y="39284713"/>
          <a:ext cx="1161222" cy="263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1609725</xdr:colOff>
      <xdr:row>117</xdr:row>
      <xdr:rowOff>295276</xdr:rowOff>
    </xdr:from>
    <xdr:to>
      <xdr:col>3</xdr:col>
      <xdr:colOff>1094547</xdr:colOff>
      <xdr:row>118</xdr:row>
      <xdr:rowOff>178778</xdr:rowOff>
    </xdr:to>
    <xdr:sp macro="" textlink="">
      <xdr:nvSpPr>
        <xdr:cNvPr id="26" name="25 CuadroTexto">
          <a:extLst>
            <a:ext uri="{FF2B5EF4-FFF2-40B4-BE49-F238E27FC236}">
              <a16:creationId xmlns:a16="http://schemas.microsoft.com/office/drawing/2014/main" id="{00000000-0008-0000-0500-00001A000000}"/>
            </a:ext>
          </a:extLst>
        </xdr:cNvPr>
        <xdr:cNvSpPr txBox="1"/>
      </xdr:nvSpPr>
      <xdr:spPr>
        <a:xfrm>
          <a:off x="3657600" y="39271576"/>
          <a:ext cx="1161222" cy="226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1909396</xdr:colOff>
      <xdr:row>204</xdr:row>
      <xdr:rowOff>186836</xdr:rowOff>
    </xdr:from>
    <xdr:to>
      <xdr:col>2</xdr:col>
      <xdr:colOff>1089418</xdr:colOff>
      <xdr:row>205</xdr:row>
      <xdr:rowOff>113536</xdr:rowOff>
    </xdr:to>
    <xdr:sp macro="" textlink="">
      <xdr:nvSpPr>
        <xdr:cNvPr id="27" name="26 CuadroTexto">
          <a:extLst>
            <a:ext uri="{FF2B5EF4-FFF2-40B4-BE49-F238E27FC236}">
              <a16:creationId xmlns:a16="http://schemas.microsoft.com/office/drawing/2014/main" id="{00000000-0008-0000-0500-00001B000000}"/>
            </a:ext>
          </a:extLst>
        </xdr:cNvPr>
        <xdr:cNvSpPr txBox="1"/>
      </xdr:nvSpPr>
      <xdr:spPr>
        <a:xfrm>
          <a:off x="1975338" y="53482874"/>
          <a:ext cx="1158292" cy="168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LABORAL</a:t>
          </a:r>
        </a:p>
      </xdr:txBody>
    </xdr:sp>
    <xdr:clientData/>
  </xdr:twoCellAnchor>
  <xdr:twoCellAnchor>
    <xdr:from>
      <xdr:col>2</xdr:col>
      <xdr:colOff>1602399</xdr:colOff>
      <xdr:row>204</xdr:row>
      <xdr:rowOff>194163</xdr:rowOff>
    </xdr:from>
    <xdr:to>
      <xdr:col>3</xdr:col>
      <xdr:colOff>710712</xdr:colOff>
      <xdr:row>205</xdr:row>
      <xdr:rowOff>124558</xdr:rowOff>
    </xdr:to>
    <xdr:sp macro="" textlink="">
      <xdr:nvSpPr>
        <xdr:cNvPr id="28" name="27 CuadroTexto">
          <a:extLst>
            <a:ext uri="{FF2B5EF4-FFF2-40B4-BE49-F238E27FC236}">
              <a16:creationId xmlns:a16="http://schemas.microsoft.com/office/drawing/2014/main" id="{00000000-0008-0000-0500-00001C000000}"/>
            </a:ext>
          </a:extLst>
        </xdr:cNvPr>
        <xdr:cNvSpPr txBox="1"/>
      </xdr:nvSpPr>
      <xdr:spPr>
        <a:xfrm>
          <a:off x="3646611" y="53490201"/>
          <a:ext cx="786178" cy="172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PENSION</a:t>
          </a:r>
        </a:p>
      </xdr:txBody>
    </xdr:sp>
    <xdr:clientData/>
  </xdr:twoCellAnchor>
  <xdr:twoCellAnchor>
    <xdr:from>
      <xdr:col>1</xdr:col>
      <xdr:colOff>1890346</xdr:colOff>
      <xdr:row>205</xdr:row>
      <xdr:rowOff>189767</xdr:rowOff>
    </xdr:from>
    <xdr:to>
      <xdr:col>2</xdr:col>
      <xdr:colOff>776653</xdr:colOff>
      <xdr:row>206</xdr:row>
      <xdr:rowOff>145042</xdr:rowOff>
    </xdr:to>
    <xdr:sp macro="" textlink="">
      <xdr:nvSpPr>
        <xdr:cNvPr id="29" name="28 CuadroTexto">
          <a:extLst>
            <a:ext uri="{FF2B5EF4-FFF2-40B4-BE49-F238E27FC236}">
              <a16:creationId xmlns:a16="http://schemas.microsoft.com/office/drawing/2014/main" id="{00000000-0008-0000-0500-00001D000000}"/>
            </a:ext>
          </a:extLst>
        </xdr:cNvPr>
        <xdr:cNvSpPr txBox="1"/>
      </xdr:nvSpPr>
      <xdr:spPr>
        <a:xfrm>
          <a:off x="1956288" y="53727594"/>
          <a:ext cx="864577" cy="197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1595071</xdr:colOff>
      <xdr:row>205</xdr:row>
      <xdr:rowOff>189767</xdr:rowOff>
    </xdr:from>
    <xdr:to>
      <xdr:col>3</xdr:col>
      <xdr:colOff>879231</xdr:colOff>
      <xdr:row>206</xdr:row>
      <xdr:rowOff>145042</xdr:rowOff>
    </xdr:to>
    <xdr:sp macro="" textlink="">
      <xdr:nvSpPr>
        <xdr:cNvPr id="30" name="29 CuadroTexto">
          <a:extLst>
            <a:ext uri="{FF2B5EF4-FFF2-40B4-BE49-F238E27FC236}">
              <a16:creationId xmlns:a16="http://schemas.microsoft.com/office/drawing/2014/main" id="{00000000-0008-0000-0500-00001E000000}"/>
            </a:ext>
          </a:extLst>
        </xdr:cNvPr>
        <xdr:cNvSpPr txBox="1"/>
      </xdr:nvSpPr>
      <xdr:spPr>
        <a:xfrm>
          <a:off x="3639283" y="53727594"/>
          <a:ext cx="962025" cy="197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1890346</xdr:colOff>
      <xdr:row>206</xdr:row>
      <xdr:rowOff>263037</xdr:rowOff>
    </xdr:from>
    <xdr:to>
      <xdr:col>2</xdr:col>
      <xdr:colOff>776653</xdr:colOff>
      <xdr:row>207</xdr:row>
      <xdr:rowOff>218312</xdr:rowOff>
    </xdr:to>
    <xdr:sp macro="" textlink="">
      <xdr:nvSpPr>
        <xdr:cNvPr id="31" name="30 CuadroTexto">
          <a:extLst>
            <a:ext uri="{FF2B5EF4-FFF2-40B4-BE49-F238E27FC236}">
              <a16:creationId xmlns:a16="http://schemas.microsoft.com/office/drawing/2014/main" id="{00000000-0008-0000-0500-00001F000000}"/>
            </a:ext>
          </a:extLst>
        </xdr:cNvPr>
        <xdr:cNvSpPr txBox="1"/>
      </xdr:nvSpPr>
      <xdr:spPr>
        <a:xfrm>
          <a:off x="1956288" y="53698287"/>
          <a:ext cx="864577" cy="263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1595071</xdr:colOff>
      <xdr:row>206</xdr:row>
      <xdr:rowOff>263037</xdr:rowOff>
    </xdr:from>
    <xdr:to>
      <xdr:col>3</xdr:col>
      <xdr:colOff>879231</xdr:colOff>
      <xdr:row>207</xdr:row>
      <xdr:rowOff>218312</xdr:rowOff>
    </xdr:to>
    <xdr:sp macro="" textlink="">
      <xdr:nvSpPr>
        <xdr:cNvPr id="32" name="31 CuadroTexto">
          <a:extLst>
            <a:ext uri="{FF2B5EF4-FFF2-40B4-BE49-F238E27FC236}">
              <a16:creationId xmlns:a16="http://schemas.microsoft.com/office/drawing/2014/main" id="{00000000-0008-0000-0500-000020000000}"/>
            </a:ext>
          </a:extLst>
        </xdr:cNvPr>
        <xdr:cNvSpPr txBox="1"/>
      </xdr:nvSpPr>
      <xdr:spPr>
        <a:xfrm>
          <a:off x="3639283" y="53698287"/>
          <a:ext cx="962025" cy="263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1890346</xdr:colOff>
      <xdr:row>207</xdr:row>
      <xdr:rowOff>241057</xdr:rowOff>
    </xdr:from>
    <xdr:to>
      <xdr:col>2</xdr:col>
      <xdr:colOff>776653</xdr:colOff>
      <xdr:row>208</xdr:row>
      <xdr:rowOff>117232</xdr:rowOff>
    </xdr:to>
    <xdr:sp macro="" textlink="">
      <xdr:nvSpPr>
        <xdr:cNvPr id="33" name="32 CuadroTexto">
          <a:extLst>
            <a:ext uri="{FF2B5EF4-FFF2-40B4-BE49-F238E27FC236}">
              <a16:creationId xmlns:a16="http://schemas.microsoft.com/office/drawing/2014/main" id="{00000000-0008-0000-0500-000021000000}"/>
            </a:ext>
          </a:extLst>
        </xdr:cNvPr>
        <xdr:cNvSpPr txBox="1"/>
      </xdr:nvSpPr>
      <xdr:spPr>
        <a:xfrm>
          <a:off x="1956288" y="54262461"/>
          <a:ext cx="864577" cy="169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1595071</xdr:colOff>
      <xdr:row>207</xdr:row>
      <xdr:rowOff>248383</xdr:rowOff>
    </xdr:from>
    <xdr:to>
      <xdr:col>3</xdr:col>
      <xdr:colOff>879231</xdr:colOff>
      <xdr:row>208</xdr:row>
      <xdr:rowOff>102577</xdr:rowOff>
    </xdr:to>
    <xdr:sp macro="" textlink="">
      <xdr:nvSpPr>
        <xdr:cNvPr id="34" name="33 CuadroTexto">
          <a:extLst>
            <a:ext uri="{FF2B5EF4-FFF2-40B4-BE49-F238E27FC236}">
              <a16:creationId xmlns:a16="http://schemas.microsoft.com/office/drawing/2014/main" id="{00000000-0008-0000-0500-000022000000}"/>
            </a:ext>
          </a:extLst>
        </xdr:cNvPr>
        <xdr:cNvSpPr txBox="1"/>
      </xdr:nvSpPr>
      <xdr:spPr>
        <a:xfrm>
          <a:off x="3639283" y="54269787"/>
          <a:ext cx="962025" cy="1472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1890346</xdr:colOff>
      <xdr:row>208</xdr:row>
      <xdr:rowOff>189767</xdr:rowOff>
    </xdr:from>
    <xdr:to>
      <xdr:col>2</xdr:col>
      <xdr:colOff>776653</xdr:colOff>
      <xdr:row>209</xdr:row>
      <xdr:rowOff>145042</xdr:rowOff>
    </xdr:to>
    <xdr:sp macro="" textlink="">
      <xdr:nvSpPr>
        <xdr:cNvPr id="35" name="34 CuadroTexto">
          <a:extLst>
            <a:ext uri="{FF2B5EF4-FFF2-40B4-BE49-F238E27FC236}">
              <a16:creationId xmlns:a16="http://schemas.microsoft.com/office/drawing/2014/main" id="{00000000-0008-0000-0500-000023000000}"/>
            </a:ext>
          </a:extLst>
        </xdr:cNvPr>
        <xdr:cNvSpPr txBox="1"/>
      </xdr:nvSpPr>
      <xdr:spPr>
        <a:xfrm>
          <a:off x="1956288" y="53969382"/>
          <a:ext cx="864577" cy="197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1595071</xdr:colOff>
      <xdr:row>208</xdr:row>
      <xdr:rowOff>189767</xdr:rowOff>
    </xdr:from>
    <xdr:to>
      <xdr:col>3</xdr:col>
      <xdr:colOff>879231</xdr:colOff>
      <xdr:row>209</xdr:row>
      <xdr:rowOff>145042</xdr:rowOff>
    </xdr:to>
    <xdr:sp macro="" textlink="">
      <xdr:nvSpPr>
        <xdr:cNvPr id="36" name="35 CuadroTexto">
          <a:extLst>
            <a:ext uri="{FF2B5EF4-FFF2-40B4-BE49-F238E27FC236}">
              <a16:creationId xmlns:a16="http://schemas.microsoft.com/office/drawing/2014/main" id="{00000000-0008-0000-0500-000024000000}"/>
            </a:ext>
          </a:extLst>
        </xdr:cNvPr>
        <xdr:cNvSpPr txBox="1"/>
      </xdr:nvSpPr>
      <xdr:spPr>
        <a:xfrm>
          <a:off x="3639283" y="53969382"/>
          <a:ext cx="962025" cy="197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1890346</xdr:colOff>
      <xdr:row>209</xdr:row>
      <xdr:rowOff>189767</xdr:rowOff>
    </xdr:from>
    <xdr:to>
      <xdr:col>2</xdr:col>
      <xdr:colOff>776653</xdr:colOff>
      <xdr:row>210</xdr:row>
      <xdr:rowOff>145042</xdr:rowOff>
    </xdr:to>
    <xdr:sp macro="" textlink="">
      <xdr:nvSpPr>
        <xdr:cNvPr id="37" name="36 CuadroTexto">
          <a:extLst>
            <a:ext uri="{FF2B5EF4-FFF2-40B4-BE49-F238E27FC236}">
              <a16:creationId xmlns:a16="http://schemas.microsoft.com/office/drawing/2014/main" id="{00000000-0008-0000-0500-000025000000}"/>
            </a:ext>
          </a:extLst>
        </xdr:cNvPr>
        <xdr:cNvSpPr txBox="1"/>
      </xdr:nvSpPr>
      <xdr:spPr>
        <a:xfrm>
          <a:off x="1956288" y="54211171"/>
          <a:ext cx="864577" cy="248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1595071</xdr:colOff>
      <xdr:row>209</xdr:row>
      <xdr:rowOff>189767</xdr:rowOff>
    </xdr:from>
    <xdr:to>
      <xdr:col>3</xdr:col>
      <xdr:colOff>879231</xdr:colOff>
      <xdr:row>210</xdr:row>
      <xdr:rowOff>145042</xdr:rowOff>
    </xdr:to>
    <xdr:sp macro="" textlink="">
      <xdr:nvSpPr>
        <xdr:cNvPr id="38" name="37 CuadroTexto">
          <a:extLst>
            <a:ext uri="{FF2B5EF4-FFF2-40B4-BE49-F238E27FC236}">
              <a16:creationId xmlns:a16="http://schemas.microsoft.com/office/drawing/2014/main" id="{00000000-0008-0000-0500-000026000000}"/>
            </a:ext>
          </a:extLst>
        </xdr:cNvPr>
        <xdr:cNvSpPr txBox="1"/>
      </xdr:nvSpPr>
      <xdr:spPr>
        <a:xfrm>
          <a:off x="3639283" y="54211171"/>
          <a:ext cx="962025" cy="248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1890346</xdr:colOff>
      <xdr:row>209</xdr:row>
      <xdr:rowOff>189767</xdr:rowOff>
    </xdr:from>
    <xdr:to>
      <xdr:col>2</xdr:col>
      <xdr:colOff>776653</xdr:colOff>
      <xdr:row>210</xdr:row>
      <xdr:rowOff>145042</xdr:rowOff>
    </xdr:to>
    <xdr:sp macro="" textlink="">
      <xdr:nvSpPr>
        <xdr:cNvPr id="39" name="38 CuadroTexto">
          <a:extLst>
            <a:ext uri="{FF2B5EF4-FFF2-40B4-BE49-F238E27FC236}">
              <a16:creationId xmlns:a16="http://schemas.microsoft.com/office/drawing/2014/main" id="{00000000-0008-0000-0500-000027000000}"/>
            </a:ext>
          </a:extLst>
        </xdr:cNvPr>
        <xdr:cNvSpPr txBox="1"/>
      </xdr:nvSpPr>
      <xdr:spPr>
        <a:xfrm>
          <a:off x="1956288" y="53969382"/>
          <a:ext cx="864577" cy="197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1595071</xdr:colOff>
      <xdr:row>209</xdr:row>
      <xdr:rowOff>189767</xdr:rowOff>
    </xdr:from>
    <xdr:to>
      <xdr:col>3</xdr:col>
      <xdr:colOff>879231</xdr:colOff>
      <xdr:row>210</xdr:row>
      <xdr:rowOff>145042</xdr:rowOff>
    </xdr:to>
    <xdr:sp macro="" textlink="">
      <xdr:nvSpPr>
        <xdr:cNvPr id="40" name="39 CuadroTexto">
          <a:extLst>
            <a:ext uri="{FF2B5EF4-FFF2-40B4-BE49-F238E27FC236}">
              <a16:creationId xmlns:a16="http://schemas.microsoft.com/office/drawing/2014/main" id="{00000000-0008-0000-0500-000028000000}"/>
            </a:ext>
          </a:extLst>
        </xdr:cNvPr>
        <xdr:cNvSpPr txBox="1"/>
      </xdr:nvSpPr>
      <xdr:spPr>
        <a:xfrm>
          <a:off x="3639283" y="53969382"/>
          <a:ext cx="962025" cy="197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1890346</xdr:colOff>
      <xdr:row>210</xdr:row>
      <xdr:rowOff>189767</xdr:rowOff>
    </xdr:from>
    <xdr:to>
      <xdr:col>2</xdr:col>
      <xdr:colOff>776653</xdr:colOff>
      <xdr:row>211</xdr:row>
      <xdr:rowOff>145042</xdr:rowOff>
    </xdr:to>
    <xdr:sp macro="" textlink="">
      <xdr:nvSpPr>
        <xdr:cNvPr id="41" name="40 CuadroTexto">
          <a:extLst>
            <a:ext uri="{FF2B5EF4-FFF2-40B4-BE49-F238E27FC236}">
              <a16:creationId xmlns:a16="http://schemas.microsoft.com/office/drawing/2014/main" id="{00000000-0008-0000-0500-000029000000}"/>
            </a:ext>
          </a:extLst>
        </xdr:cNvPr>
        <xdr:cNvSpPr txBox="1"/>
      </xdr:nvSpPr>
      <xdr:spPr>
        <a:xfrm>
          <a:off x="1956288" y="54211171"/>
          <a:ext cx="864577" cy="248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1595071</xdr:colOff>
      <xdr:row>210</xdr:row>
      <xdr:rowOff>189767</xdr:rowOff>
    </xdr:from>
    <xdr:to>
      <xdr:col>3</xdr:col>
      <xdr:colOff>879231</xdr:colOff>
      <xdr:row>211</xdr:row>
      <xdr:rowOff>145042</xdr:rowOff>
    </xdr:to>
    <xdr:sp macro="" textlink="">
      <xdr:nvSpPr>
        <xdr:cNvPr id="42" name="41 CuadroTexto">
          <a:extLst>
            <a:ext uri="{FF2B5EF4-FFF2-40B4-BE49-F238E27FC236}">
              <a16:creationId xmlns:a16="http://schemas.microsoft.com/office/drawing/2014/main" id="{00000000-0008-0000-0500-00002A000000}"/>
            </a:ext>
          </a:extLst>
        </xdr:cNvPr>
        <xdr:cNvSpPr txBox="1"/>
      </xdr:nvSpPr>
      <xdr:spPr>
        <a:xfrm>
          <a:off x="3639283" y="54211171"/>
          <a:ext cx="962025" cy="248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1890346</xdr:colOff>
      <xdr:row>210</xdr:row>
      <xdr:rowOff>189767</xdr:rowOff>
    </xdr:from>
    <xdr:to>
      <xdr:col>2</xdr:col>
      <xdr:colOff>776653</xdr:colOff>
      <xdr:row>211</xdr:row>
      <xdr:rowOff>145042</xdr:rowOff>
    </xdr:to>
    <xdr:sp macro="" textlink="">
      <xdr:nvSpPr>
        <xdr:cNvPr id="43" name="42 CuadroTexto">
          <a:extLst>
            <a:ext uri="{FF2B5EF4-FFF2-40B4-BE49-F238E27FC236}">
              <a16:creationId xmlns:a16="http://schemas.microsoft.com/office/drawing/2014/main" id="{00000000-0008-0000-0500-00002B000000}"/>
            </a:ext>
          </a:extLst>
        </xdr:cNvPr>
        <xdr:cNvSpPr txBox="1"/>
      </xdr:nvSpPr>
      <xdr:spPr>
        <a:xfrm>
          <a:off x="1956288" y="53969382"/>
          <a:ext cx="864577" cy="197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1595071</xdr:colOff>
      <xdr:row>210</xdr:row>
      <xdr:rowOff>189767</xdr:rowOff>
    </xdr:from>
    <xdr:to>
      <xdr:col>3</xdr:col>
      <xdr:colOff>879231</xdr:colOff>
      <xdr:row>211</xdr:row>
      <xdr:rowOff>145042</xdr:rowOff>
    </xdr:to>
    <xdr:sp macro="" textlink="">
      <xdr:nvSpPr>
        <xdr:cNvPr id="44" name="43 CuadroTexto">
          <a:extLst>
            <a:ext uri="{FF2B5EF4-FFF2-40B4-BE49-F238E27FC236}">
              <a16:creationId xmlns:a16="http://schemas.microsoft.com/office/drawing/2014/main" id="{00000000-0008-0000-0500-00002C000000}"/>
            </a:ext>
          </a:extLst>
        </xdr:cNvPr>
        <xdr:cNvSpPr txBox="1"/>
      </xdr:nvSpPr>
      <xdr:spPr>
        <a:xfrm>
          <a:off x="3639283" y="53969382"/>
          <a:ext cx="962025" cy="197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1890346</xdr:colOff>
      <xdr:row>211</xdr:row>
      <xdr:rowOff>189767</xdr:rowOff>
    </xdr:from>
    <xdr:to>
      <xdr:col>2</xdr:col>
      <xdr:colOff>776653</xdr:colOff>
      <xdr:row>212</xdr:row>
      <xdr:rowOff>145042</xdr:rowOff>
    </xdr:to>
    <xdr:sp macro="" textlink="">
      <xdr:nvSpPr>
        <xdr:cNvPr id="45" name="44 CuadroTexto">
          <a:extLst>
            <a:ext uri="{FF2B5EF4-FFF2-40B4-BE49-F238E27FC236}">
              <a16:creationId xmlns:a16="http://schemas.microsoft.com/office/drawing/2014/main" id="{00000000-0008-0000-0500-00002D000000}"/>
            </a:ext>
          </a:extLst>
        </xdr:cNvPr>
        <xdr:cNvSpPr txBox="1"/>
      </xdr:nvSpPr>
      <xdr:spPr>
        <a:xfrm>
          <a:off x="1956288" y="54211171"/>
          <a:ext cx="864577" cy="248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1595071</xdr:colOff>
      <xdr:row>211</xdr:row>
      <xdr:rowOff>189767</xdr:rowOff>
    </xdr:from>
    <xdr:to>
      <xdr:col>3</xdr:col>
      <xdr:colOff>879231</xdr:colOff>
      <xdr:row>212</xdr:row>
      <xdr:rowOff>145042</xdr:rowOff>
    </xdr:to>
    <xdr:sp macro="" textlink="">
      <xdr:nvSpPr>
        <xdr:cNvPr id="46" name="45 CuadroTexto">
          <a:extLst>
            <a:ext uri="{FF2B5EF4-FFF2-40B4-BE49-F238E27FC236}">
              <a16:creationId xmlns:a16="http://schemas.microsoft.com/office/drawing/2014/main" id="{00000000-0008-0000-0500-00002E000000}"/>
            </a:ext>
          </a:extLst>
        </xdr:cNvPr>
        <xdr:cNvSpPr txBox="1"/>
      </xdr:nvSpPr>
      <xdr:spPr>
        <a:xfrm>
          <a:off x="3639283" y="54211171"/>
          <a:ext cx="962025" cy="248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1924049</xdr:colOff>
      <xdr:row>222</xdr:row>
      <xdr:rowOff>537064</xdr:rowOff>
    </xdr:from>
    <xdr:to>
      <xdr:col>2</xdr:col>
      <xdr:colOff>693126</xdr:colOff>
      <xdr:row>223</xdr:row>
      <xdr:rowOff>104776</xdr:rowOff>
    </xdr:to>
    <xdr:sp macro="" textlink="">
      <xdr:nvSpPr>
        <xdr:cNvPr id="49" name="20 CuadroTexto">
          <a:extLst>
            <a:ext uri="{FF2B5EF4-FFF2-40B4-BE49-F238E27FC236}">
              <a16:creationId xmlns:a16="http://schemas.microsoft.com/office/drawing/2014/main" id="{00000000-0008-0000-0500-000031000000}"/>
            </a:ext>
          </a:extLst>
        </xdr:cNvPr>
        <xdr:cNvSpPr txBox="1"/>
      </xdr:nvSpPr>
      <xdr:spPr>
        <a:xfrm>
          <a:off x="1990724" y="62830564"/>
          <a:ext cx="750277" cy="139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1595071</xdr:colOff>
      <xdr:row>222</xdr:row>
      <xdr:rowOff>559043</xdr:rowOff>
    </xdr:from>
    <xdr:to>
      <xdr:col>3</xdr:col>
      <xdr:colOff>1079893</xdr:colOff>
      <xdr:row>223</xdr:row>
      <xdr:rowOff>152400</xdr:rowOff>
    </xdr:to>
    <xdr:sp macro="" textlink="">
      <xdr:nvSpPr>
        <xdr:cNvPr id="50" name="21 CuadroTexto">
          <a:extLst>
            <a:ext uri="{FF2B5EF4-FFF2-40B4-BE49-F238E27FC236}">
              <a16:creationId xmlns:a16="http://schemas.microsoft.com/office/drawing/2014/main" id="{00000000-0008-0000-0500-000032000000}"/>
            </a:ext>
          </a:extLst>
        </xdr:cNvPr>
        <xdr:cNvSpPr txBox="1"/>
      </xdr:nvSpPr>
      <xdr:spPr>
        <a:xfrm>
          <a:off x="3642946" y="62852543"/>
          <a:ext cx="1161222" cy="164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1916621</xdr:colOff>
      <xdr:row>219</xdr:row>
      <xdr:rowOff>308943</xdr:rowOff>
    </xdr:from>
    <xdr:to>
      <xdr:col>2</xdr:col>
      <xdr:colOff>685698</xdr:colOff>
      <xdr:row>220</xdr:row>
      <xdr:rowOff>206367</xdr:rowOff>
    </xdr:to>
    <xdr:sp macro="" textlink="">
      <xdr:nvSpPr>
        <xdr:cNvPr id="53" name="20 CuadroTexto">
          <a:extLst>
            <a:ext uri="{FF2B5EF4-FFF2-40B4-BE49-F238E27FC236}">
              <a16:creationId xmlns:a16="http://schemas.microsoft.com/office/drawing/2014/main" id="{00000000-0008-0000-0500-000035000000}"/>
            </a:ext>
          </a:extLst>
        </xdr:cNvPr>
        <xdr:cNvSpPr txBox="1"/>
      </xdr:nvSpPr>
      <xdr:spPr>
        <a:xfrm>
          <a:off x="1983296" y="61526118"/>
          <a:ext cx="750277" cy="221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1608210</xdr:colOff>
      <xdr:row>219</xdr:row>
      <xdr:rowOff>309674</xdr:rowOff>
    </xdr:from>
    <xdr:to>
      <xdr:col>3</xdr:col>
      <xdr:colOff>870389</xdr:colOff>
      <xdr:row>220</xdr:row>
      <xdr:rowOff>206367</xdr:rowOff>
    </xdr:to>
    <xdr:sp macro="" textlink="">
      <xdr:nvSpPr>
        <xdr:cNvPr id="54" name="21 CuadroTexto">
          <a:extLst>
            <a:ext uri="{FF2B5EF4-FFF2-40B4-BE49-F238E27FC236}">
              <a16:creationId xmlns:a16="http://schemas.microsoft.com/office/drawing/2014/main" id="{00000000-0008-0000-0500-000036000000}"/>
            </a:ext>
          </a:extLst>
        </xdr:cNvPr>
        <xdr:cNvSpPr txBox="1"/>
      </xdr:nvSpPr>
      <xdr:spPr>
        <a:xfrm>
          <a:off x="3656085" y="61526849"/>
          <a:ext cx="938579" cy="2205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2</xdr:col>
      <xdr:colOff>1604595</xdr:colOff>
      <xdr:row>279</xdr:row>
      <xdr:rowOff>175846</xdr:rowOff>
    </xdr:from>
    <xdr:to>
      <xdr:col>3</xdr:col>
      <xdr:colOff>564171</xdr:colOff>
      <xdr:row>280</xdr:row>
      <xdr:rowOff>95248</xdr:rowOff>
    </xdr:to>
    <xdr:sp macro="" textlink="">
      <xdr:nvSpPr>
        <xdr:cNvPr id="55" name="18 CuadroTexto">
          <a:extLst>
            <a:ext uri="{FF2B5EF4-FFF2-40B4-BE49-F238E27FC236}">
              <a16:creationId xmlns:a16="http://schemas.microsoft.com/office/drawing/2014/main" id="{00000000-0008-0000-0500-000037000000}"/>
            </a:ext>
          </a:extLst>
        </xdr:cNvPr>
        <xdr:cNvSpPr txBox="1"/>
      </xdr:nvSpPr>
      <xdr:spPr>
        <a:xfrm>
          <a:off x="3648807" y="66169442"/>
          <a:ext cx="637441" cy="146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LIMITE 20%</a:t>
          </a:r>
        </a:p>
      </xdr:txBody>
    </xdr:sp>
    <xdr:clientData/>
  </xdr:twoCellAnchor>
  <xdr:twoCellAnchor>
    <xdr:from>
      <xdr:col>2</xdr:col>
      <xdr:colOff>1611922</xdr:colOff>
      <xdr:row>280</xdr:row>
      <xdr:rowOff>139211</xdr:rowOff>
    </xdr:from>
    <xdr:to>
      <xdr:col>3</xdr:col>
      <xdr:colOff>857250</xdr:colOff>
      <xdr:row>281</xdr:row>
      <xdr:rowOff>109903</xdr:rowOff>
    </xdr:to>
    <xdr:sp macro="" textlink="">
      <xdr:nvSpPr>
        <xdr:cNvPr id="56" name="18 CuadroTexto">
          <a:extLst>
            <a:ext uri="{FF2B5EF4-FFF2-40B4-BE49-F238E27FC236}">
              <a16:creationId xmlns:a16="http://schemas.microsoft.com/office/drawing/2014/main" id="{00000000-0008-0000-0500-000038000000}"/>
            </a:ext>
          </a:extLst>
        </xdr:cNvPr>
        <xdr:cNvSpPr txBox="1"/>
      </xdr:nvSpPr>
      <xdr:spPr>
        <a:xfrm>
          <a:off x="3656134" y="66359942"/>
          <a:ext cx="923193" cy="168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LIMITE 2,290 UVT</a:t>
          </a:r>
        </a:p>
      </xdr:txBody>
    </xdr:sp>
    <xdr:clientData/>
  </xdr:twoCellAnchor>
  <xdr:twoCellAnchor>
    <xdr:from>
      <xdr:col>2</xdr:col>
      <xdr:colOff>1611922</xdr:colOff>
      <xdr:row>281</xdr:row>
      <xdr:rowOff>139211</xdr:rowOff>
    </xdr:from>
    <xdr:to>
      <xdr:col>3</xdr:col>
      <xdr:colOff>571498</xdr:colOff>
      <xdr:row>282</xdr:row>
      <xdr:rowOff>102575</xdr:rowOff>
    </xdr:to>
    <xdr:sp macro="" textlink="">
      <xdr:nvSpPr>
        <xdr:cNvPr id="57" name="18 CuadroTexto">
          <a:extLst>
            <a:ext uri="{FF2B5EF4-FFF2-40B4-BE49-F238E27FC236}">
              <a16:creationId xmlns:a16="http://schemas.microsoft.com/office/drawing/2014/main" id="{00000000-0008-0000-0500-000039000000}"/>
            </a:ext>
          </a:extLst>
        </xdr:cNvPr>
        <xdr:cNvSpPr txBox="1"/>
      </xdr:nvSpPr>
      <xdr:spPr>
        <a:xfrm>
          <a:off x="3656134" y="66557769"/>
          <a:ext cx="637441" cy="146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LIMITE 20%</a:t>
          </a:r>
        </a:p>
      </xdr:txBody>
    </xdr:sp>
    <xdr:clientData/>
  </xdr:twoCellAnchor>
  <xdr:twoCellAnchor>
    <xdr:from>
      <xdr:col>2</xdr:col>
      <xdr:colOff>1595805</xdr:colOff>
      <xdr:row>282</xdr:row>
      <xdr:rowOff>196362</xdr:rowOff>
    </xdr:from>
    <xdr:to>
      <xdr:col>3</xdr:col>
      <xdr:colOff>841133</xdr:colOff>
      <xdr:row>283</xdr:row>
      <xdr:rowOff>137747</xdr:rowOff>
    </xdr:to>
    <xdr:sp macro="" textlink="">
      <xdr:nvSpPr>
        <xdr:cNvPr id="58" name="18 CuadroTexto">
          <a:extLst>
            <a:ext uri="{FF2B5EF4-FFF2-40B4-BE49-F238E27FC236}">
              <a16:creationId xmlns:a16="http://schemas.microsoft.com/office/drawing/2014/main" id="{00000000-0008-0000-0500-00003A000000}"/>
            </a:ext>
          </a:extLst>
        </xdr:cNvPr>
        <xdr:cNvSpPr txBox="1"/>
      </xdr:nvSpPr>
      <xdr:spPr>
        <a:xfrm>
          <a:off x="3640017" y="66798093"/>
          <a:ext cx="923193" cy="168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LIMITE 2,290 UVT</a:t>
          </a:r>
        </a:p>
      </xdr:txBody>
    </xdr:sp>
    <xdr:clientData/>
  </xdr:twoCellAnchor>
  <xdr:twoCellAnchor>
    <xdr:from>
      <xdr:col>0</xdr:col>
      <xdr:colOff>14652</xdr:colOff>
      <xdr:row>127</xdr:row>
      <xdr:rowOff>212482</xdr:rowOff>
    </xdr:from>
    <xdr:to>
      <xdr:col>1</xdr:col>
      <xdr:colOff>1487365</xdr:colOff>
      <xdr:row>128</xdr:row>
      <xdr:rowOff>117230</xdr:rowOff>
    </xdr:to>
    <xdr:sp macro="" textlink="">
      <xdr:nvSpPr>
        <xdr:cNvPr id="59" name="58 CuadroTexto">
          <a:extLst>
            <a:ext uri="{FF2B5EF4-FFF2-40B4-BE49-F238E27FC236}">
              <a16:creationId xmlns:a16="http://schemas.microsoft.com/office/drawing/2014/main" id="{00000000-0008-0000-0500-00003B000000}"/>
            </a:ext>
          </a:extLst>
        </xdr:cNvPr>
        <xdr:cNvSpPr txBox="1"/>
      </xdr:nvSpPr>
      <xdr:spPr>
        <a:xfrm>
          <a:off x="14652" y="40942847"/>
          <a:ext cx="1538655" cy="168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AÑO</a:t>
          </a:r>
          <a:r>
            <a:rPr lang="es-CO" sz="800" b="1" baseline="0"/>
            <a:t> 2016 Y ANTERIORES</a:t>
          </a:r>
          <a:endParaRPr lang="es-CO" sz="800" b="1"/>
        </a:p>
      </xdr:txBody>
    </xdr:sp>
    <xdr:clientData/>
  </xdr:twoCellAnchor>
  <xdr:twoCellAnchor>
    <xdr:from>
      <xdr:col>1</xdr:col>
      <xdr:colOff>1918187</xdr:colOff>
      <xdr:row>127</xdr:row>
      <xdr:rowOff>225670</xdr:rowOff>
    </xdr:from>
    <xdr:to>
      <xdr:col>2</xdr:col>
      <xdr:colOff>1670539</xdr:colOff>
      <xdr:row>128</xdr:row>
      <xdr:rowOff>146538</xdr:rowOff>
    </xdr:to>
    <xdr:sp macro="" textlink="">
      <xdr:nvSpPr>
        <xdr:cNvPr id="60" name="59 CuadroTexto">
          <a:extLst>
            <a:ext uri="{FF2B5EF4-FFF2-40B4-BE49-F238E27FC236}">
              <a16:creationId xmlns:a16="http://schemas.microsoft.com/office/drawing/2014/main" id="{00000000-0008-0000-0500-00003C000000}"/>
            </a:ext>
          </a:extLst>
        </xdr:cNvPr>
        <xdr:cNvSpPr txBox="1"/>
      </xdr:nvSpPr>
      <xdr:spPr>
        <a:xfrm>
          <a:off x="1984129" y="40582362"/>
          <a:ext cx="1730622" cy="184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b="1"/>
            <a:t>AÑO</a:t>
          </a:r>
          <a:r>
            <a:rPr lang="es-CO" sz="700" b="1" baseline="0"/>
            <a:t> 2017 Y SUBSIGUIENTES  NUM 3 ART 49 E.T.</a:t>
          </a:r>
          <a:endParaRPr lang="es-CO" sz="700" b="1"/>
        </a:p>
      </xdr:txBody>
    </xdr:sp>
    <xdr:clientData/>
  </xdr:twoCellAnchor>
  <xdr:twoCellAnchor>
    <xdr:from>
      <xdr:col>2</xdr:col>
      <xdr:colOff>1601664</xdr:colOff>
      <xdr:row>127</xdr:row>
      <xdr:rowOff>224203</xdr:rowOff>
    </xdr:from>
    <xdr:to>
      <xdr:col>4</xdr:col>
      <xdr:colOff>139212</xdr:colOff>
      <xdr:row>128</xdr:row>
      <xdr:rowOff>117231</xdr:rowOff>
    </xdr:to>
    <xdr:sp macro="" textlink="">
      <xdr:nvSpPr>
        <xdr:cNvPr id="61" name="60 CuadroTexto">
          <a:extLst>
            <a:ext uri="{FF2B5EF4-FFF2-40B4-BE49-F238E27FC236}">
              <a16:creationId xmlns:a16="http://schemas.microsoft.com/office/drawing/2014/main" id="{00000000-0008-0000-0500-00003D000000}"/>
            </a:ext>
          </a:extLst>
        </xdr:cNvPr>
        <xdr:cNvSpPr txBox="1"/>
      </xdr:nvSpPr>
      <xdr:spPr>
        <a:xfrm>
          <a:off x="3645876" y="40111972"/>
          <a:ext cx="1578221" cy="156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600" b="1"/>
            <a:t>AÑO</a:t>
          </a:r>
          <a:r>
            <a:rPr lang="es-CO" sz="600" b="1" baseline="0"/>
            <a:t> 2017 Y SUBSIGUIENTES  NUM 4 ART 49 E.T.</a:t>
          </a:r>
          <a:endParaRPr lang="es-CO" sz="600" b="1"/>
        </a:p>
      </xdr:txBody>
    </xdr:sp>
    <xdr:clientData/>
  </xdr:twoCellAnchor>
  <xdr:twoCellAnchor>
    <xdr:from>
      <xdr:col>0</xdr:col>
      <xdr:colOff>0</xdr:colOff>
      <xdr:row>78</xdr:row>
      <xdr:rowOff>271097</xdr:rowOff>
    </xdr:from>
    <xdr:to>
      <xdr:col>1</xdr:col>
      <xdr:colOff>1524000</xdr:colOff>
      <xdr:row>79</xdr:row>
      <xdr:rowOff>175815</xdr:rowOff>
    </xdr:to>
    <xdr:sp macro="" textlink="">
      <xdr:nvSpPr>
        <xdr:cNvPr id="62" name="61 CuadroTexto">
          <a:extLst>
            <a:ext uri="{FF2B5EF4-FFF2-40B4-BE49-F238E27FC236}">
              <a16:creationId xmlns:a16="http://schemas.microsoft.com/office/drawing/2014/main" id="{00000000-0008-0000-0500-00003E000000}"/>
            </a:ext>
          </a:extLst>
        </xdr:cNvPr>
        <xdr:cNvSpPr txBox="1"/>
      </xdr:nvSpPr>
      <xdr:spPr>
        <a:xfrm>
          <a:off x="0" y="26149789"/>
          <a:ext cx="1589942" cy="197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AÑO</a:t>
          </a:r>
          <a:r>
            <a:rPr lang="es-CO" sz="800" b="1" baseline="0"/>
            <a:t> 2016  Y ANTERIORES</a:t>
          </a:r>
          <a:endParaRPr lang="es-CO" sz="800" b="1"/>
        </a:p>
      </xdr:txBody>
    </xdr:sp>
    <xdr:clientData/>
  </xdr:twoCellAnchor>
  <xdr:twoCellAnchor>
    <xdr:from>
      <xdr:col>1</xdr:col>
      <xdr:colOff>1925515</xdr:colOff>
      <xdr:row>78</xdr:row>
      <xdr:rowOff>262304</xdr:rowOff>
    </xdr:from>
    <xdr:to>
      <xdr:col>3</xdr:col>
      <xdr:colOff>2</xdr:colOff>
      <xdr:row>79</xdr:row>
      <xdr:rowOff>183172</xdr:rowOff>
    </xdr:to>
    <xdr:sp macro="" textlink="">
      <xdr:nvSpPr>
        <xdr:cNvPr id="63" name="62 CuadroTexto">
          <a:extLst>
            <a:ext uri="{FF2B5EF4-FFF2-40B4-BE49-F238E27FC236}">
              <a16:creationId xmlns:a16="http://schemas.microsoft.com/office/drawing/2014/main" id="{00000000-0008-0000-0500-00003F000000}"/>
            </a:ext>
          </a:extLst>
        </xdr:cNvPr>
        <xdr:cNvSpPr txBox="1"/>
      </xdr:nvSpPr>
      <xdr:spPr>
        <a:xfrm>
          <a:off x="1991457" y="26140996"/>
          <a:ext cx="1730622" cy="213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b="1"/>
            <a:t>AÑO</a:t>
          </a:r>
          <a:r>
            <a:rPr lang="es-CO" sz="700" b="1" baseline="0"/>
            <a:t> 2017 Y SUBSIGUIENTES  NUM 3 ART 49 E.T.</a:t>
          </a:r>
          <a:endParaRPr lang="es-CO" sz="700" b="1"/>
        </a:p>
      </xdr:txBody>
    </xdr:sp>
    <xdr:clientData/>
  </xdr:twoCellAnchor>
  <xdr:twoCellAnchor>
    <xdr:from>
      <xdr:col>2</xdr:col>
      <xdr:colOff>1601664</xdr:colOff>
      <xdr:row>78</xdr:row>
      <xdr:rowOff>231530</xdr:rowOff>
    </xdr:from>
    <xdr:to>
      <xdr:col>4</xdr:col>
      <xdr:colOff>95250</xdr:colOff>
      <xdr:row>79</xdr:row>
      <xdr:rowOff>263769</xdr:rowOff>
    </xdr:to>
    <xdr:sp macro="" textlink="">
      <xdr:nvSpPr>
        <xdr:cNvPr id="64" name="63 CuadroTexto">
          <a:extLst>
            <a:ext uri="{FF2B5EF4-FFF2-40B4-BE49-F238E27FC236}">
              <a16:creationId xmlns:a16="http://schemas.microsoft.com/office/drawing/2014/main" id="{00000000-0008-0000-0500-000040000000}"/>
            </a:ext>
          </a:extLst>
        </xdr:cNvPr>
        <xdr:cNvSpPr txBox="1"/>
      </xdr:nvSpPr>
      <xdr:spPr>
        <a:xfrm>
          <a:off x="3645876" y="26110222"/>
          <a:ext cx="1482970" cy="325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b="1"/>
            <a:t>AÑO</a:t>
          </a:r>
          <a:r>
            <a:rPr lang="es-CO" sz="700" b="1" baseline="0"/>
            <a:t> 2017 Y SUBSIGUIENTES  NUM 4 ART 49 E.T.</a:t>
          </a:r>
          <a:endParaRPr lang="es-CO" sz="700" b="1"/>
        </a:p>
      </xdr:txBody>
    </xdr:sp>
    <xdr:clientData/>
  </xdr:twoCellAnchor>
  <xdr:twoCellAnchor>
    <xdr:from>
      <xdr:col>2</xdr:col>
      <xdr:colOff>1603837</xdr:colOff>
      <xdr:row>260</xdr:row>
      <xdr:rowOff>240272</xdr:rowOff>
    </xdr:from>
    <xdr:to>
      <xdr:col>3</xdr:col>
      <xdr:colOff>1288780</xdr:colOff>
      <xdr:row>261</xdr:row>
      <xdr:rowOff>170793</xdr:rowOff>
    </xdr:to>
    <xdr:sp macro="" textlink="">
      <xdr:nvSpPr>
        <xdr:cNvPr id="65" name="19 CuadroTexto">
          <a:extLst>
            <a:ext uri="{FF2B5EF4-FFF2-40B4-BE49-F238E27FC236}">
              <a16:creationId xmlns:a16="http://schemas.microsoft.com/office/drawing/2014/main" id="{00000000-0008-0000-0500-000041000000}"/>
            </a:ext>
          </a:extLst>
        </xdr:cNvPr>
        <xdr:cNvSpPr txBox="1"/>
      </xdr:nvSpPr>
      <xdr:spPr>
        <a:xfrm>
          <a:off x="3653354" y="65187634"/>
          <a:ext cx="1360029" cy="199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LIM.</a:t>
          </a:r>
          <a:r>
            <a:rPr lang="es-CO" sz="700" baseline="0"/>
            <a:t> GASTO REPRESENTACION</a:t>
          </a:r>
          <a:endParaRPr lang="es-CO" sz="700"/>
        </a:p>
      </xdr:txBody>
    </xdr:sp>
    <xdr:clientData/>
  </xdr:twoCellAnchor>
  <xdr:twoCellAnchor>
    <xdr:from>
      <xdr:col>1</xdr:col>
      <xdr:colOff>1905000</xdr:colOff>
      <xdr:row>259</xdr:row>
      <xdr:rowOff>250429</xdr:rowOff>
    </xdr:from>
    <xdr:to>
      <xdr:col>2</xdr:col>
      <xdr:colOff>676605</xdr:colOff>
      <xdr:row>260</xdr:row>
      <xdr:rowOff>174861</xdr:rowOff>
    </xdr:to>
    <xdr:sp macro="" textlink="">
      <xdr:nvSpPr>
        <xdr:cNvPr id="68" name="24 CuadroTexto">
          <a:extLst>
            <a:ext uri="{FF2B5EF4-FFF2-40B4-BE49-F238E27FC236}">
              <a16:creationId xmlns:a16="http://schemas.microsoft.com/office/drawing/2014/main" id="{00000000-0008-0000-0500-000019000000}"/>
            </a:ext>
          </a:extLst>
        </xdr:cNvPr>
        <xdr:cNvSpPr txBox="1"/>
      </xdr:nvSpPr>
      <xdr:spPr>
        <a:xfrm>
          <a:off x="1970690" y="66616688"/>
          <a:ext cx="755432" cy="213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1603913</xdr:colOff>
      <xdr:row>259</xdr:row>
      <xdr:rowOff>243051</xdr:rowOff>
    </xdr:from>
    <xdr:to>
      <xdr:col>3</xdr:col>
      <xdr:colOff>886811</xdr:colOff>
      <xdr:row>260</xdr:row>
      <xdr:rowOff>166019</xdr:rowOff>
    </xdr:to>
    <xdr:sp macro="" textlink="">
      <xdr:nvSpPr>
        <xdr:cNvPr id="69" name="25 CuadroTexto">
          <a:extLst>
            <a:ext uri="{FF2B5EF4-FFF2-40B4-BE49-F238E27FC236}">
              <a16:creationId xmlns:a16="http://schemas.microsoft.com/office/drawing/2014/main" id="{00000000-0008-0000-0500-00001A000000}"/>
            </a:ext>
          </a:extLst>
        </xdr:cNvPr>
        <xdr:cNvSpPr txBox="1"/>
      </xdr:nvSpPr>
      <xdr:spPr>
        <a:xfrm>
          <a:off x="3653430" y="66609310"/>
          <a:ext cx="957984" cy="212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2</xdr:col>
      <xdr:colOff>1603837</xdr:colOff>
      <xdr:row>257</xdr:row>
      <xdr:rowOff>240272</xdr:rowOff>
    </xdr:from>
    <xdr:to>
      <xdr:col>3</xdr:col>
      <xdr:colOff>1288780</xdr:colOff>
      <xdr:row>258</xdr:row>
      <xdr:rowOff>170793</xdr:rowOff>
    </xdr:to>
    <xdr:sp macro="" textlink="">
      <xdr:nvSpPr>
        <xdr:cNvPr id="70" name="19 CuadroTexto">
          <a:extLst>
            <a:ext uri="{FF2B5EF4-FFF2-40B4-BE49-F238E27FC236}">
              <a16:creationId xmlns:a16="http://schemas.microsoft.com/office/drawing/2014/main" id="{00000000-0008-0000-0500-000041000000}"/>
            </a:ext>
          </a:extLst>
        </xdr:cNvPr>
        <xdr:cNvSpPr txBox="1"/>
      </xdr:nvSpPr>
      <xdr:spPr>
        <a:xfrm>
          <a:off x="3653354" y="65364996"/>
          <a:ext cx="1360029" cy="180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LIM.</a:t>
          </a:r>
          <a:r>
            <a:rPr lang="es-CO" sz="700" baseline="0"/>
            <a:t> GASTO REPRESENTACION</a:t>
          </a:r>
          <a:endParaRPr lang="es-CO" sz="700"/>
        </a:p>
      </xdr:txBody>
    </xdr:sp>
    <xdr:clientData/>
  </xdr:twoCellAnchor>
  <xdr:twoCellAnchor>
    <xdr:from>
      <xdr:col>2</xdr:col>
      <xdr:colOff>1597342</xdr:colOff>
      <xdr:row>255</xdr:row>
      <xdr:rowOff>264274</xdr:rowOff>
    </xdr:from>
    <xdr:to>
      <xdr:col>4</xdr:col>
      <xdr:colOff>124811</xdr:colOff>
      <xdr:row>256</xdr:row>
      <xdr:rowOff>85396</xdr:rowOff>
    </xdr:to>
    <xdr:sp macro="" textlink="">
      <xdr:nvSpPr>
        <xdr:cNvPr id="72" name="23 CuadroTexto">
          <a:extLst>
            <a:ext uri="{FF2B5EF4-FFF2-40B4-BE49-F238E27FC236}">
              <a16:creationId xmlns:a16="http://schemas.microsoft.com/office/drawing/2014/main" id="{00000000-0008-0000-0500-000018000000}"/>
            </a:ext>
          </a:extLst>
        </xdr:cNvPr>
        <xdr:cNvSpPr txBox="1"/>
      </xdr:nvSpPr>
      <xdr:spPr>
        <a:xfrm>
          <a:off x="3646859" y="65526946"/>
          <a:ext cx="1562331" cy="12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500"/>
            <a:t>RENTA POR</a:t>
          </a:r>
          <a:r>
            <a:rPr lang="es-CO" sz="500" baseline="0"/>
            <a:t> HONORARIOS OPTEN COSTOS Y DEDUC.</a:t>
          </a:r>
          <a:endParaRPr lang="es-CO" sz="500"/>
        </a:p>
      </xdr:txBody>
    </xdr:sp>
    <xdr:clientData/>
  </xdr:twoCellAnchor>
  <xdr:twoCellAnchor>
    <xdr:from>
      <xdr:col>1</xdr:col>
      <xdr:colOff>1924049</xdr:colOff>
      <xdr:row>256</xdr:row>
      <xdr:rowOff>268166</xdr:rowOff>
    </xdr:from>
    <xdr:to>
      <xdr:col>2</xdr:col>
      <xdr:colOff>689085</xdr:colOff>
      <xdr:row>257</xdr:row>
      <xdr:rowOff>192598</xdr:rowOff>
    </xdr:to>
    <xdr:sp macro="" textlink="">
      <xdr:nvSpPr>
        <xdr:cNvPr id="73" name="24 CuadroTexto">
          <a:extLst>
            <a:ext uri="{FF2B5EF4-FFF2-40B4-BE49-F238E27FC236}">
              <a16:creationId xmlns:a16="http://schemas.microsoft.com/office/drawing/2014/main" id="{00000000-0008-0000-0500-000019000000}"/>
            </a:ext>
          </a:extLst>
        </xdr:cNvPr>
        <xdr:cNvSpPr txBox="1"/>
      </xdr:nvSpPr>
      <xdr:spPr>
        <a:xfrm>
          <a:off x="1990724" y="66000191"/>
          <a:ext cx="746236" cy="229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2</xdr:col>
      <xdr:colOff>1598001</xdr:colOff>
      <xdr:row>256</xdr:row>
      <xdr:rowOff>279890</xdr:rowOff>
    </xdr:from>
    <xdr:to>
      <xdr:col>3</xdr:col>
      <xdr:colOff>1082823</xdr:colOff>
      <xdr:row>257</xdr:row>
      <xdr:rowOff>189668</xdr:rowOff>
    </xdr:to>
    <xdr:sp macro="" textlink="">
      <xdr:nvSpPr>
        <xdr:cNvPr id="74" name="25 CuadroTexto">
          <a:extLst>
            <a:ext uri="{FF2B5EF4-FFF2-40B4-BE49-F238E27FC236}">
              <a16:creationId xmlns:a16="http://schemas.microsoft.com/office/drawing/2014/main" id="{00000000-0008-0000-0500-00001A000000}"/>
            </a:ext>
          </a:extLst>
        </xdr:cNvPr>
        <xdr:cNvSpPr txBox="1"/>
      </xdr:nvSpPr>
      <xdr:spPr>
        <a:xfrm>
          <a:off x="3645876" y="66011915"/>
          <a:ext cx="1161222" cy="214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2</xdr:col>
      <xdr:colOff>0</xdr:colOff>
      <xdr:row>217</xdr:row>
      <xdr:rowOff>0</xdr:rowOff>
    </xdr:from>
    <xdr:to>
      <xdr:col>2</xdr:col>
      <xdr:colOff>752904</xdr:colOff>
      <xdr:row>217</xdr:row>
      <xdr:rowOff>212735</xdr:rowOff>
    </xdr:to>
    <xdr:sp macro="" textlink="">
      <xdr:nvSpPr>
        <xdr:cNvPr id="79" name="20 CuadroTexto">
          <a:extLst>
            <a:ext uri="{FF2B5EF4-FFF2-40B4-BE49-F238E27FC236}">
              <a16:creationId xmlns:a16="http://schemas.microsoft.com/office/drawing/2014/main" id="{00000000-0008-0000-0500-000035000000}"/>
            </a:ext>
          </a:extLst>
        </xdr:cNvPr>
        <xdr:cNvSpPr txBox="1"/>
      </xdr:nvSpPr>
      <xdr:spPr>
        <a:xfrm>
          <a:off x="2049517" y="59830138"/>
          <a:ext cx="752904" cy="212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CAPITAL</a:t>
          </a:r>
        </a:p>
      </xdr:txBody>
    </xdr:sp>
    <xdr:clientData/>
  </xdr:twoCellAnchor>
  <xdr:twoCellAnchor>
    <xdr:from>
      <xdr:col>1</xdr:col>
      <xdr:colOff>1924707</xdr:colOff>
      <xdr:row>217</xdr:row>
      <xdr:rowOff>304800</xdr:rowOff>
    </xdr:from>
    <xdr:to>
      <xdr:col>2</xdr:col>
      <xdr:colOff>878145</xdr:colOff>
      <xdr:row>218</xdr:row>
      <xdr:rowOff>190983</xdr:rowOff>
    </xdr:to>
    <xdr:sp macro="" textlink="">
      <xdr:nvSpPr>
        <xdr:cNvPr id="81" name="21 CuadroTexto">
          <a:extLst>
            <a:ext uri="{FF2B5EF4-FFF2-40B4-BE49-F238E27FC236}">
              <a16:creationId xmlns:a16="http://schemas.microsoft.com/office/drawing/2014/main" id="{00000000-0008-0000-0500-000036000000}"/>
            </a:ext>
          </a:extLst>
        </xdr:cNvPr>
        <xdr:cNvSpPr txBox="1"/>
      </xdr:nvSpPr>
      <xdr:spPr>
        <a:xfrm>
          <a:off x="1991382" y="60855225"/>
          <a:ext cx="934638" cy="229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NO</a:t>
          </a:r>
          <a:r>
            <a:rPr lang="es-CO" sz="700" baseline="0"/>
            <a:t> LABORAL</a:t>
          </a:r>
          <a:endParaRPr lang="es-CO" sz="700"/>
        </a:p>
      </xdr:txBody>
    </xdr:sp>
    <xdr:clientData/>
  </xdr:twoCellAnchor>
  <xdr:twoCellAnchor>
    <xdr:from>
      <xdr:col>1</xdr:col>
      <xdr:colOff>1905000</xdr:colOff>
      <xdr:row>116</xdr:row>
      <xdr:rowOff>309069</xdr:rowOff>
    </xdr:from>
    <xdr:to>
      <xdr:col>3</xdr:col>
      <xdr:colOff>29207</xdr:colOff>
      <xdr:row>117</xdr:row>
      <xdr:rowOff>164553</xdr:rowOff>
    </xdr:to>
    <xdr:sp macro="" textlink="">
      <xdr:nvSpPr>
        <xdr:cNvPr id="82" name="18 CuadroTexto">
          <a:extLst>
            <a:ext uri="{FF2B5EF4-FFF2-40B4-BE49-F238E27FC236}">
              <a16:creationId xmlns:a16="http://schemas.microsoft.com/office/drawing/2014/main" id="{00000000-0008-0000-0500-000013000000}"/>
            </a:ext>
          </a:extLst>
        </xdr:cNvPr>
        <xdr:cNvSpPr txBox="1"/>
      </xdr:nvSpPr>
      <xdr:spPr>
        <a:xfrm>
          <a:off x="1971675" y="38971044"/>
          <a:ext cx="1781807" cy="1698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500"/>
            <a:t>RENTA LABORAL Y HONORARIOS - ART 206 E.T. PARAGRAFO 5</a:t>
          </a:r>
        </a:p>
      </xdr:txBody>
    </xdr:sp>
    <xdr:clientData/>
  </xdr:twoCellAnchor>
  <xdr:twoCellAnchor>
    <xdr:from>
      <xdr:col>1</xdr:col>
      <xdr:colOff>1911568</xdr:colOff>
      <xdr:row>218</xdr:row>
      <xdr:rowOff>320566</xdr:rowOff>
    </xdr:from>
    <xdr:to>
      <xdr:col>3</xdr:col>
      <xdr:colOff>35775</xdr:colOff>
      <xdr:row>219</xdr:row>
      <xdr:rowOff>169481</xdr:rowOff>
    </xdr:to>
    <xdr:sp macro="" textlink="">
      <xdr:nvSpPr>
        <xdr:cNvPr id="83" name="18 CuadroTexto">
          <a:extLst>
            <a:ext uri="{FF2B5EF4-FFF2-40B4-BE49-F238E27FC236}">
              <a16:creationId xmlns:a16="http://schemas.microsoft.com/office/drawing/2014/main" id="{00000000-0008-0000-0500-000013000000}"/>
            </a:ext>
          </a:extLst>
        </xdr:cNvPr>
        <xdr:cNvSpPr txBox="1"/>
      </xdr:nvSpPr>
      <xdr:spPr>
        <a:xfrm>
          <a:off x="1978243" y="61213891"/>
          <a:ext cx="1781807" cy="172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500"/>
            <a:t>RENTA LABORAL Y HONORARIOS - ART 206 E.T. PARAGRAFO 5</a:t>
          </a:r>
        </a:p>
      </xdr:txBody>
    </xdr:sp>
    <xdr:clientData/>
  </xdr:twoCellAnchor>
  <xdr:twoCellAnchor>
    <xdr:from>
      <xdr:col>1</xdr:col>
      <xdr:colOff>1911568</xdr:colOff>
      <xdr:row>221</xdr:row>
      <xdr:rowOff>394138</xdr:rowOff>
    </xdr:from>
    <xdr:to>
      <xdr:col>3</xdr:col>
      <xdr:colOff>35775</xdr:colOff>
      <xdr:row>222</xdr:row>
      <xdr:rowOff>285750</xdr:rowOff>
    </xdr:to>
    <xdr:sp macro="" textlink="">
      <xdr:nvSpPr>
        <xdr:cNvPr id="84" name="18 CuadroTexto">
          <a:extLst>
            <a:ext uri="{FF2B5EF4-FFF2-40B4-BE49-F238E27FC236}">
              <a16:creationId xmlns:a16="http://schemas.microsoft.com/office/drawing/2014/main" id="{00000000-0008-0000-0500-000013000000}"/>
            </a:ext>
          </a:extLst>
        </xdr:cNvPr>
        <xdr:cNvSpPr txBox="1"/>
      </xdr:nvSpPr>
      <xdr:spPr>
        <a:xfrm>
          <a:off x="1978243" y="62268538"/>
          <a:ext cx="1781807" cy="310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LABORAL Y HONORARIOS - ART 206 E.T. PARAGRAFO 5</a:t>
          </a:r>
        </a:p>
      </xdr:txBody>
    </xdr:sp>
    <xdr:clientData/>
  </xdr:twoCellAnchor>
  <xdr:twoCellAnchor>
    <xdr:from>
      <xdr:col>1</xdr:col>
      <xdr:colOff>1911569</xdr:colOff>
      <xdr:row>255</xdr:row>
      <xdr:rowOff>269328</xdr:rowOff>
    </xdr:from>
    <xdr:to>
      <xdr:col>3</xdr:col>
      <xdr:colOff>35776</xdr:colOff>
      <xdr:row>256</xdr:row>
      <xdr:rowOff>137949</xdr:rowOff>
    </xdr:to>
    <xdr:sp macro="" textlink="">
      <xdr:nvSpPr>
        <xdr:cNvPr id="85" name="18 CuadroTexto">
          <a:extLst>
            <a:ext uri="{FF2B5EF4-FFF2-40B4-BE49-F238E27FC236}">
              <a16:creationId xmlns:a16="http://schemas.microsoft.com/office/drawing/2014/main" id="{00000000-0008-0000-0500-000013000000}"/>
            </a:ext>
          </a:extLst>
        </xdr:cNvPr>
        <xdr:cNvSpPr txBox="1"/>
      </xdr:nvSpPr>
      <xdr:spPr>
        <a:xfrm>
          <a:off x="1977259" y="65532000"/>
          <a:ext cx="1783120" cy="170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500"/>
            <a:t>RENTA LABORAL Y HONORARIOS - ART 206 E.T. PARAGRAFO 5</a:t>
          </a:r>
        </a:p>
      </xdr:txBody>
    </xdr:sp>
    <xdr:clientData/>
  </xdr:twoCellAnchor>
  <xdr:twoCellAnchor>
    <xdr:from>
      <xdr:col>1</xdr:col>
      <xdr:colOff>1918137</xdr:colOff>
      <xdr:row>258</xdr:row>
      <xdr:rowOff>282466</xdr:rowOff>
    </xdr:from>
    <xdr:to>
      <xdr:col>3</xdr:col>
      <xdr:colOff>42344</xdr:colOff>
      <xdr:row>259</xdr:row>
      <xdr:rowOff>131380</xdr:rowOff>
    </xdr:to>
    <xdr:sp macro="" textlink="">
      <xdr:nvSpPr>
        <xdr:cNvPr id="86" name="18 CuadroTexto">
          <a:extLst>
            <a:ext uri="{FF2B5EF4-FFF2-40B4-BE49-F238E27FC236}">
              <a16:creationId xmlns:a16="http://schemas.microsoft.com/office/drawing/2014/main" id="{00000000-0008-0000-0500-000013000000}"/>
            </a:ext>
          </a:extLst>
        </xdr:cNvPr>
        <xdr:cNvSpPr txBox="1"/>
      </xdr:nvSpPr>
      <xdr:spPr>
        <a:xfrm>
          <a:off x="1983827" y="66326845"/>
          <a:ext cx="1783120" cy="170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500"/>
            <a:t>RENTA LABORAL Y HONORARIOS - ART 206 E.T. PARAGRAFO 5</a:t>
          </a:r>
        </a:p>
      </xdr:txBody>
    </xdr:sp>
    <xdr:clientData/>
  </xdr:twoCellAnchor>
  <xdr:twoCellAnchor>
    <xdr:from>
      <xdr:col>2</xdr:col>
      <xdr:colOff>1602827</xdr:colOff>
      <xdr:row>258</xdr:row>
      <xdr:rowOff>275897</xdr:rowOff>
    </xdr:from>
    <xdr:to>
      <xdr:col>4</xdr:col>
      <xdr:colOff>130296</xdr:colOff>
      <xdr:row>259</xdr:row>
      <xdr:rowOff>77313</xdr:rowOff>
    </xdr:to>
    <xdr:sp macro="" textlink="">
      <xdr:nvSpPr>
        <xdr:cNvPr id="87" name="23 CuadroTexto">
          <a:extLst>
            <a:ext uri="{FF2B5EF4-FFF2-40B4-BE49-F238E27FC236}">
              <a16:creationId xmlns:a16="http://schemas.microsoft.com/office/drawing/2014/main" id="{00000000-0008-0000-0500-000018000000}"/>
            </a:ext>
          </a:extLst>
        </xdr:cNvPr>
        <xdr:cNvSpPr txBox="1"/>
      </xdr:nvSpPr>
      <xdr:spPr>
        <a:xfrm>
          <a:off x="3652344" y="66385966"/>
          <a:ext cx="1562331" cy="12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500"/>
            <a:t>RENTA POR</a:t>
          </a:r>
          <a:r>
            <a:rPr lang="es-CO" sz="500" baseline="0"/>
            <a:t> HONORARIOS OPTEN COSTOS Y DEDUC.</a:t>
          </a:r>
          <a:endParaRPr lang="es-CO" sz="500"/>
        </a:p>
      </xdr:txBody>
    </xdr:sp>
    <xdr:clientData/>
  </xdr:twoCellAnchor>
  <xdr:twoCellAnchor>
    <xdr:from>
      <xdr:col>2</xdr:col>
      <xdr:colOff>1615965</xdr:colOff>
      <xdr:row>219</xdr:row>
      <xdr:rowOff>3285</xdr:rowOff>
    </xdr:from>
    <xdr:to>
      <xdr:col>4</xdr:col>
      <xdr:colOff>143434</xdr:colOff>
      <xdr:row>219</xdr:row>
      <xdr:rowOff>128551</xdr:rowOff>
    </xdr:to>
    <xdr:sp macro="" textlink="">
      <xdr:nvSpPr>
        <xdr:cNvPr id="88" name="23 CuadroTexto">
          <a:extLst>
            <a:ext uri="{FF2B5EF4-FFF2-40B4-BE49-F238E27FC236}">
              <a16:creationId xmlns:a16="http://schemas.microsoft.com/office/drawing/2014/main" id="{00000000-0008-0000-0500-000018000000}"/>
            </a:ext>
          </a:extLst>
        </xdr:cNvPr>
        <xdr:cNvSpPr txBox="1"/>
      </xdr:nvSpPr>
      <xdr:spPr>
        <a:xfrm>
          <a:off x="3663840" y="61220460"/>
          <a:ext cx="1565944" cy="125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500"/>
            <a:t>RENTA POR</a:t>
          </a:r>
          <a:r>
            <a:rPr lang="es-CO" sz="500" baseline="0"/>
            <a:t> HONORARIOS OPTEN COSTOS Y DEDUC.</a:t>
          </a:r>
          <a:endParaRPr lang="es-CO" sz="500"/>
        </a:p>
      </xdr:txBody>
    </xdr:sp>
    <xdr:clientData/>
  </xdr:twoCellAnchor>
  <xdr:twoCellAnchor>
    <xdr:from>
      <xdr:col>2</xdr:col>
      <xdr:colOff>1602826</xdr:colOff>
      <xdr:row>221</xdr:row>
      <xdr:rowOff>380999</xdr:rowOff>
    </xdr:from>
    <xdr:to>
      <xdr:col>4</xdr:col>
      <xdr:colOff>47624</xdr:colOff>
      <xdr:row>222</xdr:row>
      <xdr:rowOff>276225</xdr:rowOff>
    </xdr:to>
    <xdr:sp macro="" textlink="">
      <xdr:nvSpPr>
        <xdr:cNvPr id="89" name="23 CuadroTexto">
          <a:extLst>
            <a:ext uri="{FF2B5EF4-FFF2-40B4-BE49-F238E27FC236}">
              <a16:creationId xmlns:a16="http://schemas.microsoft.com/office/drawing/2014/main" id="{00000000-0008-0000-0500-000018000000}"/>
            </a:ext>
          </a:extLst>
        </xdr:cNvPr>
        <xdr:cNvSpPr txBox="1"/>
      </xdr:nvSpPr>
      <xdr:spPr>
        <a:xfrm>
          <a:off x="3650701" y="62255399"/>
          <a:ext cx="1483273" cy="314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700"/>
            <a:t>RENTA POR</a:t>
          </a:r>
          <a:r>
            <a:rPr lang="es-CO" sz="700" baseline="0"/>
            <a:t> HONORARIOS OPTEN COSTOS Y DEDUC.</a:t>
          </a:r>
          <a:endParaRPr lang="es-CO" sz="700"/>
        </a:p>
      </xdr:txBody>
    </xdr:sp>
    <xdr:clientData/>
  </xdr:twoCellAnchor>
  <xdr:twoCellAnchor>
    <xdr:from>
      <xdr:col>1</xdr:col>
      <xdr:colOff>1918137</xdr:colOff>
      <xdr:row>118</xdr:row>
      <xdr:rowOff>293633</xdr:rowOff>
    </xdr:from>
    <xdr:to>
      <xdr:col>3</xdr:col>
      <xdr:colOff>78828</xdr:colOff>
      <xdr:row>119</xdr:row>
      <xdr:rowOff>181960</xdr:rowOff>
    </xdr:to>
    <xdr:sp macro="" textlink="">
      <xdr:nvSpPr>
        <xdr:cNvPr id="90" name="23 CuadroTexto">
          <a:extLst>
            <a:ext uri="{FF2B5EF4-FFF2-40B4-BE49-F238E27FC236}">
              <a16:creationId xmlns:a16="http://schemas.microsoft.com/office/drawing/2014/main" id="{00000000-0008-0000-0500-000018000000}"/>
            </a:ext>
          </a:extLst>
        </xdr:cNvPr>
        <xdr:cNvSpPr txBox="1"/>
      </xdr:nvSpPr>
      <xdr:spPr>
        <a:xfrm>
          <a:off x="1984812" y="39574733"/>
          <a:ext cx="1818291" cy="221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600"/>
            <a:t>RENTA POR</a:t>
          </a:r>
          <a:r>
            <a:rPr lang="es-CO" sz="600" baseline="0"/>
            <a:t> HONORARIOS OPTEN COSTOS Y DEDUC.</a:t>
          </a:r>
          <a:endParaRPr lang="es-CO" sz="600"/>
        </a:p>
      </xdr:txBody>
    </xdr:sp>
    <xdr:clientData/>
  </xdr:twoCellAnchor>
  <xdr:twoCellAnchor>
    <xdr:from>
      <xdr:col>1</xdr:col>
      <xdr:colOff>1904999</xdr:colOff>
      <xdr:row>115</xdr:row>
      <xdr:rowOff>245351</xdr:rowOff>
    </xdr:from>
    <xdr:to>
      <xdr:col>3</xdr:col>
      <xdr:colOff>91966</xdr:colOff>
      <xdr:row>116</xdr:row>
      <xdr:rowOff>133678</xdr:rowOff>
    </xdr:to>
    <xdr:sp macro="" textlink="">
      <xdr:nvSpPr>
        <xdr:cNvPr id="91" name="23 CuadroTexto">
          <a:extLst>
            <a:ext uri="{FF2B5EF4-FFF2-40B4-BE49-F238E27FC236}">
              <a16:creationId xmlns:a16="http://schemas.microsoft.com/office/drawing/2014/main" id="{00000000-0008-0000-0500-000018000000}"/>
            </a:ext>
          </a:extLst>
        </xdr:cNvPr>
        <xdr:cNvSpPr txBox="1"/>
      </xdr:nvSpPr>
      <xdr:spPr>
        <a:xfrm>
          <a:off x="1971674" y="38621576"/>
          <a:ext cx="1844567" cy="1740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600"/>
            <a:t>RENTA POR</a:t>
          </a:r>
          <a:r>
            <a:rPr lang="es-CO" sz="600" baseline="0"/>
            <a:t> HONORARIOS OPTEN COSTOS Y DEDUC.</a:t>
          </a:r>
          <a:endParaRPr lang="es-CO" sz="6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563219</xdr:colOff>
      <xdr:row>49</xdr:row>
      <xdr:rowOff>82411</xdr:rowOff>
    </xdr:from>
    <xdr:to>
      <xdr:col>4</xdr:col>
      <xdr:colOff>571500</xdr:colOff>
      <xdr:row>50</xdr:row>
      <xdr:rowOff>107674</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4199284" y="9226411"/>
          <a:ext cx="1590259" cy="19091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AR" sz="800"/>
            <a:t>VOLVER A DATOS PARA DEPURAR</a:t>
          </a:r>
        </a:p>
      </xdr:txBody>
    </xdr:sp>
    <xdr:clientData/>
  </xdr:twoCellAnchor>
  <xdr:twoCellAnchor editAs="oneCell">
    <xdr:from>
      <xdr:col>1</xdr:col>
      <xdr:colOff>2628900</xdr:colOff>
      <xdr:row>48</xdr:row>
      <xdr:rowOff>19050</xdr:rowOff>
    </xdr:from>
    <xdr:to>
      <xdr:col>2</xdr:col>
      <xdr:colOff>152400</xdr:colOff>
      <xdr:row>50</xdr:row>
      <xdr:rowOff>152400</xdr:rowOff>
    </xdr:to>
    <xdr:pic>
      <xdr:nvPicPr>
        <xdr:cNvPr id="3952" name="Picture 3">
          <a:extLst>
            <a:ext uri="{FF2B5EF4-FFF2-40B4-BE49-F238E27FC236}">
              <a16:creationId xmlns:a16="http://schemas.microsoft.com/office/drawing/2014/main" id="{00000000-0008-0000-0100-00007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00400" y="8848725"/>
          <a:ext cx="590550" cy="51435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542508</xdr:colOff>
      <xdr:row>10</xdr:row>
      <xdr:rowOff>232301</xdr:rowOff>
    </xdr:from>
    <xdr:to>
      <xdr:col>2</xdr:col>
      <xdr:colOff>1625943</xdr:colOff>
      <xdr:row>12</xdr:row>
      <xdr:rowOff>60911</xdr:rowOff>
    </xdr:to>
    <xdr:sp macro="" textlink="">
      <xdr:nvSpPr>
        <xdr:cNvPr id="2" name="1 CuadroTexto">
          <a:extLst>
            <a:ext uri="{FF2B5EF4-FFF2-40B4-BE49-F238E27FC236}">
              <a16:creationId xmlns:a16="http://schemas.microsoft.com/office/drawing/2014/main" id="{00000000-0008-0000-0800-000002000000}"/>
            </a:ext>
          </a:extLst>
        </xdr:cNvPr>
        <xdr:cNvSpPr txBox="1"/>
      </xdr:nvSpPr>
      <xdr:spPr>
        <a:xfrm>
          <a:off x="898660" y="2104171"/>
          <a:ext cx="1696348" cy="408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MAGISTRADOS Y FISCALES</a:t>
          </a:r>
        </a:p>
      </xdr:txBody>
    </xdr:sp>
    <xdr:clientData/>
  </xdr:twoCellAnchor>
  <xdr:twoCellAnchor>
    <xdr:from>
      <xdr:col>2</xdr:col>
      <xdr:colOff>2775268</xdr:colOff>
      <xdr:row>10</xdr:row>
      <xdr:rowOff>214870</xdr:rowOff>
    </xdr:from>
    <xdr:to>
      <xdr:col>4</xdr:col>
      <xdr:colOff>25272</xdr:colOff>
      <xdr:row>11</xdr:row>
      <xdr:rowOff>215348</xdr:rowOff>
    </xdr:to>
    <xdr:sp macro="" textlink="">
      <xdr:nvSpPr>
        <xdr:cNvPr id="3" name="2 CuadroTexto">
          <a:extLst>
            <a:ext uri="{FF2B5EF4-FFF2-40B4-BE49-F238E27FC236}">
              <a16:creationId xmlns:a16="http://schemas.microsoft.com/office/drawing/2014/main" id="{00000000-0008-0000-0800-000003000000}"/>
            </a:ext>
          </a:extLst>
        </xdr:cNvPr>
        <xdr:cNvSpPr txBox="1"/>
      </xdr:nvSpPr>
      <xdr:spPr>
        <a:xfrm>
          <a:off x="3744333" y="2202696"/>
          <a:ext cx="1498982" cy="215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JUEZ</a:t>
          </a:r>
          <a:r>
            <a:rPr lang="es-CO" sz="800" b="1" baseline="0"/>
            <a:t> DE LA REPUBLICA</a:t>
          </a:r>
          <a:endParaRPr lang="es-CO" sz="800" b="1"/>
        </a:p>
      </xdr:txBody>
    </xdr:sp>
    <xdr:clientData/>
  </xdr:twoCellAnchor>
  <xdr:twoCellAnchor>
    <xdr:from>
      <xdr:col>1</xdr:col>
      <xdr:colOff>528431</xdr:colOff>
      <xdr:row>11</xdr:row>
      <xdr:rowOff>310853</xdr:rowOff>
    </xdr:from>
    <xdr:to>
      <xdr:col>2</xdr:col>
      <xdr:colOff>2335696</xdr:colOff>
      <xdr:row>12</xdr:row>
      <xdr:rowOff>221560</xdr:rowOff>
    </xdr:to>
    <xdr:sp macro="" textlink="">
      <xdr:nvSpPr>
        <xdr:cNvPr id="4" name="3 CuadroTexto">
          <a:extLst>
            <a:ext uri="{FF2B5EF4-FFF2-40B4-BE49-F238E27FC236}">
              <a16:creationId xmlns:a16="http://schemas.microsoft.com/office/drawing/2014/main" id="{00000000-0008-0000-0800-000004000000}"/>
            </a:ext>
          </a:extLst>
        </xdr:cNvPr>
        <xdr:cNvSpPr txBox="1"/>
      </xdr:nvSpPr>
      <xdr:spPr>
        <a:xfrm>
          <a:off x="884583" y="2472614"/>
          <a:ext cx="2420178" cy="225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RECTORES Y PROFESORES DE UNIVERSIDAD</a:t>
          </a:r>
          <a:r>
            <a:rPr lang="es-CO" sz="800" b="1" baseline="0"/>
            <a:t> PUBLICA</a:t>
          </a:r>
          <a:endParaRPr lang="es-CO" sz="8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JOIVER/CONFIG~1/Temp/Rar$DI00.547/Conferencia%20Obligacion%20Declarar%20Renta/MODELO%20APLICATIVO%20DE%20DEPURAR%20RENTA%20A&#209;O%202013%20PERSONA%20NATURAL%20-%20OJEDA%20PACHECO%20YOIBER%20ANTON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RIMONIO BRUTO"/>
      <sheetName val="DATOS PARA DEPURAR"/>
      <sheetName val="DEPURACION ORDINARIO"/>
      <sheetName val="IMAS TRABAJADOR POR CTA PROPIA"/>
      <sheetName val="DEPURACION POR IMAS EMPLEADO"/>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openxmlformats.org/officeDocument/2006/relationships/comments" Target="../comments7.xml"/><Relationship Id="rId4" Type="http://schemas.openxmlformats.org/officeDocument/2006/relationships/image" Target="../media/image2.png"/></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1.bin"/><Relationship Id="rId1" Type="http://schemas.openxmlformats.org/officeDocument/2006/relationships/hyperlink" Target="mailto:yoiberantonioojedapacheco@hotmail.com"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4" Type="http://schemas.openxmlformats.org/officeDocument/2006/relationships/comments" Target="../comments1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oiberantonioojedapacheco@hotmail.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D105"/>
  <sheetViews>
    <sheetView workbookViewId="0">
      <selection activeCell="G5" sqref="G5"/>
    </sheetView>
  </sheetViews>
  <sheetFormatPr baseColWidth="10" defaultRowHeight="15" x14ac:dyDescent="0.2"/>
  <cols>
    <col min="1" max="1" width="0.85546875" style="473" customWidth="1"/>
    <col min="2" max="2" width="14.140625" style="473" customWidth="1"/>
    <col min="3" max="3" width="26.42578125" style="474" customWidth="1"/>
    <col min="4" max="4" width="54.5703125" style="473" customWidth="1"/>
    <col min="5" max="16384" width="11.42578125" style="473"/>
  </cols>
  <sheetData>
    <row r="1" spans="2:4" ht="5.0999999999999996" customHeight="1" x14ac:dyDescent="0.2"/>
    <row r="2" spans="2:4" ht="15.75" thickBot="1" x14ac:dyDescent="0.25"/>
    <row r="3" spans="2:4" ht="80.099999999999994" customHeight="1" thickBot="1" x14ac:dyDescent="0.25">
      <c r="B3" s="1188"/>
      <c r="C3" s="1189"/>
      <c r="D3" s="1190"/>
    </row>
    <row r="4" spans="2:4" ht="5.0999999999999996" customHeight="1" thickBot="1" x14ac:dyDescent="0.25"/>
    <row r="5" spans="2:4" ht="30" customHeight="1" x14ac:dyDescent="0.2">
      <c r="B5" s="475" t="s">
        <v>450</v>
      </c>
      <c r="C5" s="476" t="s">
        <v>451</v>
      </c>
      <c r="D5" s="477" t="s">
        <v>452</v>
      </c>
    </row>
    <row r="6" spans="2:4" ht="15" customHeight="1" x14ac:dyDescent="0.2">
      <c r="B6" s="1191" t="s">
        <v>453</v>
      </c>
      <c r="C6" s="557">
        <v>1</v>
      </c>
      <c r="D6" s="558">
        <v>44814</v>
      </c>
    </row>
    <row r="7" spans="2:4" x14ac:dyDescent="0.2">
      <c r="B7" s="1191"/>
      <c r="C7" s="557">
        <v>2</v>
      </c>
      <c r="D7" s="558">
        <v>44814</v>
      </c>
    </row>
    <row r="8" spans="2:4" x14ac:dyDescent="0.2">
      <c r="B8" s="1191"/>
      <c r="C8" s="557">
        <v>3</v>
      </c>
      <c r="D8" s="558">
        <v>44783</v>
      </c>
    </row>
    <row r="9" spans="2:4" x14ac:dyDescent="0.2">
      <c r="B9" s="1191"/>
      <c r="C9" s="557">
        <v>4</v>
      </c>
      <c r="D9" s="558">
        <v>44783</v>
      </c>
    </row>
    <row r="10" spans="2:4" x14ac:dyDescent="0.2">
      <c r="B10" s="1191"/>
      <c r="C10" s="557">
        <v>5</v>
      </c>
      <c r="D10" s="558">
        <v>44784</v>
      </c>
    </row>
    <row r="11" spans="2:4" x14ac:dyDescent="0.2">
      <c r="B11" s="1191"/>
      <c r="C11" s="557">
        <v>6</v>
      </c>
      <c r="D11" s="558">
        <v>44784</v>
      </c>
    </row>
    <row r="12" spans="2:4" x14ac:dyDescent="0.2">
      <c r="B12" s="1191"/>
      <c r="C12" s="557">
        <v>7</v>
      </c>
      <c r="D12" s="558">
        <v>44785</v>
      </c>
    </row>
    <row r="13" spans="2:4" x14ac:dyDescent="0.2">
      <c r="B13" s="1191"/>
      <c r="C13" s="557">
        <v>8</v>
      </c>
      <c r="D13" s="558">
        <v>44785</v>
      </c>
    </row>
    <row r="14" spans="2:4" x14ac:dyDescent="0.2">
      <c r="B14" s="1191"/>
      <c r="C14" s="557">
        <v>9</v>
      </c>
      <c r="D14" s="558">
        <v>44789</v>
      </c>
    </row>
    <row r="15" spans="2:4" x14ac:dyDescent="0.2">
      <c r="B15" s="1191"/>
      <c r="C15" s="478">
        <v>10</v>
      </c>
      <c r="D15" s="558">
        <v>44789</v>
      </c>
    </row>
    <row r="16" spans="2:4" ht="15.75" customHeight="1" x14ac:dyDescent="0.2">
      <c r="B16" s="1191"/>
      <c r="C16" s="478">
        <v>11</v>
      </c>
      <c r="D16" s="558">
        <v>44790</v>
      </c>
    </row>
    <row r="17" spans="2:4" ht="15" customHeight="1" x14ac:dyDescent="0.2">
      <c r="B17" s="1191"/>
      <c r="C17" s="478">
        <v>12</v>
      </c>
      <c r="D17" s="558">
        <v>44790</v>
      </c>
    </row>
    <row r="18" spans="2:4" x14ac:dyDescent="0.2">
      <c r="B18" s="1191"/>
      <c r="C18" s="478">
        <v>13</v>
      </c>
      <c r="D18" s="558">
        <v>44791</v>
      </c>
    </row>
    <row r="19" spans="2:4" x14ac:dyDescent="0.2">
      <c r="B19" s="1191"/>
      <c r="C19" s="478">
        <v>14</v>
      </c>
      <c r="D19" s="558">
        <v>44791</v>
      </c>
    </row>
    <row r="20" spans="2:4" x14ac:dyDescent="0.2">
      <c r="B20" s="1191"/>
      <c r="C20" s="478">
        <v>15</v>
      </c>
      <c r="D20" s="558">
        <v>44792</v>
      </c>
    </row>
    <row r="21" spans="2:4" x14ac:dyDescent="0.2">
      <c r="B21" s="1191"/>
      <c r="C21" s="478">
        <v>16</v>
      </c>
      <c r="D21" s="558">
        <v>44792</v>
      </c>
    </row>
    <row r="22" spans="2:4" x14ac:dyDescent="0.2">
      <c r="B22" s="1191"/>
      <c r="C22" s="478">
        <v>17</v>
      </c>
      <c r="D22" s="558">
        <v>44795</v>
      </c>
    </row>
    <row r="23" spans="2:4" x14ac:dyDescent="0.2">
      <c r="B23" s="1191"/>
      <c r="C23" s="478">
        <v>18</v>
      </c>
      <c r="D23" s="558">
        <v>44795</v>
      </c>
    </row>
    <row r="24" spans="2:4" x14ac:dyDescent="0.2">
      <c r="B24" s="1191"/>
      <c r="C24" s="478">
        <v>19</v>
      </c>
      <c r="D24" s="558">
        <v>44796</v>
      </c>
    </row>
    <row r="25" spans="2:4" x14ac:dyDescent="0.2">
      <c r="B25" s="1191"/>
      <c r="C25" s="478">
        <v>20</v>
      </c>
      <c r="D25" s="558">
        <v>44796</v>
      </c>
    </row>
    <row r="26" spans="2:4" ht="15" customHeight="1" x14ac:dyDescent="0.2">
      <c r="B26" s="1191"/>
      <c r="C26" s="478">
        <v>21</v>
      </c>
      <c r="D26" s="558">
        <v>44797</v>
      </c>
    </row>
    <row r="27" spans="2:4" x14ac:dyDescent="0.2">
      <c r="B27" s="1191"/>
      <c r="C27" s="478">
        <v>22</v>
      </c>
      <c r="D27" s="558">
        <v>44797</v>
      </c>
    </row>
    <row r="28" spans="2:4" x14ac:dyDescent="0.2">
      <c r="B28" s="1191"/>
      <c r="C28" s="478">
        <v>23</v>
      </c>
      <c r="D28" s="558">
        <v>44798</v>
      </c>
    </row>
    <row r="29" spans="2:4" x14ac:dyDescent="0.2">
      <c r="B29" s="1191"/>
      <c r="C29" s="478">
        <v>24</v>
      </c>
      <c r="D29" s="558">
        <v>44798</v>
      </c>
    </row>
    <row r="30" spans="2:4" x14ac:dyDescent="0.2">
      <c r="B30" s="1191"/>
      <c r="C30" s="478">
        <v>25</v>
      </c>
      <c r="D30" s="558">
        <v>44799</v>
      </c>
    </row>
    <row r="31" spans="2:4" x14ac:dyDescent="0.2">
      <c r="B31" s="1191"/>
      <c r="C31" s="478">
        <v>26</v>
      </c>
      <c r="D31" s="558">
        <v>44799</v>
      </c>
    </row>
    <row r="32" spans="2:4" x14ac:dyDescent="0.2">
      <c r="B32" s="1191"/>
      <c r="C32" s="478">
        <v>27</v>
      </c>
      <c r="D32" s="558">
        <v>44802</v>
      </c>
    </row>
    <row r="33" spans="2:4" x14ac:dyDescent="0.2">
      <c r="B33" s="1191"/>
      <c r="C33" s="478">
        <v>28</v>
      </c>
      <c r="D33" s="558">
        <v>44802</v>
      </c>
    </row>
    <row r="34" spans="2:4" x14ac:dyDescent="0.2">
      <c r="B34" s="1191"/>
      <c r="C34" s="478">
        <v>29</v>
      </c>
      <c r="D34" s="558">
        <v>44803</v>
      </c>
    </row>
    <row r="35" spans="2:4" x14ac:dyDescent="0.2">
      <c r="B35" s="1191"/>
      <c r="C35" s="478">
        <v>30</v>
      </c>
      <c r="D35" s="558">
        <v>44803</v>
      </c>
    </row>
    <row r="36" spans="2:4" ht="15" customHeight="1" x14ac:dyDescent="0.2">
      <c r="B36" s="1191"/>
      <c r="C36" s="478">
        <v>31</v>
      </c>
      <c r="D36" s="558">
        <v>44804</v>
      </c>
    </row>
    <row r="37" spans="2:4" x14ac:dyDescent="0.2">
      <c r="B37" s="1191"/>
      <c r="C37" s="478">
        <v>32</v>
      </c>
      <c r="D37" s="558">
        <v>44804</v>
      </c>
    </row>
    <row r="38" spans="2:4" x14ac:dyDescent="0.2">
      <c r="B38" s="1191"/>
      <c r="C38" s="478">
        <v>33</v>
      </c>
      <c r="D38" s="558">
        <v>44805</v>
      </c>
    </row>
    <row r="39" spans="2:4" x14ac:dyDescent="0.2">
      <c r="B39" s="1191"/>
      <c r="C39" s="478">
        <v>34</v>
      </c>
      <c r="D39" s="558">
        <v>44805</v>
      </c>
    </row>
    <row r="40" spans="2:4" x14ac:dyDescent="0.2">
      <c r="B40" s="1191"/>
      <c r="C40" s="478">
        <v>35</v>
      </c>
      <c r="D40" s="558">
        <v>44806</v>
      </c>
    </row>
    <row r="41" spans="2:4" x14ac:dyDescent="0.2">
      <c r="B41" s="1191"/>
      <c r="C41" s="478">
        <v>36</v>
      </c>
      <c r="D41" s="558">
        <v>44806</v>
      </c>
    </row>
    <row r="42" spans="2:4" x14ac:dyDescent="0.2">
      <c r="B42" s="1191"/>
      <c r="C42" s="478">
        <v>37</v>
      </c>
      <c r="D42" s="558">
        <v>44809</v>
      </c>
    </row>
    <row r="43" spans="2:4" x14ac:dyDescent="0.2">
      <c r="B43" s="1191"/>
      <c r="C43" s="478">
        <v>38</v>
      </c>
      <c r="D43" s="558">
        <v>44809</v>
      </c>
    </row>
    <row r="44" spans="2:4" x14ac:dyDescent="0.2">
      <c r="B44" s="1191"/>
      <c r="C44" s="478">
        <v>39</v>
      </c>
      <c r="D44" s="558">
        <v>44810</v>
      </c>
    </row>
    <row r="45" spans="2:4" x14ac:dyDescent="0.2">
      <c r="B45" s="1191"/>
      <c r="C45" s="478">
        <v>40</v>
      </c>
      <c r="D45" s="558">
        <v>44810</v>
      </c>
    </row>
    <row r="46" spans="2:4" ht="15" customHeight="1" x14ac:dyDescent="0.2">
      <c r="B46" s="1191"/>
      <c r="C46" s="478">
        <v>41</v>
      </c>
      <c r="D46" s="558">
        <v>44811</v>
      </c>
    </row>
    <row r="47" spans="2:4" x14ac:dyDescent="0.2">
      <c r="B47" s="1191"/>
      <c r="C47" s="478">
        <v>42</v>
      </c>
      <c r="D47" s="558">
        <v>44811</v>
      </c>
    </row>
    <row r="48" spans="2:4" x14ac:dyDescent="0.2">
      <c r="B48" s="1191"/>
      <c r="C48" s="478">
        <v>43</v>
      </c>
      <c r="D48" s="558">
        <v>44812</v>
      </c>
    </row>
    <row r="49" spans="2:4" x14ac:dyDescent="0.2">
      <c r="B49" s="1191"/>
      <c r="C49" s="478">
        <v>44</v>
      </c>
      <c r="D49" s="558">
        <v>44812</v>
      </c>
    </row>
    <row r="50" spans="2:4" x14ac:dyDescent="0.2">
      <c r="B50" s="1191"/>
      <c r="C50" s="478">
        <v>45</v>
      </c>
      <c r="D50" s="558">
        <v>44815</v>
      </c>
    </row>
    <row r="51" spans="2:4" x14ac:dyDescent="0.2">
      <c r="B51" s="1191"/>
      <c r="C51" s="478">
        <v>46</v>
      </c>
      <c r="D51" s="558">
        <v>44815</v>
      </c>
    </row>
    <row r="52" spans="2:4" x14ac:dyDescent="0.2">
      <c r="B52" s="1191"/>
      <c r="C52" s="478">
        <v>47</v>
      </c>
      <c r="D52" s="558">
        <v>44816</v>
      </c>
    </row>
    <row r="53" spans="2:4" x14ac:dyDescent="0.2">
      <c r="B53" s="1191"/>
      <c r="C53" s="478">
        <v>48</v>
      </c>
      <c r="D53" s="558">
        <v>44816</v>
      </c>
    </row>
    <row r="54" spans="2:4" x14ac:dyDescent="0.2">
      <c r="B54" s="1191"/>
      <c r="C54" s="478">
        <v>49</v>
      </c>
      <c r="D54" s="558">
        <v>44817</v>
      </c>
    </row>
    <row r="55" spans="2:4" x14ac:dyDescent="0.2">
      <c r="B55" s="1191"/>
      <c r="C55" s="478">
        <v>50</v>
      </c>
      <c r="D55" s="558">
        <v>44817</v>
      </c>
    </row>
    <row r="56" spans="2:4" ht="15" customHeight="1" x14ac:dyDescent="0.2">
      <c r="B56" s="1191"/>
      <c r="C56" s="478">
        <v>51</v>
      </c>
      <c r="D56" s="558">
        <v>44818</v>
      </c>
    </row>
    <row r="57" spans="2:4" x14ac:dyDescent="0.2">
      <c r="B57" s="1191"/>
      <c r="C57" s="478">
        <v>52</v>
      </c>
      <c r="D57" s="558">
        <v>44818</v>
      </c>
    </row>
    <row r="58" spans="2:4" x14ac:dyDescent="0.2">
      <c r="B58" s="1191"/>
      <c r="C58" s="478">
        <v>53</v>
      </c>
      <c r="D58" s="558">
        <v>44819</v>
      </c>
    </row>
    <row r="59" spans="2:4" x14ac:dyDescent="0.2">
      <c r="B59" s="1191"/>
      <c r="C59" s="478">
        <v>54</v>
      </c>
      <c r="D59" s="558">
        <v>44819</v>
      </c>
    </row>
    <row r="60" spans="2:4" x14ac:dyDescent="0.2">
      <c r="B60" s="1191"/>
      <c r="C60" s="478">
        <v>55</v>
      </c>
      <c r="D60" s="558">
        <v>44820</v>
      </c>
    </row>
    <row r="61" spans="2:4" x14ac:dyDescent="0.2">
      <c r="B61" s="1191"/>
      <c r="C61" s="478">
        <v>56</v>
      </c>
      <c r="D61" s="558">
        <v>44820</v>
      </c>
    </row>
    <row r="62" spans="2:4" x14ac:dyDescent="0.2">
      <c r="B62" s="1191"/>
      <c r="C62" s="478">
        <v>57</v>
      </c>
      <c r="D62" s="558">
        <v>44823</v>
      </c>
    </row>
    <row r="63" spans="2:4" x14ac:dyDescent="0.2">
      <c r="B63" s="1191"/>
      <c r="C63" s="478">
        <v>58</v>
      </c>
      <c r="D63" s="558">
        <v>44823</v>
      </c>
    </row>
    <row r="64" spans="2:4" x14ac:dyDescent="0.2">
      <c r="B64" s="1191"/>
      <c r="C64" s="478">
        <v>59</v>
      </c>
      <c r="D64" s="558">
        <v>44824</v>
      </c>
    </row>
    <row r="65" spans="2:4" x14ac:dyDescent="0.2">
      <c r="B65" s="1191"/>
      <c r="C65" s="478">
        <v>60</v>
      </c>
      <c r="D65" s="558">
        <v>44824</v>
      </c>
    </row>
    <row r="66" spans="2:4" ht="15" customHeight="1" x14ac:dyDescent="0.2">
      <c r="B66" s="1191"/>
      <c r="C66" s="478">
        <v>61</v>
      </c>
      <c r="D66" s="558">
        <v>44825</v>
      </c>
    </row>
    <row r="67" spans="2:4" x14ac:dyDescent="0.2">
      <c r="B67" s="1191"/>
      <c r="C67" s="478">
        <v>62</v>
      </c>
      <c r="D67" s="558">
        <v>44825</v>
      </c>
    </row>
    <row r="68" spans="2:4" x14ac:dyDescent="0.2">
      <c r="B68" s="1191"/>
      <c r="C68" s="478">
        <v>63</v>
      </c>
      <c r="D68" s="558">
        <v>44826</v>
      </c>
    </row>
    <row r="69" spans="2:4" x14ac:dyDescent="0.2">
      <c r="B69" s="1191"/>
      <c r="C69" s="478">
        <v>64</v>
      </c>
      <c r="D69" s="558">
        <v>44826</v>
      </c>
    </row>
    <row r="70" spans="2:4" x14ac:dyDescent="0.2">
      <c r="B70" s="1191"/>
      <c r="C70" s="478">
        <v>65</v>
      </c>
      <c r="D70" s="558">
        <v>44827</v>
      </c>
    </row>
    <row r="71" spans="2:4" x14ac:dyDescent="0.2">
      <c r="B71" s="1191"/>
      <c r="C71" s="478">
        <v>66</v>
      </c>
      <c r="D71" s="558">
        <v>44827</v>
      </c>
    </row>
    <row r="72" spans="2:4" x14ac:dyDescent="0.2">
      <c r="B72" s="1191"/>
      <c r="C72" s="478">
        <v>67</v>
      </c>
      <c r="D72" s="558">
        <v>44830</v>
      </c>
    </row>
    <row r="73" spans="2:4" x14ac:dyDescent="0.2">
      <c r="B73" s="1191"/>
      <c r="C73" s="478">
        <v>68</v>
      </c>
      <c r="D73" s="558">
        <v>44830</v>
      </c>
    </row>
    <row r="74" spans="2:4" x14ac:dyDescent="0.2">
      <c r="B74" s="1191"/>
      <c r="C74" s="478">
        <v>69</v>
      </c>
      <c r="D74" s="558">
        <v>44831</v>
      </c>
    </row>
    <row r="75" spans="2:4" x14ac:dyDescent="0.2">
      <c r="B75" s="1191"/>
      <c r="C75" s="478">
        <v>70</v>
      </c>
      <c r="D75" s="558">
        <v>44831</v>
      </c>
    </row>
    <row r="76" spans="2:4" ht="15" customHeight="1" x14ac:dyDescent="0.2">
      <c r="B76" s="1191"/>
      <c r="C76" s="478">
        <v>71</v>
      </c>
      <c r="D76" s="558">
        <v>44832</v>
      </c>
    </row>
    <row r="77" spans="2:4" x14ac:dyDescent="0.2">
      <c r="B77" s="1191"/>
      <c r="C77" s="478">
        <v>72</v>
      </c>
      <c r="D77" s="558">
        <v>44832</v>
      </c>
    </row>
    <row r="78" spans="2:4" x14ac:dyDescent="0.2">
      <c r="B78" s="1191"/>
      <c r="C78" s="478">
        <v>73</v>
      </c>
      <c r="D78" s="848">
        <v>44833</v>
      </c>
    </row>
    <row r="79" spans="2:4" x14ac:dyDescent="0.2">
      <c r="B79" s="1191"/>
      <c r="C79" s="478">
        <v>74</v>
      </c>
      <c r="D79" s="848">
        <v>44833</v>
      </c>
    </row>
    <row r="80" spans="2:4" x14ac:dyDescent="0.2">
      <c r="B80" s="1191"/>
      <c r="C80" s="478">
        <v>75</v>
      </c>
      <c r="D80" s="848">
        <v>44834</v>
      </c>
    </row>
    <row r="81" spans="2:4" x14ac:dyDescent="0.2">
      <c r="B81" s="1191"/>
      <c r="C81" s="478">
        <v>76</v>
      </c>
      <c r="D81" s="848">
        <v>44834</v>
      </c>
    </row>
    <row r="82" spans="2:4" x14ac:dyDescent="0.2">
      <c r="B82" s="1191"/>
      <c r="C82" s="478">
        <v>77</v>
      </c>
      <c r="D82" s="848">
        <v>44837</v>
      </c>
    </row>
    <row r="83" spans="2:4" x14ac:dyDescent="0.2">
      <c r="B83" s="1191"/>
      <c r="C83" s="478">
        <v>78</v>
      </c>
      <c r="D83" s="848">
        <v>44837</v>
      </c>
    </row>
    <row r="84" spans="2:4" x14ac:dyDescent="0.2">
      <c r="B84" s="1191"/>
      <c r="C84" s="478">
        <v>79</v>
      </c>
      <c r="D84" s="848">
        <v>44838</v>
      </c>
    </row>
    <row r="85" spans="2:4" x14ac:dyDescent="0.2">
      <c r="B85" s="1191"/>
      <c r="C85" s="478">
        <v>80</v>
      </c>
      <c r="D85" s="848">
        <v>44838</v>
      </c>
    </row>
    <row r="86" spans="2:4" ht="15" customHeight="1" x14ac:dyDescent="0.2">
      <c r="B86" s="1191"/>
      <c r="C86" s="478">
        <v>81</v>
      </c>
      <c r="D86" s="848">
        <v>44839</v>
      </c>
    </row>
    <row r="87" spans="2:4" x14ac:dyDescent="0.2">
      <c r="B87" s="1191"/>
      <c r="C87" s="478">
        <v>82</v>
      </c>
      <c r="D87" s="848">
        <v>44839</v>
      </c>
    </row>
    <row r="88" spans="2:4" x14ac:dyDescent="0.2">
      <c r="B88" s="1191"/>
      <c r="C88" s="478">
        <v>83</v>
      </c>
      <c r="D88" s="848">
        <v>44840</v>
      </c>
    </row>
    <row r="89" spans="2:4" x14ac:dyDescent="0.2">
      <c r="B89" s="1191"/>
      <c r="C89" s="478">
        <v>84</v>
      </c>
      <c r="D89" s="848">
        <v>44840</v>
      </c>
    </row>
    <row r="90" spans="2:4" x14ac:dyDescent="0.2">
      <c r="B90" s="1191"/>
      <c r="C90" s="478">
        <v>85</v>
      </c>
      <c r="D90" s="848">
        <v>44841</v>
      </c>
    </row>
    <row r="91" spans="2:4" x14ac:dyDescent="0.2">
      <c r="B91" s="1191"/>
      <c r="C91" s="478">
        <v>86</v>
      </c>
      <c r="D91" s="848">
        <v>44841</v>
      </c>
    </row>
    <row r="92" spans="2:4" x14ac:dyDescent="0.2">
      <c r="B92" s="1191"/>
      <c r="C92" s="478">
        <v>87</v>
      </c>
      <c r="D92" s="848">
        <v>44844</v>
      </c>
    </row>
    <row r="93" spans="2:4" x14ac:dyDescent="0.2">
      <c r="B93" s="1191"/>
      <c r="C93" s="478">
        <v>88</v>
      </c>
      <c r="D93" s="848">
        <v>44844</v>
      </c>
    </row>
    <row r="94" spans="2:4" x14ac:dyDescent="0.2">
      <c r="B94" s="1191"/>
      <c r="C94" s="478">
        <v>89</v>
      </c>
      <c r="D94" s="848">
        <v>44845</v>
      </c>
    </row>
    <row r="95" spans="2:4" x14ac:dyDescent="0.2">
      <c r="B95" s="1191"/>
      <c r="C95" s="478">
        <v>90</v>
      </c>
      <c r="D95" s="848">
        <v>44845</v>
      </c>
    </row>
    <row r="96" spans="2:4" ht="15" customHeight="1" x14ac:dyDescent="0.2">
      <c r="B96" s="1191"/>
      <c r="C96" s="478">
        <v>91</v>
      </c>
      <c r="D96" s="848">
        <v>44846</v>
      </c>
    </row>
    <row r="97" spans="2:4" x14ac:dyDescent="0.2">
      <c r="B97" s="1191"/>
      <c r="C97" s="478">
        <v>92</v>
      </c>
      <c r="D97" s="848">
        <v>44846</v>
      </c>
    </row>
    <row r="98" spans="2:4" x14ac:dyDescent="0.2">
      <c r="B98" s="1191"/>
      <c r="C98" s="478">
        <v>93</v>
      </c>
      <c r="D98" s="848">
        <v>44847</v>
      </c>
    </row>
    <row r="99" spans="2:4" x14ac:dyDescent="0.2">
      <c r="B99" s="1191"/>
      <c r="C99" s="478">
        <v>94</v>
      </c>
      <c r="D99" s="848">
        <v>44847</v>
      </c>
    </row>
    <row r="100" spans="2:4" x14ac:dyDescent="0.2">
      <c r="B100" s="1191"/>
      <c r="C100" s="478">
        <v>95</v>
      </c>
      <c r="D100" s="848">
        <v>44848</v>
      </c>
    </row>
    <row r="101" spans="2:4" x14ac:dyDescent="0.2">
      <c r="B101" s="1191"/>
      <c r="C101" s="478">
        <v>96</v>
      </c>
      <c r="D101" s="848">
        <v>44848</v>
      </c>
    </row>
    <row r="102" spans="2:4" x14ac:dyDescent="0.2">
      <c r="B102" s="1191"/>
      <c r="C102" s="478">
        <v>97</v>
      </c>
      <c r="D102" s="848">
        <v>44852</v>
      </c>
    </row>
    <row r="103" spans="2:4" x14ac:dyDescent="0.2">
      <c r="B103" s="1191"/>
      <c r="C103" s="478">
        <v>98</v>
      </c>
      <c r="D103" s="848">
        <v>44852</v>
      </c>
    </row>
    <row r="104" spans="2:4" x14ac:dyDescent="0.2">
      <c r="B104" s="1191"/>
      <c r="C104" s="478">
        <v>99</v>
      </c>
      <c r="D104" s="848">
        <v>44853</v>
      </c>
    </row>
    <row r="105" spans="2:4" ht="15.75" thickBot="1" x14ac:dyDescent="0.25">
      <c r="B105" s="1192"/>
      <c r="C105" s="479" t="s">
        <v>421</v>
      </c>
      <c r="D105" s="847">
        <v>44853</v>
      </c>
    </row>
  </sheetData>
  <mergeCells count="2">
    <mergeCell ref="B3:D3"/>
    <mergeCell ref="B6:B10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66"/>
  </sheetPr>
  <dimension ref="A1:AY167"/>
  <sheetViews>
    <sheetView view="pageBreakPreview" topLeftCell="A31" zoomScaleNormal="100" zoomScaleSheetLayoutView="100" workbookViewId="0">
      <selection activeCell="J10" sqref="J10"/>
    </sheetView>
  </sheetViews>
  <sheetFormatPr baseColWidth="10" defaultRowHeight="12.75" x14ac:dyDescent="0.2"/>
  <cols>
    <col min="1" max="1" width="2.7109375" style="202" customWidth="1"/>
    <col min="2" max="2" width="4.42578125" style="202" customWidth="1"/>
    <col min="3" max="3" width="33.140625" style="202" customWidth="1"/>
    <col min="4" max="4" width="3.140625" style="606" customWidth="1"/>
    <col min="5" max="5" width="15.28515625" style="202" customWidth="1"/>
    <col min="6" max="6" width="3.7109375" style="202" customWidth="1"/>
    <col min="7" max="7" width="4.42578125" style="202" customWidth="1"/>
    <col min="8" max="8" width="30.42578125" style="202" customWidth="1"/>
    <col min="9" max="9" width="3.7109375" style="606" customWidth="1"/>
    <col min="10" max="10" width="16.42578125" style="202" customWidth="1"/>
    <col min="11" max="11" width="0.140625" style="262" hidden="1" customWidth="1"/>
    <col min="12" max="29" width="0.140625" style="202" hidden="1" customWidth="1"/>
    <col min="30" max="33" width="11.42578125" style="202" hidden="1" customWidth="1"/>
    <col min="34" max="34" width="5.140625" style="202" hidden="1" customWidth="1"/>
    <col min="35" max="35" width="11.42578125" style="202" hidden="1" customWidth="1"/>
    <col min="36" max="37" width="0" style="202" hidden="1" customWidth="1"/>
    <col min="38" max="47" width="11.42578125" style="202" hidden="1" customWidth="1"/>
    <col min="48" max="48" width="1.7109375" style="202" hidden="1" customWidth="1"/>
    <col min="49" max="51" width="11.42578125" style="202" hidden="1" customWidth="1"/>
    <col min="52" max="16384" width="11.42578125" style="202"/>
  </cols>
  <sheetData>
    <row r="1" spans="1:29" ht="16.5" customHeight="1" x14ac:dyDescent="0.25">
      <c r="A1" s="1276" t="str">
        <f>+'DATOS PARA DEPURAR'!C7</f>
        <v>OJEDA RIOJAS DAVID MATEO</v>
      </c>
      <c r="B1" s="1276"/>
      <c r="C1" s="1276"/>
      <c r="D1" s="1276"/>
      <c r="E1" s="1276"/>
      <c r="F1" s="1276"/>
      <c r="G1" s="1284" t="s">
        <v>372</v>
      </c>
      <c r="H1" s="1284"/>
      <c r="I1" s="1284"/>
      <c r="J1" s="1284"/>
      <c r="P1" s="664" t="s">
        <v>410</v>
      </c>
      <c r="Q1" s="664"/>
      <c r="R1" s="664"/>
      <c r="S1" s="664"/>
      <c r="T1" s="664"/>
      <c r="U1" s="664"/>
      <c r="V1" s="664"/>
      <c r="W1" s="664"/>
      <c r="X1" s="664"/>
      <c r="Y1" s="664"/>
      <c r="Z1" s="664"/>
      <c r="AA1" s="664"/>
      <c r="AB1" s="664"/>
      <c r="AC1" s="664"/>
    </row>
    <row r="2" spans="1:29" ht="15.75" customHeight="1" x14ac:dyDescent="0.2">
      <c r="A2" s="1277">
        <f>+'DATOS PARA DEPURAR'!E7</f>
        <v>18927495</v>
      </c>
      <c r="B2" s="1277"/>
      <c r="C2" s="1277"/>
      <c r="D2" s="1277"/>
      <c r="E2" s="1277"/>
      <c r="F2" s="1277"/>
      <c r="G2" s="1284"/>
      <c r="H2" s="1284"/>
      <c r="I2" s="1284"/>
      <c r="J2" s="1284"/>
      <c r="P2" s="664" t="s">
        <v>411</v>
      </c>
      <c r="Q2" s="665">
        <f>+J34</f>
        <v>7987000</v>
      </c>
      <c r="R2" s="664"/>
      <c r="S2" s="666">
        <f>MIN(Q2:Q3)</f>
        <v>7987000</v>
      </c>
      <c r="T2" s="664"/>
      <c r="U2" s="664"/>
      <c r="V2" s="664"/>
      <c r="W2" s="664"/>
      <c r="X2" s="664"/>
      <c r="Y2" s="664"/>
      <c r="Z2" s="664"/>
      <c r="AA2" s="665">
        <f>IF(J34&gt;(0),J34*5%*'DATOS PARA DEPURAR'!E11,0)</f>
        <v>399350</v>
      </c>
      <c r="AB2" s="666"/>
      <c r="AC2" s="666">
        <f>MIN(AA2:AA3)</f>
        <v>399350</v>
      </c>
    </row>
    <row r="3" spans="1:29" ht="13.5" customHeight="1" thickBot="1" x14ac:dyDescent="0.25">
      <c r="A3" s="1335"/>
      <c r="B3" s="1335"/>
      <c r="C3" s="1335"/>
      <c r="D3" s="1335"/>
      <c r="E3" s="1335"/>
      <c r="F3" s="1335"/>
      <c r="G3" s="1335"/>
      <c r="H3" s="1335"/>
      <c r="I3" s="1335"/>
      <c r="J3" s="1335"/>
      <c r="P3" s="664" t="s">
        <v>24</v>
      </c>
      <c r="Q3" s="667">
        <f>+J34</f>
        <v>7987000</v>
      </c>
      <c r="R3" s="664"/>
      <c r="S3" s="664"/>
      <c r="T3" s="664"/>
      <c r="U3" s="664"/>
      <c r="V3" s="664"/>
      <c r="W3" s="664"/>
      <c r="X3" s="664"/>
      <c r="Y3" s="664"/>
      <c r="Z3" s="664"/>
      <c r="AA3" s="667">
        <f>+J34</f>
        <v>7987000</v>
      </c>
      <c r="AB3" s="664"/>
      <c r="AC3" s="666">
        <f>MIN(AA5:AA7)</f>
        <v>0</v>
      </c>
    </row>
    <row r="4" spans="1:29" ht="21.75" customHeight="1" x14ac:dyDescent="0.2">
      <c r="A4" s="1875" t="s">
        <v>113</v>
      </c>
      <c r="B4" s="1878" t="s">
        <v>110</v>
      </c>
      <c r="C4" s="1878"/>
      <c r="D4" s="638">
        <v>29</v>
      </c>
      <c r="E4" s="639">
        <f>+'PATRIMONIO BRUTO'!F91</f>
        <v>32262993</v>
      </c>
      <c r="F4" s="1882" t="s">
        <v>596</v>
      </c>
      <c r="G4" s="1879" t="s">
        <v>597</v>
      </c>
      <c r="H4" s="1879"/>
      <c r="I4" s="638">
        <f>+D42+1</f>
        <v>67</v>
      </c>
      <c r="J4" s="639">
        <f>+'RENTA CEDULAR DIVIDENDOS'!F4</f>
        <v>0</v>
      </c>
      <c r="O4" s="660">
        <f>+E7+E13+E18+E30+J4</f>
        <v>115714603</v>
      </c>
      <c r="P4" s="664" t="s">
        <v>412</v>
      </c>
      <c r="Q4" s="668">
        <f>IF((E7+E13+E18+E30+J4)&gt;0,(E7+E13+E18+E30+J4)*0.5%)</f>
        <v>578573.01500000001</v>
      </c>
      <c r="R4" s="664"/>
      <c r="S4" s="666">
        <f>MIN(Q4:Q7)</f>
        <v>0</v>
      </c>
      <c r="T4" s="664"/>
      <c r="U4" s="664"/>
      <c r="V4" s="664"/>
      <c r="W4" s="664"/>
      <c r="X4" s="664"/>
      <c r="Y4" s="664"/>
      <c r="Z4" s="664"/>
      <c r="AA4" s="665">
        <f>IF(J32=0,E14*0.5%*'DATOS PARA DEPURAR'!E11,0)</f>
        <v>0</v>
      </c>
      <c r="AB4" s="664">
        <f>MIN(M4:M6)</f>
        <v>0</v>
      </c>
      <c r="AC4" s="666">
        <f>IF(AA4&gt;AC3,AA4,AC3)</f>
        <v>0</v>
      </c>
    </row>
    <row r="5" spans="1:29" ht="19.5" customHeight="1" x14ac:dyDescent="0.2">
      <c r="A5" s="1876"/>
      <c r="B5" s="1266" t="s">
        <v>111</v>
      </c>
      <c r="C5" s="1266"/>
      <c r="D5" s="625">
        <f>+D4+1</f>
        <v>30</v>
      </c>
      <c r="E5" s="633">
        <f>+'PATRIMONIO BRUTO'!F133</f>
        <v>0</v>
      </c>
      <c r="F5" s="1883"/>
      <c r="G5" s="1279" t="s">
        <v>488</v>
      </c>
      <c r="H5" s="1279"/>
      <c r="I5" s="625">
        <f t="shared" ref="I5:I31" si="0">+I4+1</f>
        <v>68</v>
      </c>
      <c r="J5" s="633">
        <f>+'RENTA CEDULAR DIVIDENDOS'!F7</f>
        <v>0</v>
      </c>
      <c r="P5" s="664" t="s">
        <v>413</v>
      </c>
      <c r="Q5" s="668">
        <f>IF((E7+E13+E18+E30+J4)&gt;0,(E7+E13+E18+E30+J4)*5%)</f>
        <v>5785730.1500000004</v>
      </c>
      <c r="R5" s="664"/>
      <c r="S5" s="664"/>
      <c r="T5" s="664"/>
      <c r="U5" s="664"/>
      <c r="V5" s="664"/>
      <c r="W5" s="664"/>
      <c r="X5" s="664"/>
      <c r="Y5" s="664"/>
      <c r="Z5" s="664"/>
      <c r="AA5" s="665">
        <f>IF(J32=0,E14*5%,0)</f>
        <v>0</v>
      </c>
      <c r="AB5" s="664"/>
      <c r="AC5" s="664"/>
    </row>
    <row r="6" spans="1:29" ht="19.5" customHeight="1" thickBot="1" x14ac:dyDescent="0.25">
      <c r="A6" s="1877"/>
      <c r="B6" s="1880" t="s">
        <v>112</v>
      </c>
      <c r="C6" s="1880"/>
      <c r="D6" s="634">
        <f t="shared" ref="D6:D42" si="1">+D5+1</f>
        <v>31</v>
      </c>
      <c r="E6" s="635">
        <f>IF((E4-E5)&gt;0,(E4-E5),0)</f>
        <v>32262993</v>
      </c>
      <c r="F6" s="1883"/>
      <c r="G6" s="1267" t="s">
        <v>598</v>
      </c>
      <c r="H6" s="1267"/>
      <c r="I6" s="268">
        <f t="shared" si="0"/>
        <v>69</v>
      </c>
      <c r="J6" s="632">
        <f>+'RENTA CEDULAR DIVIDENDOS'!F10</f>
        <v>0</v>
      </c>
      <c r="K6" s="262">
        <f>IF((J5)&gt;0,('DATOS PARA DEPURAR'!E205),0)</f>
        <v>0</v>
      </c>
      <c r="P6" s="664" t="s">
        <v>414</v>
      </c>
      <c r="Q6" s="664">
        <f>IF(J34=0,S6*2,0)</f>
        <v>0</v>
      </c>
      <c r="R6" s="664"/>
      <c r="S6" s="667">
        <f>IF((J35+J36+J37-J34-J38-J40)&gt;0,J35+J36+J37-J34-J38-J40,0)</f>
        <v>5529650</v>
      </c>
      <c r="T6" s="664"/>
      <c r="U6" s="664"/>
      <c r="V6" s="664"/>
      <c r="W6" s="664"/>
      <c r="X6" s="664"/>
      <c r="Y6" s="664"/>
      <c r="Z6" s="664"/>
      <c r="AA6" s="665">
        <f>IF(J32=0,IF(E14&gt;0,AB6*2,0))</f>
        <v>0</v>
      </c>
      <c r="AB6" s="665">
        <f>-J32+J33+J34+J35-J36</f>
        <v>9807000</v>
      </c>
      <c r="AC6" s="665"/>
    </row>
    <row r="7" spans="1:29" ht="22.5" customHeight="1" x14ac:dyDescent="0.2">
      <c r="A7" s="1915" t="s">
        <v>510</v>
      </c>
      <c r="B7" s="1881" t="s">
        <v>486</v>
      </c>
      <c r="C7" s="1881"/>
      <c r="D7" s="630">
        <f t="shared" si="1"/>
        <v>32</v>
      </c>
      <c r="E7" s="631">
        <f>+'RENTA GENERAL LABORAL'!F4</f>
        <v>115714603</v>
      </c>
      <c r="F7" s="1883"/>
      <c r="G7" s="1398" t="s">
        <v>599</v>
      </c>
      <c r="H7" s="1398"/>
      <c r="I7" s="625">
        <f t="shared" si="0"/>
        <v>70</v>
      </c>
      <c r="J7" s="633">
        <f>+'RENTA CEDULAR DIVIDENDOS'!F11</f>
        <v>20000000</v>
      </c>
      <c r="P7" s="664" t="s">
        <v>415</v>
      </c>
      <c r="Q7" s="668">
        <f>2500*'DATOS PARA DEPURAR'!C23</f>
        <v>90770000</v>
      </c>
      <c r="R7" s="664"/>
      <c r="S7" s="664"/>
      <c r="T7" s="664"/>
      <c r="U7" s="664"/>
      <c r="V7" s="664"/>
      <c r="W7" s="664"/>
      <c r="X7" s="664"/>
      <c r="Y7" s="664"/>
      <c r="Z7" s="664"/>
      <c r="AA7" s="665">
        <f>IF(J32=0,IF(E14&gt;0,2500*'DATOS PARA DEPURAR'!C23,0))</f>
        <v>0</v>
      </c>
      <c r="AB7" s="665"/>
      <c r="AC7" s="665">
        <f>MIN(AA9:AA11)</f>
        <v>0</v>
      </c>
    </row>
    <row r="8" spans="1:29" ht="21" customHeight="1" x14ac:dyDescent="0.2">
      <c r="A8" s="1916"/>
      <c r="B8" s="1886" t="s">
        <v>666</v>
      </c>
      <c r="C8" s="1886"/>
      <c r="D8" s="268">
        <f t="shared" si="1"/>
        <v>33</v>
      </c>
      <c r="E8" s="632">
        <f>+'RENTA GENERAL LABORAL'!F23</f>
        <v>11213070</v>
      </c>
      <c r="F8" s="1883"/>
      <c r="G8" s="1887" t="s">
        <v>600</v>
      </c>
      <c r="H8" s="1887"/>
      <c r="I8" s="268">
        <f t="shared" si="0"/>
        <v>71</v>
      </c>
      <c r="J8" s="632">
        <f>+'RENTA CEDULAR DIVIDENDOS'!F12</f>
        <v>0</v>
      </c>
      <c r="P8" s="669" t="s">
        <v>395</v>
      </c>
      <c r="Q8" s="670"/>
      <c r="R8" s="671"/>
      <c r="S8" s="671"/>
      <c r="T8" s="671"/>
      <c r="U8" s="671"/>
      <c r="V8" s="671"/>
      <c r="W8" s="671"/>
      <c r="X8" s="671"/>
      <c r="Y8" s="671"/>
      <c r="Z8" s="671"/>
      <c r="AA8" s="672" t="b">
        <f>IF(J34=0,IF((O4)&lt;0,'DATOS PARA DEPURAR'!E19*1%*'DATOS PARA DEPURAR'!E11,0))</f>
        <v>0</v>
      </c>
      <c r="AB8" s="672"/>
      <c r="AC8" s="672" t="b">
        <f>IF(AA8&gt;AC7,AA8,AC7)</f>
        <v>0</v>
      </c>
    </row>
    <row r="9" spans="1:29" ht="23.25" customHeight="1" x14ac:dyDescent="0.2">
      <c r="A9" s="1916"/>
      <c r="B9" s="1397" t="s">
        <v>491</v>
      </c>
      <c r="C9" s="1266"/>
      <c r="D9" s="625">
        <f>+D8+1</f>
        <v>34</v>
      </c>
      <c r="E9" s="633">
        <f>+'RENTA GENERAL LABORAL'!F28</f>
        <v>104501533</v>
      </c>
      <c r="F9" s="1883"/>
      <c r="G9" s="1398" t="s">
        <v>601</v>
      </c>
      <c r="H9" s="1398"/>
      <c r="I9" s="625">
        <f t="shared" si="0"/>
        <v>72</v>
      </c>
      <c r="J9" s="633">
        <f>+'RENTA CEDULAR DIVIDENDOS'!F13</f>
        <v>0</v>
      </c>
      <c r="P9" s="669" t="s">
        <v>413</v>
      </c>
      <c r="Q9" s="671"/>
      <c r="R9" s="671"/>
      <c r="S9" s="671"/>
      <c r="T9" s="671"/>
      <c r="U9" s="671"/>
      <c r="V9" s="671"/>
      <c r="W9" s="671"/>
      <c r="X9" s="671"/>
      <c r="Y9" s="671"/>
      <c r="Z9" s="671"/>
      <c r="AA9" s="672">
        <f>IF(J32=0,IF(O4=0,'DATOS PARA DEPURAR'!E19*10%,0))</f>
        <v>0</v>
      </c>
      <c r="AB9" s="672"/>
      <c r="AC9" s="672"/>
    </row>
    <row r="10" spans="1:29" x14ac:dyDescent="0.2">
      <c r="A10" s="1916"/>
      <c r="B10" s="1267" t="s">
        <v>492</v>
      </c>
      <c r="C10" s="1267"/>
      <c r="D10" s="268">
        <f t="shared" si="1"/>
        <v>35</v>
      </c>
      <c r="E10" s="632">
        <f>+'RENTA GENERAL LABORAL'!F29</f>
        <v>33347029</v>
      </c>
      <c r="F10" s="1883"/>
      <c r="G10" s="1267" t="s">
        <v>602</v>
      </c>
      <c r="H10" s="1267"/>
      <c r="I10" s="268">
        <f t="shared" si="0"/>
        <v>73</v>
      </c>
      <c r="J10" s="632"/>
      <c r="K10" s="271"/>
      <c r="P10" s="669" t="s">
        <v>414</v>
      </c>
      <c r="Q10" s="671"/>
      <c r="R10" s="671"/>
      <c r="S10" s="671"/>
      <c r="T10" s="671"/>
      <c r="U10" s="671"/>
      <c r="V10" s="671"/>
      <c r="W10" s="671"/>
      <c r="X10" s="671"/>
      <c r="Y10" s="671"/>
      <c r="Z10" s="671"/>
      <c r="AA10" s="672">
        <f>IF(J32=0,IF(O4=0,AB10*2,0))</f>
        <v>0</v>
      </c>
      <c r="AB10" s="672">
        <f>IF((J35+J36+J37-J34-J38-J40)&gt;0,J35+J36+J37-J34-J38-J40,0)</f>
        <v>5529650</v>
      </c>
      <c r="AC10" s="672"/>
    </row>
    <row r="11" spans="1:29" ht="23.25" customHeight="1" thickBot="1" x14ac:dyDescent="0.25">
      <c r="A11" s="1916"/>
      <c r="B11" s="1398" t="s">
        <v>506</v>
      </c>
      <c r="C11" s="1398"/>
      <c r="D11" s="625">
        <f t="shared" si="1"/>
        <v>36</v>
      </c>
      <c r="E11" s="633">
        <f>+'RENTA GENERAL LABORAL'!F49</f>
        <v>33347029</v>
      </c>
      <c r="F11" s="1884"/>
      <c r="G11" s="1894" t="s">
        <v>603</v>
      </c>
      <c r="H11" s="1894"/>
      <c r="I11" s="636">
        <f t="shared" si="0"/>
        <v>74</v>
      </c>
      <c r="J11" s="637">
        <f>+'RENTA CEDULAR DIVIDENDOS'!F14</f>
        <v>0</v>
      </c>
      <c r="K11" s="271"/>
      <c r="L11" s="272" t="s">
        <v>331</v>
      </c>
      <c r="M11" s="272" t="s">
        <v>332</v>
      </c>
      <c r="P11" s="669" t="s">
        <v>415</v>
      </c>
      <c r="Q11" s="671"/>
      <c r="R11" s="671"/>
      <c r="S11" s="671"/>
      <c r="T11" s="671"/>
      <c r="U11" s="671"/>
      <c r="V11" s="671"/>
      <c r="W11" s="671"/>
      <c r="X11" s="671"/>
      <c r="Y11" s="671"/>
      <c r="Z11" s="671"/>
      <c r="AA11" s="672">
        <f>IF(J32=0,IF(O4=0,2500*'DATOS PARA DEPURAR'!C23,0))</f>
        <v>0</v>
      </c>
      <c r="AB11" s="672"/>
      <c r="AC11" s="672"/>
    </row>
    <row r="12" spans="1:29" ht="22.5" customHeight="1" thickBot="1" x14ac:dyDescent="0.25">
      <c r="A12" s="1917"/>
      <c r="B12" s="1895" t="s">
        <v>507</v>
      </c>
      <c r="C12" s="1880"/>
      <c r="D12" s="634">
        <f t="shared" si="1"/>
        <v>37</v>
      </c>
      <c r="E12" s="635">
        <f>+'RENTA GENERAL LABORAL'!F53</f>
        <v>71154504</v>
      </c>
      <c r="F12" s="1892" t="s">
        <v>593</v>
      </c>
      <c r="G12" s="1896" t="s">
        <v>594</v>
      </c>
      <c r="H12" s="1896"/>
      <c r="I12" s="268">
        <f t="shared" si="0"/>
        <v>75</v>
      </c>
      <c r="J12" s="270">
        <f>+E12+E17+E29+E42+J11</f>
        <v>71154504</v>
      </c>
      <c r="K12" s="271"/>
      <c r="L12" s="202">
        <f>IF(('DATOS PARA DEPURAR'!D60)="S",'DATOS PARA DEPURAR'!E60,0)</f>
        <v>0</v>
      </c>
      <c r="M12" s="202">
        <f>IF(('DATOS PARA DEPURAR'!D60)="N",'DATOS PARA DEPURAR'!E60,0)</f>
        <v>0</v>
      </c>
      <c r="P12" s="671"/>
      <c r="Q12" s="671"/>
      <c r="R12" s="671"/>
      <c r="S12" s="671"/>
      <c r="T12" s="671"/>
      <c r="U12" s="671"/>
      <c r="V12" s="671"/>
      <c r="W12" s="671"/>
      <c r="X12" s="671"/>
      <c r="Y12" s="671"/>
      <c r="Z12" s="671"/>
      <c r="AA12" s="673" t="s">
        <v>423</v>
      </c>
      <c r="AB12" s="673">
        <f>10*'DATOS PARA DEPURAR'!E24</f>
        <v>380040</v>
      </c>
      <c r="AC12" s="674">
        <f>+AB12</f>
        <v>380040</v>
      </c>
    </row>
    <row r="13" spans="1:29" ht="23.25" customHeight="1" thickBot="1" x14ac:dyDescent="0.25">
      <c r="A13" s="1920" t="s">
        <v>517</v>
      </c>
      <c r="B13" s="1897" t="s">
        <v>514</v>
      </c>
      <c r="C13" s="1897"/>
      <c r="D13" s="630">
        <f t="shared" si="1"/>
        <v>38</v>
      </c>
      <c r="E13" s="631">
        <f>+'RENTA CEDULAR PENSION'!F4</f>
        <v>0</v>
      </c>
      <c r="F13" s="1893"/>
      <c r="G13" s="1898" t="s">
        <v>595</v>
      </c>
      <c r="H13" s="1898"/>
      <c r="I13" s="607">
        <f t="shared" si="0"/>
        <v>76</v>
      </c>
      <c r="J13" s="267">
        <f>IF(('DATOS PARA DEPURAR'!E21=1),0,'DEPURACION ORDINARIO 2017'!C83)</f>
        <v>8784563.5899011195</v>
      </c>
      <c r="K13" s="271"/>
      <c r="L13" s="202">
        <f>IF(('DATOS PARA DEPURAR'!D62)="S",'DATOS PARA DEPURAR'!E62,0)</f>
        <v>0</v>
      </c>
      <c r="M13" s="202">
        <f>IF(('DATOS PARA DEPURAR'!D62)="N",'DATOS PARA DEPURAR'!E62,0)</f>
        <v>0</v>
      </c>
      <c r="P13" s="671"/>
      <c r="Q13" s="671"/>
      <c r="R13" s="671"/>
      <c r="S13" s="671"/>
      <c r="T13" s="671"/>
      <c r="U13" s="671"/>
      <c r="V13" s="671"/>
      <c r="W13" s="671"/>
      <c r="X13" s="671"/>
      <c r="Y13" s="671"/>
      <c r="Z13" s="671"/>
      <c r="AA13" s="671"/>
      <c r="AB13" s="671"/>
      <c r="AC13" s="672">
        <f>MAX(AC2:AC12)</f>
        <v>399350</v>
      </c>
    </row>
    <row r="14" spans="1:29" ht="21.75" customHeight="1" x14ac:dyDescent="0.2">
      <c r="A14" s="1921"/>
      <c r="B14" s="1264" t="s">
        <v>488</v>
      </c>
      <c r="C14" s="1264"/>
      <c r="D14" s="268">
        <f t="shared" si="1"/>
        <v>39</v>
      </c>
      <c r="E14" s="632">
        <f>+'RENTA CEDULAR PENSION'!F7</f>
        <v>0</v>
      </c>
      <c r="F14" s="1889" t="s">
        <v>72</v>
      </c>
      <c r="G14" s="1879" t="s">
        <v>592</v>
      </c>
      <c r="H14" s="1879"/>
      <c r="I14" s="638">
        <f t="shared" si="0"/>
        <v>77</v>
      </c>
      <c r="J14" s="639">
        <f>+'DEPURACION POR IMAS EMPLEADO'!I37+'DEPURACION POR IMAS EMPLEADO'!J30+'DEPURACION POR IMAS EMPLEADO'!I39+IF(('DATOS PARA DEPURAR'!D94="s"),'DATOS PARA DEPURAR'!E94,0)</f>
        <v>0</v>
      </c>
      <c r="K14" s="271">
        <f>IF(('DATOS PARA DEPURAR'!E215)&lt;=L17,('DATOS PARA DEPURAR'!E215),L17)</f>
        <v>0</v>
      </c>
      <c r="L14" s="272" t="s">
        <v>365</v>
      </c>
      <c r="P14" s="671"/>
      <c r="Q14" s="671"/>
      <c r="R14" s="671"/>
      <c r="S14" s="671"/>
      <c r="T14" s="671"/>
      <c r="U14" s="671"/>
      <c r="V14" s="671"/>
      <c r="W14" s="671"/>
      <c r="X14" s="671"/>
      <c r="Y14" s="671"/>
      <c r="Z14" s="671"/>
      <c r="AA14" s="671"/>
      <c r="AB14" s="671"/>
      <c r="AC14" s="671">
        <f>IF('DATOS PARA DEPURAR'!C11="EXTEMPORANEA",'FORMULARIO 2018 RENTA CEDULAR'!AC13,0)</f>
        <v>399350</v>
      </c>
    </row>
    <row r="15" spans="1:29" ht="18" customHeight="1" x14ac:dyDescent="0.2">
      <c r="A15" s="1921"/>
      <c r="B15" s="1397" t="s">
        <v>555</v>
      </c>
      <c r="C15" s="1266"/>
      <c r="D15" s="625">
        <f t="shared" si="1"/>
        <v>40</v>
      </c>
      <c r="E15" s="633">
        <f>+'RENTA CEDULAR PENSION'!F10</f>
        <v>0</v>
      </c>
      <c r="F15" s="1890"/>
      <c r="G15" s="1250" t="s">
        <v>93</v>
      </c>
      <c r="H15" s="1250"/>
      <c r="I15" s="625">
        <f t="shared" si="0"/>
        <v>78</v>
      </c>
      <c r="J15" s="633">
        <f>SUM('DEPURACION POR IMAS EMPLEADO'!I40:I41)+K6</f>
        <v>0</v>
      </c>
      <c r="K15" s="274"/>
      <c r="L15" s="275">
        <f>2300*'DATOS PARA DEPURAR'!C23</f>
        <v>83508400</v>
      </c>
      <c r="M15" s="272" t="s">
        <v>366</v>
      </c>
      <c r="P15" s="272" t="s">
        <v>429</v>
      </c>
      <c r="Q15" s="331" t="s">
        <v>455</v>
      </c>
      <c r="S15" s="202">
        <f>IF(J33+J34+J35-J32-J36&gt;0,J33+J34+J35-J32-J36,0)</f>
        <v>9807000</v>
      </c>
      <c r="Z15" s="461" t="s">
        <v>454</v>
      </c>
    </row>
    <row r="16" spans="1:29" ht="23.25" customHeight="1" x14ac:dyDescent="0.2">
      <c r="A16" s="1921"/>
      <c r="B16" s="1918" t="s">
        <v>492</v>
      </c>
      <c r="C16" s="1918"/>
      <c r="D16" s="268">
        <f t="shared" si="1"/>
        <v>41</v>
      </c>
      <c r="E16" s="632">
        <f>+'RENTA CEDULAR PENSION'!F11</f>
        <v>0</v>
      </c>
      <c r="F16" s="1890"/>
      <c r="G16" s="1269" t="s">
        <v>94</v>
      </c>
      <c r="H16" s="1269"/>
      <c r="I16" s="268">
        <f t="shared" si="0"/>
        <v>79</v>
      </c>
      <c r="J16" s="632">
        <f>'DEPURACION POR IMAS EMPLEADO'!I42</f>
        <v>0</v>
      </c>
      <c r="K16" s="274"/>
      <c r="L16" s="275">
        <f>+E14*60%</f>
        <v>0</v>
      </c>
      <c r="M16" s="272" t="s">
        <v>367</v>
      </c>
      <c r="Q16" s="272">
        <f>IF(S15&gt;0,S15,0)</f>
        <v>9807000</v>
      </c>
      <c r="Z16" s="202">
        <f>IF(J37&gt;0,J37,0)</f>
        <v>12096000</v>
      </c>
    </row>
    <row r="17" spans="1:27" ht="16.5" customHeight="1" thickBot="1" x14ac:dyDescent="0.25">
      <c r="A17" s="1922"/>
      <c r="B17" s="1902" t="s">
        <v>556</v>
      </c>
      <c r="C17" s="1919"/>
      <c r="D17" s="636">
        <f t="shared" si="1"/>
        <v>42</v>
      </c>
      <c r="E17" s="637">
        <f>+'RENTA CEDULAR PENSION'!F21</f>
        <v>0</v>
      </c>
      <c r="F17" s="1891"/>
      <c r="G17" s="1888" t="s">
        <v>95</v>
      </c>
      <c r="H17" s="1888"/>
      <c r="I17" s="636">
        <f t="shared" si="0"/>
        <v>80</v>
      </c>
      <c r="J17" s="637">
        <f>+J14-J15-J16</f>
        <v>0</v>
      </c>
      <c r="K17" s="274"/>
      <c r="L17" s="278">
        <f>MIN(L15:L16)</f>
        <v>0</v>
      </c>
      <c r="P17" s="331" t="s">
        <v>430</v>
      </c>
      <c r="Q17" s="202">
        <f>IF((('DATOS PARA DEPURAR'!C14)*(-1)-Q16)&gt;0,(('DATOS PARA DEPURAR'!C14)*(-1)-Q16)*10%,0)</f>
        <v>0</v>
      </c>
      <c r="Z17" s="202">
        <f>IF((Z16-'DATOS PARA DEPURAR'!C14)&gt;0,(Z16-'DATOS PARA DEPURAR'!C14)*10%,0)</f>
        <v>1256100</v>
      </c>
    </row>
    <row r="18" spans="1:27" ht="18.75" customHeight="1" x14ac:dyDescent="0.2">
      <c r="A18" s="1855" t="s">
        <v>529</v>
      </c>
      <c r="B18" s="1899" t="s">
        <v>522</v>
      </c>
      <c r="C18" s="1878"/>
      <c r="D18" s="638">
        <f t="shared" si="1"/>
        <v>43</v>
      </c>
      <c r="E18" s="639">
        <f>+'RENTA GENERAL CAPITAL'!F4</f>
        <v>0</v>
      </c>
      <c r="F18" s="1912" t="s">
        <v>172</v>
      </c>
      <c r="G18" s="1859" t="s">
        <v>606</v>
      </c>
      <c r="H18" s="645" t="s">
        <v>607</v>
      </c>
      <c r="I18" s="638">
        <f t="shared" si="0"/>
        <v>81</v>
      </c>
      <c r="J18" s="639">
        <f>+'Num. 1 ART 241 E.T.'!E6</f>
        <v>7987000</v>
      </c>
      <c r="K18" s="274"/>
      <c r="Q18" s="329">
        <f>+AC12</f>
        <v>380040</v>
      </c>
      <c r="Z18" s="329">
        <f>+AC12</f>
        <v>380040</v>
      </c>
    </row>
    <row r="19" spans="1:27" x14ac:dyDescent="0.2">
      <c r="A19" s="1856"/>
      <c r="B19" s="1600" t="s">
        <v>488</v>
      </c>
      <c r="C19" s="1651"/>
      <c r="D19" s="625">
        <f t="shared" si="1"/>
        <v>44</v>
      </c>
      <c r="E19" s="633">
        <f>+'RENTA GENERAL CAPITAL'!F8</f>
        <v>0</v>
      </c>
      <c r="F19" s="1913"/>
      <c r="G19" s="1860"/>
      <c r="H19" s="646" t="s">
        <v>608</v>
      </c>
      <c r="I19" s="625">
        <f t="shared" si="0"/>
        <v>82</v>
      </c>
      <c r="J19" s="633">
        <f>+'Num. 2 ART 241 E.T. 2018'!E6</f>
        <v>0</v>
      </c>
      <c r="K19" s="281"/>
      <c r="L19" s="358">
        <f>384*'DATOS PARA DEPURAR'!C23</f>
        <v>13942272</v>
      </c>
      <c r="Q19" s="202">
        <f>MAX(Q17:Q18)</f>
        <v>380040</v>
      </c>
      <c r="Z19" s="404">
        <f>MAX(Z17:Z18)</f>
        <v>1256100</v>
      </c>
      <c r="AA19" s="202">
        <f>IF('DATOS PARA DEPURAR'!C13="S",'FORMULARIO 2018 RENTA CEDULAR'!AA23,0)</f>
        <v>0</v>
      </c>
    </row>
    <row r="20" spans="1:27" ht="17.25" customHeight="1" x14ac:dyDescent="0.2">
      <c r="A20" s="1856"/>
      <c r="B20" s="1868" t="s">
        <v>527</v>
      </c>
      <c r="C20" s="1253"/>
      <c r="D20" s="268">
        <f t="shared" si="1"/>
        <v>45</v>
      </c>
      <c r="E20" s="632">
        <f>+'RENTA GENERAL CAPITAL'!F12</f>
        <v>0</v>
      </c>
      <c r="F20" s="1913"/>
      <c r="G20" s="1860"/>
      <c r="H20" s="289" t="s">
        <v>609</v>
      </c>
      <c r="I20" s="268">
        <f t="shared" si="0"/>
        <v>83</v>
      </c>
      <c r="J20" s="632"/>
      <c r="K20" s="281"/>
      <c r="L20" s="352">
        <f>IF('DATOS PARA DEPURAR'!E222="S",(E7+M20)*10%,0)</f>
        <v>0</v>
      </c>
      <c r="M20" s="202">
        <f>IF('DATOS PARA DEPURAR'!E103="S",SUM('DATOS PARA DEPURAR'!E50:E53),0)</f>
        <v>0</v>
      </c>
      <c r="P20" s="331" t="s">
        <v>431</v>
      </c>
      <c r="Q20" s="202">
        <f>IF('DATOS PARA DEPURAR'!E14="S",'FORMULARIO 2018 RENTA CEDULAR'!Q17*2,0)</f>
        <v>0</v>
      </c>
      <c r="Z20" s="202">
        <f>IF('DATOS PARA DEPURAR'!E14="S",'FORMULARIO 2018 RENTA CEDULAR'!Z17*2,0)</f>
        <v>0</v>
      </c>
    </row>
    <row r="21" spans="1:27" ht="9" customHeight="1" thickBot="1" x14ac:dyDescent="0.25">
      <c r="A21" s="1856"/>
      <c r="B21" s="642" t="s">
        <v>605</v>
      </c>
      <c r="C21" s="643"/>
      <c r="D21" s="643"/>
      <c r="E21" s="644"/>
      <c r="F21" s="1913"/>
      <c r="G21" s="1860"/>
      <c r="H21" s="642" t="s">
        <v>604</v>
      </c>
      <c r="I21" s="643"/>
      <c r="J21" s="644"/>
      <c r="K21" s="281"/>
      <c r="L21" s="359">
        <f>MIN(L19:L20)</f>
        <v>0</v>
      </c>
      <c r="Q21" s="329">
        <f>+AC12</f>
        <v>380040</v>
      </c>
      <c r="Z21" s="418">
        <f>+AC12</f>
        <v>380040</v>
      </c>
    </row>
    <row r="22" spans="1:27" ht="21" customHeight="1" x14ac:dyDescent="0.2">
      <c r="A22" s="1856"/>
      <c r="B22" s="1869" t="s">
        <v>491</v>
      </c>
      <c r="C22" s="1869"/>
      <c r="D22" s="625">
        <f>+D20+1</f>
        <v>46</v>
      </c>
      <c r="E22" s="633">
        <f>+'RENTA GENERAL CAPITAL'!F26</f>
        <v>0</v>
      </c>
      <c r="F22" s="1913"/>
      <c r="G22" s="1860"/>
      <c r="H22" s="647" t="s">
        <v>611</v>
      </c>
      <c r="I22" s="282">
        <f>+I20+1</f>
        <v>84</v>
      </c>
      <c r="J22" s="648"/>
      <c r="K22" s="412">
        <f>+L31</f>
        <v>0</v>
      </c>
      <c r="L22" s="284" t="s">
        <v>8</v>
      </c>
      <c r="M22" s="285"/>
      <c r="O22" s="286" t="s">
        <v>10</v>
      </c>
      <c r="Q22" s="202">
        <f>MAX(Q20:Q21)</f>
        <v>380040</v>
      </c>
      <c r="Z22" s="202">
        <f>MAX(Z20:Z21)</f>
        <v>380040</v>
      </c>
    </row>
    <row r="23" spans="1:27" ht="24" customHeight="1" thickBot="1" x14ac:dyDescent="0.3">
      <c r="A23" s="1856"/>
      <c r="B23" s="1868" t="s">
        <v>547</v>
      </c>
      <c r="C23" s="1868"/>
      <c r="D23" s="268">
        <f t="shared" si="1"/>
        <v>47</v>
      </c>
      <c r="E23" s="632">
        <f>+'RENTA GENERAL CAPITAL'!F28</f>
        <v>0</v>
      </c>
      <c r="F23" s="1913"/>
      <c r="G23" s="1861"/>
      <c r="H23" s="649" t="s">
        <v>610</v>
      </c>
      <c r="I23" s="634">
        <f t="shared" si="0"/>
        <v>85</v>
      </c>
      <c r="J23" s="635"/>
      <c r="K23" s="281">
        <f>_xlfn.CEILING.PRECISE(H51,1000)</f>
        <v>0</v>
      </c>
      <c r="L23" s="1271">
        <f>+E42/O23</f>
        <v>0</v>
      </c>
      <c r="M23" s="1272"/>
      <c r="O23" s="287">
        <f>+'DATOS PARA DEPURAR'!C23</f>
        <v>36308</v>
      </c>
      <c r="S23" s="202">
        <f>IF(Q20&gt;0,Q22,Q19)</f>
        <v>380040</v>
      </c>
      <c r="AA23" s="202">
        <f>IF(Z20&gt;0,Z22,Z19)</f>
        <v>1256100</v>
      </c>
    </row>
    <row r="24" spans="1:27" ht="24.75" customHeight="1" thickBot="1" x14ac:dyDescent="0.25">
      <c r="A24" s="1856"/>
      <c r="B24" s="1414" t="s">
        <v>492</v>
      </c>
      <c r="C24" s="1414"/>
      <c r="D24" s="625">
        <f t="shared" si="1"/>
        <v>48</v>
      </c>
      <c r="E24" s="633">
        <f>+'RENTA GENERAL CAPITAL'!F30</f>
        <v>0</v>
      </c>
      <c r="F24" s="1913"/>
      <c r="G24" s="1865" t="s">
        <v>614</v>
      </c>
      <c r="H24" s="1866"/>
      <c r="I24" s="630">
        <f t="shared" si="0"/>
        <v>86</v>
      </c>
      <c r="J24" s="631">
        <f>IF(SUM(J18:J23)&gt;0,SUM(J18:J23),0)</f>
        <v>7987000</v>
      </c>
      <c r="P24" s="272" t="s">
        <v>442</v>
      </c>
      <c r="Z24" s="202">
        <f>IF(S15&gt;0,S23,AA23)</f>
        <v>380040</v>
      </c>
    </row>
    <row r="25" spans="1:27" ht="27.75" customHeight="1" x14ac:dyDescent="0.2">
      <c r="A25" s="1856"/>
      <c r="B25" s="1900" t="s">
        <v>506</v>
      </c>
      <c r="C25" s="1900"/>
      <c r="D25" s="268">
        <f t="shared" si="1"/>
        <v>49</v>
      </c>
      <c r="E25" s="632">
        <f>+'RENTA GENERAL CAPITAL'!F40</f>
        <v>0</v>
      </c>
      <c r="F25" s="1913"/>
      <c r="G25" s="1867" t="s">
        <v>615</v>
      </c>
      <c r="H25" s="1274"/>
      <c r="I25" s="268">
        <f t="shared" si="0"/>
        <v>87</v>
      </c>
      <c r="J25" s="632">
        <f>+'Num. 2 ART 241 E.T. 2018'!E9</f>
        <v>0</v>
      </c>
      <c r="L25" s="290">
        <v>0</v>
      </c>
      <c r="M25" s="291">
        <v>1090</v>
      </c>
      <c r="O25" s="292">
        <f>IF(L23&lt;=1090,0)</f>
        <v>0</v>
      </c>
      <c r="P25" s="202">
        <f>+'DATOS PARA DEPURAR'!E16</f>
        <v>44301</v>
      </c>
      <c r="AA25" s="202">
        <f>+Z24/0.1</f>
        <v>3800400</v>
      </c>
    </row>
    <row r="26" spans="1:27" ht="22.5" customHeight="1" thickBot="1" x14ac:dyDescent="0.3">
      <c r="A26" s="1856"/>
      <c r="B26" s="1397" t="s">
        <v>548</v>
      </c>
      <c r="C26" s="1397"/>
      <c r="D26" s="625">
        <f t="shared" si="1"/>
        <v>50</v>
      </c>
      <c r="E26" s="633">
        <f>+'RENTA GENERAL CAPITAL'!F45</f>
        <v>0</v>
      </c>
      <c r="F26" s="1913"/>
      <c r="G26" s="1901" t="s">
        <v>616</v>
      </c>
      <c r="H26" s="1902"/>
      <c r="I26" s="636">
        <f t="shared" si="0"/>
        <v>88</v>
      </c>
      <c r="J26" s="637">
        <f>IF((J24&gt;J25),J24,J25)</f>
        <v>7987000</v>
      </c>
      <c r="L26" s="293" t="s">
        <v>176</v>
      </c>
      <c r="M26" s="294">
        <v>1700</v>
      </c>
      <c r="O26" s="295" t="b">
        <f>IF(L23&gt;1090,(IF(L23&lt;=1700,ROUND((((+L23-1090)*19%)*O23),-3),0)),FALSE)</f>
        <v>0</v>
      </c>
      <c r="P26" s="202">
        <f>+'DATOS PARA DEPURAR'!C16</f>
        <v>44421</v>
      </c>
      <c r="AA26" s="328">
        <f>+AA25*P28*5%</f>
        <v>-760080</v>
      </c>
    </row>
    <row r="27" spans="1:27" ht="17.25" customHeight="1" x14ac:dyDescent="0.25">
      <c r="A27" s="1856"/>
      <c r="B27" s="1868" t="s">
        <v>549</v>
      </c>
      <c r="C27" s="1868"/>
      <c r="D27" s="268">
        <f t="shared" si="1"/>
        <v>51</v>
      </c>
      <c r="E27" s="632">
        <f>+'RENTA GENERAL CAPITAL'!F46</f>
        <v>0</v>
      </c>
      <c r="F27" s="1913"/>
      <c r="G27" s="1862" t="s">
        <v>144</v>
      </c>
      <c r="H27" s="676" t="s">
        <v>613</v>
      </c>
      <c r="I27" s="638">
        <f t="shared" si="0"/>
        <v>89</v>
      </c>
      <c r="J27" s="639">
        <f>IF(J167&gt;0,'DATOS PARA DEPURAR'!E314,0)+IF(J167&gt;0,'DATOS PARA DEPURAR'!E312,0)+IF(J167&gt;0,'DATOS PARA DEPURAR'!E313,0)</f>
        <v>0</v>
      </c>
      <c r="L27" s="293" t="s">
        <v>177</v>
      </c>
      <c r="M27" s="294">
        <v>4100</v>
      </c>
      <c r="O27" s="295" t="b">
        <f>IF(L23&gt;1700,IF(L23&lt;=4100,ROUND((((+L23-1700)*28%+116)*O23),-3),0))</f>
        <v>0</v>
      </c>
      <c r="P27" s="202">
        <f>+P25-P26</f>
        <v>-120</v>
      </c>
      <c r="AA27" s="432">
        <f>IF(AA26&gt;AA25,AA25,AA26)</f>
        <v>-760080</v>
      </c>
    </row>
    <row r="28" spans="1:27" ht="25.5" customHeight="1" thickBot="1" x14ac:dyDescent="0.3">
      <c r="A28" s="1856"/>
      <c r="B28" s="1408" t="s">
        <v>550</v>
      </c>
      <c r="C28" s="1408"/>
      <c r="D28" s="625">
        <f t="shared" si="1"/>
        <v>52</v>
      </c>
      <c r="E28" s="633">
        <f>+'RENTA GENERAL CAPITAL'!F47</f>
        <v>0</v>
      </c>
      <c r="F28" s="1913"/>
      <c r="G28" s="1863"/>
      <c r="H28" s="675" t="s">
        <v>131</v>
      </c>
      <c r="I28" s="625">
        <f t="shared" si="0"/>
        <v>90</v>
      </c>
      <c r="J28" s="633">
        <f>IF(J167&gt;0,'DATOS PARA DEPURAR'!E316,0)</f>
        <v>0</v>
      </c>
      <c r="K28" s="262">
        <f>SUM(K24:K27)</f>
        <v>0</v>
      </c>
      <c r="L28" s="298" t="s">
        <v>178</v>
      </c>
      <c r="M28" s="299"/>
      <c r="O28" s="300">
        <f>IF(L23&gt;4100,ROUND((((+L23-4100)*33%)*O23)+(788*O23),-3),0)</f>
        <v>0</v>
      </c>
      <c r="P28" s="202">
        <f>_xlfn.CEILING.PRECISE(P27/30,1)</f>
        <v>-4</v>
      </c>
    </row>
    <row r="29" spans="1:27" ht="26.25" customHeight="1" thickBot="1" x14ac:dyDescent="0.25">
      <c r="A29" s="1857"/>
      <c r="B29" s="1903" t="s">
        <v>551</v>
      </c>
      <c r="C29" s="1903"/>
      <c r="D29" s="634">
        <f t="shared" si="1"/>
        <v>53</v>
      </c>
      <c r="E29" s="635">
        <f>+'RENTA GENERAL CAPITAL'!F48</f>
        <v>0</v>
      </c>
      <c r="F29" s="1913"/>
      <c r="G29" s="1863"/>
      <c r="H29" s="676" t="s">
        <v>170</v>
      </c>
      <c r="I29" s="677">
        <f t="shared" si="0"/>
        <v>91</v>
      </c>
      <c r="J29" s="632"/>
      <c r="K29" s="262">
        <f>IF(K22&gt;K23,K22-K28,IF(K23&gt;K22,K23-K28,0))</f>
        <v>0</v>
      </c>
      <c r="P29" s="272" t="s">
        <v>444</v>
      </c>
      <c r="Q29" s="202">
        <f>+AC14</f>
        <v>399350</v>
      </c>
    </row>
    <row r="30" spans="1:27" ht="18" customHeight="1" thickBot="1" x14ac:dyDescent="0.25">
      <c r="A30" s="1870" t="s">
        <v>591</v>
      </c>
      <c r="B30" s="1906" t="s">
        <v>557</v>
      </c>
      <c r="C30" s="1907"/>
      <c r="D30" s="630">
        <f t="shared" si="1"/>
        <v>54</v>
      </c>
      <c r="E30" s="631">
        <f>+'RENTA GENERAL NO LABORAL'!F4</f>
        <v>0</v>
      </c>
      <c r="F30" s="1913"/>
      <c r="G30" s="1864"/>
      <c r="H30" s="650" t="s">
        <v>171</v>
      </c>
      <c r="I30" s="636">
        <f t="shared" si="0"/>
        <v>92</v>
      </c>
      <c r="J30" s="637">
        <f>SUM(J27:J29)</f>
        <v>0</v>
      </c>
      <c r="L30" s="1246" t="s">
        <v>179</v>
      </c>
      <c r="M30" s="1247"/>
      <c r="P30" s="272" t="s">
        <v>429</v>
      </c>
      <c r="Q30" s="202">
        <f>IF('DATOS PARA DEPURAR'!C13="S",'FORMULARIO 2018 RENTA CEDULAR'!Z24,0)</f>
        <v>0</v>
      </c>
    </row>
    <row r="31" spans="1:27" ht="18" customHeight="1" thickBot="1" x14ac:dyDescent="0.3">
      <c r="A31" s="1871"/>
      <c r="B31" s="1858" t="s">
        <v>570</v>
      </c>
      <c r="C31" s="1858"/>
      <c r="D31" s="268">
        <f t="shared" si="1"/>
        <v>55</v>
      </c>
      <c r="E31" s="632">
        <f>+'RENTA GENERAL NO LABORAL'!F24</f>
        <v>0</v>
      </c>
      <c r="F31" s="1913"/>
      <c r="G31" s="1904" t="s">
        <v>173</v>
      </c>
      <c r="H31" s="1905"/>
      <c r="I31" s="677">
        <f t="shared" si="0"/>
        <v>93</v>
      </c>
      <c r="J31" s="651">
        <f>IF((J26&gt;J30),J26-J30,0)</f>
        <v>7987000</v>
      </c>
      <c r="L31" s="1248">
        <f>IF(O25=0,O25,IF(O26&gt;0,O26,IF(O27&gt;0,O27,IF(O28&gt;0,O28))))</f>
        <v>0</v>
      </c>
      <c r="M31" s="1249"/>
      <c r="P31" s="461" t="s">
        <v>445</v>
      </c>
      <c r="Q31" s="329">
        <f>IF('DATOS PARA DEPURAR'!C15="S",AA27,0)</f>
        <v>0</v>
      </c>
      <c r="Z31" s="202">
        <f>+'DATOS PARA DEPURAR'!E15</f>
        <v>0</v>
      </c>
    </row>
    <row r="32" spans="1:27" ht="18" customHeight="1" x14ac:dyDescent="0.2">
      <c r="A32" s="1871"/>
      <c r="B32" s="1600" t="s">
        <v>488</v>
      </c>
      <c r="C32" s="1651"/>
      <c r="D32" s="625">
        <f t="shared" si="1"/>
        <v>56</v>
      </c>
      <c r="E32" s="633">
        <f>+'RENTA GENERAL NO LABORAL'!F26</f>
        <v>0</v>
      </c>
      <c r="F32" s="1913"/>
      <c r="G32" s="1874" t="s">
        <v>106</v>
      </c>
      <c r="H32" s="1295"/>
      <c r="I32" s="625">
        <f t="shared" ref="I32:I42" si="2">+I31+1</f>
        <v>94</v>
      </c>
      <c r="J32" s="652">
        <f>SUM('DEPURACION POR IMAS EMPLEADO'!K30:K31)</f>
        <v>0</v>
      </c>
      <c r="Q32" s="202">
        <f>IF((Q29&lt;=0),Q30+Q31,IF(Q30&lt;=0,Q29,IF(SUM(Q29:Q30)&lt;=0,0,0)))</f>
        <v>399350</v>
      </c>
      <c r="Z32" s="202">
        <f>IF(Z24&gt;0,Z31,0)</f>
        <v>0</v>
      </c>
    </row>
    <row r="33" spans="1:16" ht="24" customHeight="1" thickBot="1" x14ac:dyDescent="0.25">
      <c r="A33" s="1871"/>
      <c r="B33" s="1858" t="s">
        <v>527</v>
      </c>
      <c r="C33" s="1858"/>
      <c r="D33" s="268">
        <f t="shared" si="1"/>
        <v>57</v>
      </c>
      <c r="E33" s="632">
        <f>+'RENTA GENERAL NO LABORAL'!F35</f>
        <v>0</v>
      </c>
      <c r="F33" s="1913"/>
      <c r="G33" s="1885" t="s">
        <v>174</v>
      </c>
      <c r="H33" s="1269"/>
      <c r="I33" s="268">
        <f t="shared" si="2"/>
        <v>95</v>
      </c>
      <c r="J33" s="632">
        <f>+'DATOS PARA DEPURAR'!E307</f>
        <v>0</v>
      </c>
    </row>
    <row r="34" spans="1:16" ht="17.25" customHeight="1" x14ac:dyDescent="0.2">
      <c r="A34" s="1871"/>
      <c r="B34" s="1600" t="s">
        <v>567</v>
      </c>
      <c r="C34" s="1651"/>
      <c r="D34" s="625">
        <f t="shared" si="1"/>
        <v>58</v>
      </c>
      <c r="E34" s="633">
        <f>+'RENTA GENERAL NO LABORAL'!F58</f>
        <v>0</v>
      </c>
      <c r="F34" s="1913"/>
      <c r="G34" s="653" t="s">
        <v>108</v>
      </c>
      <c r="H34" s="627"/>
      <c r="I34" s="625">
        <f t="shared" si="2"/>
        <v>96</v>
      </c>
      <c r="J34" s="633">
        <f>+J31+J32-J33</f>
        <v>7987000</v>
      </c>
      <c r="L34" s="339" t="s">
        <v>190</v>
      </c>
      <c r="M34" s="340"/>
      <c r="N34" s="340"/>
      <c r="O34" s="340"/>
      <c r="P34" s="341"/>
    </row>
    <row r="35" spans="1:16" ht="17.25" customHeight="1" x14ac:dyDescent="0.2">
      <c r="A35" s="1871"/>
      <c r="B35" s="1858" t="s">
        <v>562</v>
      </c>
      <c r="C35" s="1858"/>
      <c r="D35" s="268">
        <f t="shared" si="1"/>
        <v>59</v>
      </c>
      <c r="E35" s="632">
        <f>+'RENTA GENERAL NO LABORAL'!F60</f>
        <v>0</v>
      </c>
      <c r="F35" s="1913"/>
      <c r="G35" s="654" t="s">
        <v>485</v>
      </c>
      <c r="H35" s="626"/>
      <c r="I35" s="268">
        <f t="shared" si="2"/>
        <v>97</v>
      </c>
      <c r="J35" s="632">
        <f>IF('DATOS PARA DEPURAR'!E20&gt;0,'DATOS PARA DEPURAR'!E20,0)</f>
        <v>1820000</v>
      </c>
      <c r="K35" s="262">
        <f>IF((L35)&gt;0,L35,0)</f>
        <v>26521435.5</v>
      </c>
      <c r="L35" s="342">
        <f>IF((M35*25%)&lt;=(2880*'DATOS PARA DEPURAR'!C23),(M35*25%),(2880*'DATOS PARA DEPURAR'!C23))</f>
        <v>26521435.5</v>
      </c>
      <c r="M35" s="337">
        <f>E7-'DATOS PARA DEPURAR'!E42+L36-SUM('DATOS PARA DEPURAR'!E262:E267)-'DATOS PARA DEPURAR'!E215-'DATOS PARA DEPURAR'!E216-'DATOS PARA DEPURAR'!E217-'DATOS PARA DEPURAR'!E218-'DATOS PARA DEPURAR'!E220-'DATOS PARA DEPURAR'!E223-'DATOS PARA DEPURAR'!E227-'DATOS PARA DEPURAR'!E226-'DATOS PARA DEPURAR'!E225-'FORMULARIO 2018 RENTA CEDULAR'!E23-'DATOS PARA DEPURAR'!E255</f>
        <v>106085742</v>
      </c>
      <c r="N35" s="194"/>
      <c r="O35" s="194"/>
      <c r="P35" s="343"/>
    </row>
    <row r="36" spans="1:16" ht="22.5" customHeight="1" x14ac:dyDescent="0.2">
      <c r="A36" s="1871"/>
      <c r="B36" s="1908" t="s">
        <v>563</v>
      </c>
      <c r="C36" s="1908"/>
      <c r="D36" s="625">
        <f t="shared" si="1"/>
        <v>60</v>
      </c>
      <c r="E36" s="633">
        <f>+'RENTA GENERAL NO LABORAL'!F62</f>
        <v>0</v>
      </c>
      <c r="F36" s="1913"/>
      <c r="G36" s="1909" t="s">
        <v>670</v>
      </c>
      <c r="H36" s="1910"/>
      <c r="I36" s="625">
        <f t="shared" si="2"/>
        <v>98</v>
      </c>
      <c r="J36" s="633">
        <f>IF('DATOS PARA DEPURAR'!C21&gt;0,'DATOS PARA DEPURAR'!C21,0)</f>
        <v>0</v>
      </c>
      <c r="L36" s="344">
        <f>IF(('DATOS PARA DEPURAR'!E103)="S",('DATOS PARA DEPURAR'!E50+'DATOS PARA DEPURAR'!E52),0)</f>
        <v>0</v>
      </c>
      <c r="M36" s="194">
        <f>50531/0.25</f>
        <v>202124</v>
      </c>
      <c r="N36" s="194"/>
      <c r="O36" s="1371" t="s">
        <v>620</v>
      </c>
      <c r="P36" s="1372"/>
    </row>
    <row r="37" spans="1:16" ht="23.25" customHeight="1" x14ac:dyDescent="0.2">
      <c r="A37" s="1871"/>
      <c r="B37" s="1911" t="s">
        <v>565</v>
      </c>
      <c r="C37" s="1911"/>
      <c r="D37" s="753">
        <f t="shared" si="1"/>
        <v>61</v>
      </c>
      <c r="E37" s="752">
        <f>+'RENTA GENERAL NO LABORAL'!F75</f>
        <v>0</v>
      </c>
      <c r="F37" s="1913"/>
      <c r="G37" s="655" t="s">
        <v>671</v>
      </c>
      <c r="H37" s="628"/>
      <c r="I37" s="268">
        <f t="shared" si="2"/>
        <v>99</v>
      </c>
      <c r="J37" s="632">
        <f>+'DATOS PARA DEPURAR'!E308</f>
        <v>12096000</v>
      </c>
      <c r="L37" s="344">
        <f>IF('DATOS PARA DEPURAR'!D60="N",'DATOS PARA DEPURAR'!E166,0)</f>
        <v>0</v>
      </c>
      <c r="M37" s="194">
        <f>+M36/2</f>
        <v>101062</v>
      </c>
      <c r="N37" s="194"/>
      <c r="O37" s="337">
        <f>IF((J31)&gt;0,J31,0)</f>
        <v>7987000</v>
      </c>
      <c r="P37" s="343"/>
    </row>
    <row r="38" spans="1:16" ht="17.25" customHeight="1" x14ac:dyDescent="0.2">
      <c r="A38" s="1871"/>
      <c r="B38" s="1600" t="s">
        <v>548</v>
      </c>
      <c r="C38" s="1651"/>
      <c r="D38" s="625">
        <f t="shared" si="1"/>
        <v>62</v>
      </c>
      <c r="E38" s="633">
        <f>+'RENTA GENERAL NO LABORAL'!F80</f>
        <v>0</v>
      </c>
      <c r="F38" s="1913"/>
      <c r="G38" s="653" t="s">
        <v>672</v>
      </c>
      <c r="H38" s="627"/>
      <c r="I38" s="305">
        <f t="shared" si="2"/>
        <v>100</v>
      </c>
      <c r="J38" s="633">
        <f>+P43</f>
        <v>0</v>
      </c>
      <c r="K38" s="262">
        <f>+Q32</f>
        <v>399350</v>
      </c>
      <c r="L38" s="344">
        <f>IF('DATOS PARA DEPURAR'!D62="N",'DATOS PARA DEPURAR'!E167,0)</f>
        <v>0</v>
      </c>
      <c r="M38" s="194"/>
      <c r="N38" s="194"/>
      <c r="O38" s="337">
        <f>IF(((O37)*('DEPURACION POR IMAS EMPLEADO'!K44)-('DATOS PARA DEPURAR'!E301))&gt;0,(O37)*('DEPURACION POR IMAS EMPLEADO'!K44)-('DATOS PARA DEPURAR'!E301),0)</f>
        <v>0</v>
      </c>
      <c r="P38" s="343"/>
    </row>
    <row r="39" spans="1:16" ht="17.25" customHeight="1" x14ac:dyDescent="0.2">
      <c r="A39" s="1871"/>
      <c r="B39" s="1858" t="s">
        <v>549</v>
      </c>
      <c r="C39" s="1858"/>
      <c r="D39" s="268">
        <f t="shared" si="1"/>
        <v>63</v>
      </c>
      <c r="E39" s="632">
        <f>+'RENTA GENERAL NO LABORAL'!F81</f>
        <v>0</v>
      </c>
      <c r="F39" s="1913"/>
      <c r="G39" s="655" t="s">
        <v>180</v>
      </c>
      <c r="H39" s="628"/>
      <c r="I39" s="307">
        <f t="shared" si="2"/>
        <v>101</v>
      </c>
      <c r="J39" s="632">
        <f>IF((J34+J38-J35-J36-J37)&gt;0,J34+J38-J35-J36-J37,0)</f>
        <v>0</v>
      </c>
      <c r="L39" s="344"/>
      <c r="M39" s="194"/>
      <c r="N39" s="194"/>
      <c r="O39" s="194"/>
      <c r="P39" s="345">
        <f>+O38</f>
        <v>0</v>
      </c>
    </row>
    <row r="40" spans="1:16" ht="17.25" customHeight="1" x14ac:dyDescent="0.2">
      <c r="A40" s="1871"/>
      <c r="B40" s="1651" t="s">
        <v>568</v>
      </c>
      <c r="C40" s="1651"/>
      <c r="D40" s="625">
        <f t="shared" si="1"/>
        <v>64</v>
      </c>
      <c r="E40" s="633">
        <f>+'RENTA GENERAL NO LABORAL'!F82</f>
        <v>0</v>
      </c>
      <c r="F40" s="1913"/>
      <c r="G40" s="656" t="s">
        <v>181</v>
      </c>
      <c r="H40" s="629"/>
      <c r="I40" s="305">
        <f t="shared" si="2"/>
        <v>102</v>
      </c>
      <c r="J40" s="633">
        <f>+K38</f>
        <v>399350</v>
      </c>
      <c r="L40" s="344">
        <v>1</v>
      </c>
      <c r="M40" s="194"/>
      <c r="N40" s="194"/>
      <c r="O40" s="337">
        <f>IF((O42)&gt;0,(O42+O37)/(2),0)</f>
        <v>40063500</v>
      </c>
      <c r="P40" s="343">
        <f>IF((O40*'DEPURACION POR IMAS EMPLEADO'!K44)-('DATOS PARA DEPURAR'!E301)&gt;0,(O40*'DEPURACION POR IMAS EMPLEADO'!K44)-('DATOS PARA DEPURAR'!E301),0)</f>
        <v>17951625</v>
      </c>
    </row>
    <row r="41" spans="1:16" ht="17.25" customHeight="1" x14ac:dyDescent="0.2">
      <c r="A41" s="1871"/>
      <c r="B41" s="1858" t="s">
        <v>569</v>
      </c>
      <c r="C41" s="1858"/>
      <c r="D41" s="268">
        <f t="shared" si="1"/>
        <v>65</v>
      </c>
      <c r="E41" s="632" t="e">
        <f>+'RENTA GENERAL NO LABORAL'!#REF!</f>
        <v>#REF!</v>
      </c>
      <c r="F41" s="1913"/>
      <c r="G41" s="655" t="s">
        <v>182</v>
      </c>
      <c r="H41" s="628"/>
      <c r="I41" s="307">
        <f t="shared" si="2"/>
        <v>103</v>
      </c>
      <c r="J41" s="678">
        <f>IF((J34+J38-J35-J36-J37+J40)&gt;0,J34+J38-J35-J36-J37+J40,0)</f>
        <v>0</v>
      </c>
      <c r="L41" s="344"/>
      <c r="M41" s="194"/>
      <c r="N41" s="194"/>
      <c r="O41" s="337"/>
      <c r="P41" s="343"/>
    </row>
    <row r="42" spans="1:16" ht="22.5" customHeight="1" thickBot="1" x14ac:dyDescent="0.25">
      <c r="A42" s="1872"/>
      <c r="B42" s="1873" t="s">
        <v>566</v>
      </c>
      <c r="C42" s="1873"/>
      <c r="D42" s="640">
        <f t="shared" si="1"/>
        <v>66</v>
      </c>
      <c r="E42" s="641">
        <f>+'RENTA GENERAL NO LABORAL'!F83</f>
        <v>0</v>
      </c>
      <c r="F42" s="1914"/>
      <c r="G42" s="657" t="s">
        <v>183</v>
      </c>
      <c r="H42" s="658"/>
      <c r="I42" s="659">
        <f t="shared" si="2"/>
        <v>104</v>
      </c>
      <c r="J42" s="641">
        <f>IF((J35+J36+J37-J34-J38-J40)&gt;0,J35+J36+J37-J34-J38-J40,0)</f>
        <v>5529650</v>
      </c>
      <c r="L42" s="344">
        <v>2</v>
      </c>
      <c r="M42" s="194"/>
      <c r="N42" s="194"/>
      <c r="O42" s="337">
        <f>+'DATOS PARA DEPURAR'!C20</f>
        <v>72140000</v>
      </c>
      <c r="P42" s="345">
        <f>MIN(P39:P40)</f>
        <v>0</v>
      </c>
    </row>
    <row r="43" spans="1:16" ht="24.75" customHeight="1" x14ac:dyDescent="0.2">
      <c r="A43" s="1923" t="str">
        <f>IF(E20&gt;0,C106,C100)</f>
        <v>YAOP</v>
      </c>
      <c r="B43" s="1923"/>
      <c r="C43" s="1923"/>
      <c r="D43" s="1923"/>
      <c r="E43" s="1923"/>
      <c r="F43" s="1923"/>
      <c r="G43" s="1923"/>
      <c r="H43" s="1923"/>
      <c r="I43" s="1923"/>
      <c r="J43" s="1923"/>
      <c r="L43" s="344">
        <v>3</v>
      </c>
      <c r="M43" s="350">
        <f>+'DATOS PARA DEPURAR'!C24/'DATOS PARA DEPURAR'!C23</f>
        <v>96.080423047262315</v>
      </c>
      <c r="N43" s="194"/>
      <c r="O43" s="194">
        <f>LOOKUP(M43,L44:M50,O44:O50)</f>
        <v>1</v>
      </c>
      <c r="P43" s="343">
        <f>IF((P42)&gt;0,P42,P39)</f>
        <v>0</v>
      </c>
    </row>
    <row r="44" spans="1:16" hidden="1" x14ac:dyDescent="0.2">
      <c r="L44" s="344">
        <v>0</v>
      </c>
      <c r="M44" s="194">
        <f>350-0.01</f>
        <v>349.99</v>
      </c>
      <c r="N44" s="194"/>
      <c r="O44" s="338">
        <v>1</v>
      </c>
      <c r="P44" s="343">
        <f>IF(M43&lt;=M44,O43,0)</f>
        <v>1</v>
      </c>
    </row>
    <row r="45" spans="1:16" hidden="1" x14ac:dyDescent="0.2">
      <c r="C45" s="272" t="s">
        <v>161</v>
      </c>
      <c r="E45" s="202">
        <f>IF(E31&lt;E32,E32+E40-E39,IF(E32&lt;E31,E31-E39+E40,0))</f>
        <v>0</v>
      </c>
      <c r="J45" s="606"/>
      <c r="L45" s="344">
        <v>350</v>
      </c>
      <c r="M45" s="194">
        <f>410-0.01</f>
        <v>409.99</v>
      </c>
      <c r="N45" s="194"/>
      <c r="O45" s="338">
        <v>0.9</v>
      </c>
      <c r="P45" s="343"/>
    </row>
    <row r="46" spans="1:16" hidden="1" x14ac:dyDescent="0.2">
      <c r="L46" s="344">
        <v>410</v>
      </c>
      <c r="M46" s="194">
        <f>470-0.01</f>
        <v>469.99</v>
      </c>
      <c r="N46" s="194"/>
      <c r="O46" s="338">
        <v>0.8</v>
      </c>
      <c r="P46" s="343"/>
    </row>
    <row r="47" spans="1:16" hidden="1" x14ac:dyDescent="0.2">
      <c r="L47" s="344">
        <v>470</v>
      </c>
      <c r="M47" s="194">
        <f>530-0.01</f>
        <v>529.99</v>
      </c>
      <c r="N47" s="194"/>
      <c r="O47" s="338">
        <v>0.6</v>
      </c>
      <c r="P47" s="343"/>
    </row>
    <row r="48" spans="1:16" ht="15" hidden="1" x14ac:dyDescent="0.25">
      <c r="C48" s="313" t="s">
        <v>35</v>
      </c>
      <c r="D48" s="314"/>
      <c r="E48" s="315" t="s">
        <v>81</v>
      </c>
      <c r="F48" s="315"/>
      <c r="H48" s="316" t="s">
        <v>82</v>
      </c>
      <c r="L48" s="344">
        <v>530</v>
      </c>
      <c r="M48" s="194">
        <f>590-0.01</f>
        <v>589.99</v>
      </c>
      <c r="N48" s="194"/>
      <c r="O48" s="338">
        <v>0.4</v>
      </c>
      <c r="P48" s="343"/>
    </row>
    <row r="49" spans="3:16" hidden="1" x14ac:dyDescent="0.2">
      <c r="C49" s="317" t="s">
        <v>18</v>
      </c>
      <c r="D49" s="317"/>
      <c r="E49" s="318">
        <f>+J9/'DATOS PARA DEPURAR'!$C$23</f>
        <v>0</v>
      </c>
      <c r="F49" s="318"/>
      <c r="H49" s="319">
        <f>+E49*'DATOS PARA DEPURAR'!$C$23</f>
        <v>0</v>
      </c>
      <c r="L49" s="344">
        <v>590</v>
      </c>
      <c r="M49" s="194">
        <f>650-0.01</f>
        <v>649.99</v>
      </c>
      <c r="N49" s="194"/>
      <c r="O49" s="338">
        <v>0.2</v>
      </c>
      <c r="P49" s="343"/>
    </row>
    <row r="50" spans="3:16" ht="13.5" hidden="1" thickBot="1" x14ac:dyDescent="0.25">
      <c r="C50" s="320" t="s">
        <v>83</v>
      </c>
      <c r="D50" s="320"/>
      <c r="E50" s="318">
        <f>+J20/'DATOS PARA DEPURAR'!$C$23</f>
        <v>0</v>
      </c>
      <c r="F50" s="318"/>
      <c r="H50" s="319">
        <f>+E50*'DATOS PARA DEPURAR'!$C$23</f>
        <v>0</v>
      </c>
      <c r="L50" s="346">
        <v>650</v>
      </c>
      <c r="M50" s="347">
        <v>10000</v>
      </c>
      <c r="N50" s="347"/>
      <c r="O50" s="348">
        <v>0.1</v>
      </c>
      <c r="P50" s="349"/>
    </row>
    <row r="51" spans="3:16" hidden="1" x14ac:dyDescent="0.2">
      <c r="C51" s="320" t="s">
        <v>84</v>
      </c>
      <c r="D51" s="320"/>
      <c r="E51" s="605">
        <f>+E54</f>
        <v>0</v>
      </c>
      <c r="F51" s="605"/>
      <c r="H51" s="319">
        <f>+E51*'DATOS PARA DEPURAR'!$C$23</f>
        <v>0</v>
      </c>
    </row>
    <row r="52" spans="3:16" ht="15" hidden="1" x14ac:dyDescent="0.25">
      <c r="C52" s="321"/>
      <c r="D52" s="321"/>
      <c r="E52" s="607"/>
      <c r="F52" s="607"/>
      <c r="G52" s="322"/>
      <c r="H52" s="319">
        <f>+E52*'DATOS PARA DEPURAR'!$C$23</f>
        <v>0</v>
      </c>
      <c r="J52" s="323">
        <v>0</v>
      </c>
      <c r="K52" s="324">
        <v>1547.99</v>
      </c>
      <c r="L52" s="325">
        <v>0</v>
      </c>
    </row>
    <row r="53" spans="3:16" ht="15" hidden="1" x14ac:dyDescent="0.25">
      <c r="J53" s="323">
        <v>1548</v>
      </c>
      <c r="K53" s="326">
        <f>+J54-0.01</f>
        <v>1587.99</v>
      </c>
      <c r="L53" s="325">
        <v>1.05</v>
      </c>
    </row>
    <row r="54" spans="3:16" ht="15" hidden="1" x14ac:dyDescent="0.25">
      <c r="E54" s="202">
        <f>IF(E50&lt;=13642.99,H54,IF(E50&gt;13642.99,(E50*27%)-1622,0))</f>
        <v>0</v>
      </c>
      <c r="H54" s="202">
        <f>LOOKUP(E50,J52:K136,L52:L136)</f>
        <v>0</v>
      </c>
      <c r="J54" s="323">
        <v>1588</v>
      </c>
      <c r="K54" s="326">
        <f t="shared" ref="K54:K117" si="3">+J55-0.01</f>
        <v>1628.99</v>
      </c>
      <c r="L54" s="325">
        <v>1.08</v>
      </c>
    </row>
    <row r="55" spans="3:16" ht="15" hidden="1" x14ac:dyDescent="0.25">
      <c r="C55" s="327">
        <f>+E50-1622</f>
        <v>-1622</v>
      </c>
      <c r="J55" s="323">
        <v>1629</v>
      </c>
      <c r="K55" s="326">
        <f t="shared" si="3"/>
        <v>1669.99</v>
      </c>
      <c r="L55" s="325">
        <v>1.1100000000000001</v>
      </c>
    </row>
    <row r="56" spans="3:16" ht="15" hidden="1" x14ac:dyDescent="0.25">
      <c r="C56" s="202">
        <f>+C55*0.27</f>
        <v>-437.94000000000005</v>
      </c>
      <c r="J56" s="323">
        <v>1670</v>
      </c>
      <c r="K56" s="326">
        <f t="shared" si="3"/>
        <v>1709.99</v>
      </c>
      <c r="L56" s="325">
        <v>1.1399999999999999</v>
      </c>
    </row>
    <row r="57" spans="3:16" ht="15" hidden="1" x14ac:dyDescent="0.25">
      <c r="C57" s="202">
        <f>C56*26841</f>
        <v>-11754747.540000001</v>
      </c>
      <c r="J57" s="323">
        <v>1710</v>
      </c>
      <c r="K57" s="326">
        <f t="shared" si="3"/>
        <v>1750.99</v>
      </c>
      <c r="L57" s="325">
        <v>1.1599999999999999</v>
      </c>
    </row>
    <row r="58" spans="3:16" ht="15" hidden="1" x14ac:dyDescent="0.25">
      <c r="J58" s="323">
        <v>1751</v>
      </c>
      <c r="K58" s="326">
        <f t="shared" si="3"/>
        <v>1791.99</v>
      </c>
      <c r="L58" s="325">
        <v>2.38</v>
      </c>
    </row>
    <row r="59" spans="3:16" ht="15" hidden="1" x14ac:dyDescent="0.25">
      <c r="J59" s="323">
        <v>1792</v>
      </c>
      <c r="K59" s="326">
        <f t="shared" si="3"/>
        <v>1832.99</v>
      </c>
      <c r="L59" s="325">
        <v>2.4300000000000002</v>
      </c>
    </row>
    <row r="60" spans="3:16" ht="15" hidden="1" x14ac:dyDescent="0.25">
      <c r="C60" s="202" t="s">
        <v>333</v>
      </c>
      <c r="J60" s="323">
        <v>1833</v>
      </c>
      <c r="K60" s="326">
        <f t="shared" si="3"/>
        <v>1872.99</v>
      </c>
      <c r="L60" s="325">
        <v>2.4900000000000002</v>
      </c>
    </row>
    <row r="61" spans="3:16" ht="15" hidden="1" x14ac:dyDescent="0.25">
      <c r="C61" s="328">
        <f>3800*'DATOS PARA DEPURAR'!C23</f>
        <v>137970400</v>
      </c>
      <c r="J61" s="323">
        <v>1873</v>
      </c>
      <c r="K61" s="326">
        <f t="shared" si="3"/>
        <v>1913.99</v>
      </c>
      <c r="L61" s="325">
        <v>4.76</v>
      </c>
    </row>
    <row r="62" spans="3:16" ht="15" hidden="1" x14ac:dyDescent="0.25">
      <c r="C62" s="328">
        <f>(SUM('DATOS PARA DEPURAR'!E50:E53)+('DATOS PARA DEPURAR'!E28))*0.3</f>
        <v>24140258.699999999</v>
      </c>
      <c r="J62" s="323">
        <v>1914</v>
      </c>
      <c r="K62" s="326">
        <f t="shared" si="3"/>
        <v>1954.99</v>
      </c>
      <c r="L62" s="325">
        <v>4.8600000000000003</v>
      </c>
    </row>
    <row r="63" spans="3:16" ht="15" hidden="1" x14ac:dyDescent="0.25">
      <c r="C63" s="329">
        <f>MIN(C61:C62)</f>
        <v>24140258.699999999</v>
      </c>
      <c r="J63" s="323">
        <v>1955</v>
      </c>
      <c r="K63" s="326">
        <f t="shared" si="3"/>
        <v>1995.99</v>
      </c>
      <c r="L63" s="325">
        <v>4.96</v>
      </c>
    </row>
    <row r="64" spans="3:16" ht="15" hidden="1" x14ac:dyDescent="0.25">
      <c r="J64" s="323">
        <v>1996</v>
      </c>
      <c r="K64" s="326">
        <f t="shared" si="3"/>
        <v>2035.99</v>
      </c>
      <c r="L64" s="325">
        <v>8.43</v>
      </c>
    </row>
    <row r="65" spans="3:12" ht="15" hidden="1" x14ac:dyDescent="0.25">
      <c r="C65" s="272" t="s">
        <v>334</v>
      </c>
      <c r="J65" s="323">
        <v>2036</v>
      </c>
      <c r="K65" s="326">
        <f t="shared" si="3"/>
        <v>2117.9899999999998</v>
      </c>
      <c r="L65" s="325">
        <v>8.7100000000000009</v>
      </c>
    </row>
    <row r="66" spans="3:12" ht="15" hidden="1" x14ac:dyDescent="0.25">
      <c r="C66" s="328">
        <f>IF(SUM('DATOS PARA DEPURAR'!D255:D260)&lt;=('DATOS PARA DEPURAR'!E255),('DATOS PARA DEPURAR'!D260),IF(SUM('DATOS PARA DEPURAR'!D255:D260)&gt;('DATOS PARA DEPURAR'!E255),('DATOS PARA DEPURAR'!E255-'DATOS PARA DEPURAR'!D255-'DATOS PARA DEPURAR'!D257),0))</f>
        <v>0</v>
      </c>
      <c r="J66" s="323">
        <v>2118</v>
      </c>
      <c r="K66" s="326">
        <f t="shared" si="3"/>
        <v>2198.9899999999998</v>
      </c>
      <c r="L66" s="325">
        <v>13.74</v>
      </c>
    </row>
    <row r="67" spans="3:12" ht="15" hidden="1" x14ac:dyDescent="0.25">
      <c r="C67" s="272" t="s">
        <v>335</v>
      </c>
      <c r="J67" s="323">
        <v>2199</v>
      </c>
      <c r="K67" s="326">
        <f t="shared" si="3"/>
        <v>2280.9899999999998</v>
      </c>
      <c r="L67" s="325">
        <v>14.26</v>
      </c>
    </row>
    <row r="68" spans="3:12" ht="15" hidden="1" x14ac:dyDescent="0.25">
      <c r="C68" s="275">
        <f>IF(SUM('DATOS PARA DEPURAR'!D255:D257)&lt;=('DATOS PARA DEPURAR'!E255+'DATOS PARA DEPURAR'!D256),'DATOS PARA DEPURAR'!D257,'DATOS PARA DEPURAR'!E255-'DATOS PARA DEPURAR'!D255-'DATOS PARA DEPURAR'!D256)</f>
        <v>0</v>
      </c>
      <c r="J68" s="323">
        <v>2281</v>
      </c>
      <c r="K68" s="326">
        <f t="shared" si="3"/>
        <v>2361.9899999999998</v>
      </c>
      <c r="L68" s="325">
        <v>19.809999999999999</v>
      </c>
    </row>
    <row r="69" spans="3:12" ht="15" hidden="1" x14ac:dyDescent="0.25">
      <c r="C69" s="275">
        <f>+'DATOS PARA DEPURAR'!D257</f>
        <v>0</v>
      </c>
      <c r="J69" s="323">
        <v>2362</v>
      </c>
      <c r="K69" s="326">
        <f t="shared" si="3"/>
        <v>2442.9899999999998</v>
      </c>
      <c r="L69" s="325">
        <v>25.7</v>
      </c>
    </row>
    <row r="70" spans="3:12" ht="15" hidden="1" x14ac:dyDescent="0.25">
      <c r="C70" s="278">
        <f>MIN(C68:C69)</f>
        <v>0</v>
      </c>
      <c r="E70" s="272" t="s">
        <v>336</v>
      </c>
      <c r="J70" s="323">
        <v>2443</v>
      </c>
      <c r="K70" s="326">
        <f t="shared" si="3"/>
        <v>2524.9899999999998</v>
      </c>
      <c r="L70" s="325">
        <v>26.57</v>
      </c>
    </row>
    <row r="71" spans="3:12" ht="15" hidden="1" x14ac:dyDescent="0.25">
      <c r="J71" s="323">
        <v>2525</v>
      </c>
      <c r="K71" s="326">
        <f t="shared" si="3"/>
        <v>2605.9899999999998</v>
      </c>
      <c r="L71" s="325">
        <v>35.56</v>
      </c>
    </row>
    <row r="72" spans="3:12" ht="15" hidden="1" x14ac:dyDescent="0.25">
      <c r="C72" s="275">
        <f>IF(('DATOS PARA DEPURAR'!D260&lt;=0),('FORMULARIO 2018 RENTA CEDULAR'!C70),0)</f>
        <v>0</v>
      </c>
      <c r="J72" s="323">
        <v>2606</v>
      </c>
      <c r="K72" s="326">
        <f t="shared" si="3"/>
        <v>2687.99</v>
      </c>
      <c r="L72" s="325">
        <v>45.05</v>
      </c>
    </row>
    <row r="73" spans="3:12" ht="15" hidden="1" x14ac:dyDescent="0.25">
      <c r="C73" s="328">
        <f>IF(SUM('DATOS PARA DEPURAR'!D255:D260)&gt;('DATOS PARA DEPURAR'!E255),('FORMULARIO 2018 RENTA CEDULAR'!C70),('DATOS PARA DEPURAR'!D257))</f>
        <v>0</v>
      </c>
      <c r="J73" s="323">
        <v>2688</v>
      </c>
      <c r="K73" s="326">
        <f t="shared" si="3"/>
        <v>2768.99</v>
      </c>
      <c r="L73" s="325">
        <v>46.43</v>
      </c>
    </row>
    <row r="74" spans="3:12" ht="15" hidden="1" x14ac:dyDescent="0.25">
      <c r="C74" s="278">
        <f>IF(C72&gt;C73,(MIN(C72:C73)),C73)</f>
        <v>0</v>
      </c>
      <c r="H74" s="411">
        <f>IF(('DATOS PARA DEPURAR'!E21)=2,('DATOS PARA DEPURAR'!C19/'DATOS PARA DEPURAR'!E19),IF(('DATOS PARA DEPURAR'!E21)=3,('DATOS PARA DEPURAR'!C19/'DATOS PARA DEPURAR'!E19),0))</f>
        <v>1.163760689037755</v>
      </c>
      <c r="J74" s="323">
        <v>2769</v>
      </c>
      <c r="K74" s="326">
        <f t="shared" si="3"/>
        <v>2850.99</v>
      </c>
      <c r="L74" s="325">
        <v>55.58</v>
      </c>
    </row>
    <row r="75" spans="3:12" ht="15" hidden="1" x14ac:dyDescent="0.25">
      <c r="H75" s="411">
        <f>IF(H74&gt;0,H74,0)</f>
        <v>1.163760689037755</v>
      </c>
      <c r="J75" s="323">
        <v>2851</v>
      </c>
      <c r="K75" s="326">
        <f t="shared" si="3"/>
        <v>2931.99</v>
      </c>
      <c r="L75" s="325">
        <v>60.7</v>
      </c>
    </row>
    <row r="76" spans="3:12" ht="15.75" hidden="1" x14ac:dyDescent="0.25">
      <c r="C76" s="330" t="s">
        <v>357</v>
      </c>
      <c r="J76" s="323">
        <v>2932</v>
      </c>
      <c r="K76" s="326">
        <f t="shared" si="3"/>
        <v>3013.99</v>
      </c>
      <c r="L76" s="325">
        <v>66.02</v>
      </c>
    </row>
    <row r="77" spans="3:12" ht="15" hidden="1" x14ac:dyDescent="0.25">
      <c r="C77" s="272" t="s">
        <v>358</v>
      </c>
      <c r="E77" s="202">
        <f>IF(('PATRIMONIO BRUTO'!D28)="S",('PATRIMONIO BRUTO'!E28),0)</f>
        <v>3288899</v>
      </c>
      <c r="H77" s="202">
        <f>IF(($H$75)&gt;0,$H$75*E77,0)</f>
        <v>3827491.3664155835</v>
      </c>
      <c r="J77" s="323">
        <v>3014</v>
      </c>
      <c r="K77" s="326">
        <f t="shared" si="3"/>
        <v>3094.99</v>
      </c>
      <c r="L77" s="325">
        <v>71.540000000000006</v>
      </c>
    </row>
    <row r="78" spans="3:12" ht="15" hidden="1" x14ac:dyDescent="0.25">
      <c r="C78" s="272" t="s">
        <v>359</v>
      </c>
      <c r="E78" s="202">
        <f>IF(('PATRIMONIO BRUTO'!D30)="S",('PATRIMONIO BRUTO'!E30),0)</f>
        <v>23444444</v>
      </c>
      <c r="H78" s="202">
        <f>IF(($H$75)&gt;0,$H$75*E78,0)</f>
        <v>27283722.303547062</v>
      </c>
      <c r="J78" s="323">
        <v>3095</v>
      </c>
      <c r="K78" s="326">
        <f t="shared" si="3"/>
        <v>3176.99</v>
      </c>
      <c r="L78" s="325">
        <v>77.239999999999995</v>
      </c>
    </row>
    <row r="79" spans="3:12" ht="15" hidden="1" x14ac:dyDescent="0.25">
      <c r="C79" s="272" t="s">
        <v>305</v>
      </c>
      <c r="E79" s="202">
        <f>IF(('PATRIMONIO BRUTO'!E51)&gt;0,('PATRIMONIO BRUTO'!E51),0)</f>
        <v>0</v>
      </c>
      <c r="H79" s="202">
        <f>IF((E79)&lt;=((8000)*('DATOS PARA DEPURAR'!C23)),E79,(8000*'DATOS PARA DEPURAR'!C23))</f>
        <v>0</v>
      </c>
      <c r="J79" s="323">
        <v>3177</v>
      </c>
      <c r="K79" s="326">
        <f t="shared" si="3"/>
        <v>3257.99</v>
      </c>
      <c r="L79" s="325">
        <v>83.14</v>
      </c>
    </row>
    <row r="80" spans="3:12" ht="15" hidden="1" x14ac:dyDescent="0.25">
      <c r="C80" s="331" t="s">
        <v>307</v>
      </c>
      <c r="E80" s="202">
        <f>IF(('PATRIMONIO BRUTO'!E60)&gt;0,('PATRIMONIO BRUTO'!E60),0)</f>
        <v>0</v>
      </c>
      <c r="H80" s="202">
        <f>IF(SUM(E80:E82)&lt;=(19000*'DATOS PARA DEPURAR'!C23),(SUM(E80:E82)),(19000*'DATOS PARA DEPURAR'!C23))</f>
        <v>0</v>
      </c>
      <c r="J80" s="323">
        <v>3258</v>
      </c>
      <c r="K80" s="326">
        <f t="shared" si="3"/>
        <v>3338.99</v>
      </c>
      <c r="L80" s="325">
        <v>89.23</v>
      </c>
    </row>
    <row r="81" spans="3:12" ht="15" hidden="1" x14ac:dyDescent="0.25">
      <c r="C81" s="331" t="s">
        <v>307</v>
      </c>
      <c r="E81" s="202">
        <f>IF(('PATRIMONIO BRUTO'!E61)&gt;0,('PATRIMONIO BRUTO'!E61),0)</f>
        <v>0</v>
      </c>
      <c r="J81" s="323">
        <v>3339</v>
      </c>
      <c r="K81" s="326">
        <f t="shared" si="3"/>
        <v>3420.99</v>
      </c>
      <c r="L81" s="325">
        <v>95.51</v>
      </c>
    </row>
    <row r="82" spans="3:12" ht="15" hidden="1" x14ac:dyDescent="0.25">
      <c r="C82" s="331" t="s">
        <v>348</v>
      </c>
      <c r="E82" s="202">
        <f>IF(('PATRIMONIO BRUTO'!E86)&gt;0,('PATRIMONIO BRUTO'!E86),0)</f>
        <v>0</v>
      </c>
      <c r="J82" s="323">
        <v>3421</v>
      </c>
      <c r="K82" s="326">
        <f t="shared" si="3"/>
        <v>3501.99</v>
      </c>
      <c r="L82" s="325">
        <v>101.98</v>
      </c>
    </row>
    <row r="83" spans="3:12" ht="15" hidden="1" x14ac:dyDescent="0.25">
      <c r="H83" s="328">
        <f>SUM(H77:H82)</f>
        <v>31111213.669962645</v>
      </c>
      <c r="J83" s="323">
        <v>3502</v>
      </c>
      <c r="K83" s="326">
        <f t="shared" si="3"/>
        <v>3583.99</v>
      </c>
      <c r="L83" s="325">
        <v>108.64</v>
      </c>
    </row>
    <row r="84" spans="3:12" ht="15.75" hidden="1" x14ac:dyDescent="0.25">
      <c r="C84" s="332">
        <f>IF((H84-H83)&gt;0,(H84-H83)*3%,0)</f>
        <v>8784563.5899011195</v>
      </c>
      <c r="H84" s="275">
        <f>+'DATOS PARA DEPURAR'!E19</f>
        <v>323930000</v>
      </c>
      <c r="J84" s="323">
        <v>3584</v>
      </c>
      <c r="K84" s="326">
        <f t="shared" si="3"/>
        <v>3664.99</v>
      </c>
      <c r="L84" s="325">
        <v>115.49</v>
      </c>
    </row>
    <row r="85" spans="3:12" ht="15" hidden="1" x14ac:dyDescent="0.25">
      <c r="J85" s="323">
        <v>3665</v>
      </c>
      <c r="K85" s="326">
        <f t="shared" si="3"/>
        <v>3746.99</v>
      </c>
      <c r="L85" s="325">
        <v>122.54</v>
      </c>
    </row>
    <row r="86" spans="3:12" ht="15" hidden="1" x14ac:dyDescent="0.25">
      <c r="J86" s="323">
        <v>3747</v>
      </c>
      <c r="K86" s="326">
        <f t="shared" si="3"/>
        <v>3827.99</v>
      </c>
      <c r="L86" s="325">
        <v>129.76</v>
      </c>
    </row>
    <row r="87" spans="3:12" ht="15" hidden="1" x14ac:dyDescent="0.25">
      <c r="C87" s="333" t="s">
        <v>362</v>
      </c>
      <c r="J87" s="323">
        <v>3828</v>
      </c>
      <c r="K87" s="326">
        <f t="shared" si="3"/>
        <v>3909.99</v>
      </c>
      <c r="L87" s="325">
        <v>137.18</v>
      </c>
    </row>
    <row r="88" spans="3:12" ht="15" hidden="1" x14ac:dyDescent="0.25">
      <c r="C88" s="272" t="s">
        <v>357</v>
      </c>
      <c r="E88" s="202">
        <f>+'DATOS PARA DEPURAR'!C22</f>
        <v>0</v>
      </c>
      <c r="H88" s="202">
        <f>IF((E28)&gt;=E88,E88,E28)</f>
        <v>0</v>
      </c>
      <c r="J88" s="323">
        <v>3910</v>
      </c>
      <c r="K88" s="326">
        <f t="shared" si="3"/>
        <v>3990.99</v>
      </c>
      <c r="L88" s="325">
        <v>144.78</v>
      </c>
    </row>
    <row r="89" spans="3:12" ht="16.5" hidden="1" x14ac:dyDescent="0.25">
      <c r="C89" s="334" t="s">
        <v>364</v>
      </c>
      <c r="J89" s="323">
        <v>3991</v>
      </c>
      <c r="K89" s="326">
        <f t="shared" si="3"/>
        <v>4071.99</v>
      </c>
      <c r="L89" s="325">
        <v>152.58000000000001</v>
      </c>
    </row>
    <row r="90" spans="3:12" ht="15" hidden="1" x14ac:dyDescent="0.25">
      <c r="J90" s="323">
        <v>4072</v>
      </c>
      <c r="K90" s="326">
        <f t="shared" si="3"/>
        <v>4275.99</v>
      </c>
      <c r="L90" s="325">
        <v>168.71</v>
      </c>
    </row>
    <row r="91" spans="3:12" ht="15" hidden="1" x14ac:dyDescent="0.25">
      <c r="J91" s="323">
        <v>4276</v>
      </c>
      <c r="K91" s="326">
        <f t="shared" si="3"/>
        <v>4479.99</v>
      </c>
      <c r="L91" s="325">
        <v>189.92</v>
      </c>
    </row>
    <row r="92" spans="3:12" ht="15" hidden="1" x14ac:dyDescent="0.25">
      <c r="J92" s="323">
        <v>4480</v>
      </c>
      <c r="K92" s="326">
        <f t="shared" si="3"/>
        <v>4682.99</v>
      </c>
      <c r="L92" s="325">
        <v>212.27</v>
      </c>
    </row>
    <row r="93" spans="3:12" ht="15" hidden="1" x14ac:dyDescent="0.25">
      <c r="J93" s="323">
        <v>4683</v>
      </c>
      <c r="K93" s="326">
        <f t="shared" si="3"/>
        <v>4886.99</v>
      </c>
      <c r="L93" s="325">
        <v>235.75</v>
      </c>
    </row>
    <row r="94" spans="3:12" ht="15" hidden="1" x14ac:dyDescent="0.25">
      <c r="J94" s="323">
        <v>4887</v>
      </c>
      <c r="K94" s="326">
        <f t="shared" si="3"/>
        <v>5090.99</v>
      </c>
      <c r="L94" s="325">
        <v>260.33999999999997</v>
      </c>
    </row>
    <row r="95" spans="3:12" ht="15" hidden="1" x14ac:dyDescent="0.25">
      <c r="J95" s="323">
        <v>5091</v>
      </c>
      <c r="K95" s="326">
        <f t="shared" si="3"/>
        <v>5293.99</v>
      </c>
      <c r="L95" s="325">
        <v>286.02999999999997</v>
      </c>
    </row>
    <row r="96" spans="3:12" ht="15" hidden="1" x14ac:dyDescent="0.25">
      <c r="J96" s="323">
        <v>5294</v>
      </c>
      <c r="K96" s="326">
        <f t="shared" si="3"/>
        <v>5497.99</v>
      </c>
      <c r="L96" s="325">
        <v>312.81</v>
      </c>
    </row>
    <row r="97" spans="3:12" ht="15" hidden="1" x14ac:dyDescent="0.25">
      <c r="C97" s="2">
        <f>+J40</f>
        <v>399350</v>
      </c>
      <c r="D97" s="36">
        <f>+E97*-1</f>
        <v>465000</v>
      </c>
      <c r="E97" s="36">
        <f>IF('DATOS PARA DEPURAR'!C14&lt;=0,'DATOS PARA DEPURAR'!C14,0)</f>
        <v>-465000</v>
      </c>
      <c r="F97" s="50"/>
      <c r="J97" s="323">
        <v>5498</v>
      </c>
      <c r="K97" s="326">
        <f t="shared" si="3"/>
        <v>5700.99</v>
      </c>
      <c r="L97" s="325">
        <v>340.66</v>
      </c>
    </row>
    <row r="98" spans="3:12" ht="15" hidden="1" x14ac:dyDescent="0.25">
      <c r="C98" s="2">
        <f>IF((J32+J36-J33-J34-J35)&gt;0,J32+J36-J33-J34-J35,0)</f>
        <v>0</v>
      </c>
      <c r="D98" s="487">
        <f>IF('DATOS PARA DEPURAR'!C14&gt;0,'DATOS PARA DEPURAR'!C14,0)</f>
        <v>0</v>
      </c>
      <c r="E98" s="51"/>
      <c r="F98" s="50"/>
      <c r="J98" s="323">
        <v>5701</v>
      </c>
      <c r="K98" s="326">
        <f t="shared" si="3"/>
        <v>5904.99</v>
      </c>
      <c r="L98" s="325">
        <v>369.57</v>
      </c>
    </row>
    <row r="99" spans="3:12" ht="15" hidden="1" x14ac:dyDescent="0.25">
      <c r="C99" s="1257" t="s">
        <v>459</v>
      </c>
      <c r="D99" s="1258"/>
      <c r="E99" s="36"/>
      <c r="F99" s="50"/>
      <c r="J99" s="323">
        <v>5905</v>
      </c>
      <c r="K99" s="326">
        <f t="shared" si="3"/>
        <v>6108.99</v>
      </c>
      <c r="L99" s="325">
        <v>399.52</v>
      </c>
    </row>
    <row r="100" spans="3:12" ht="15" hidden="1" x14ac:dyDescent="0.25">
      <c r="C100" s="39" t="s">
        <v>460</v>
      </c>
      <c r="D100" s="36"/>
      <c r="E100" s="36"/>
      <c r="F100" s="50"/>
      <c r="J100" s="323">
        <v>6109</v>
      </c>
      <c r="K100" s="326">
        <f t="shared" si="3"/>
        <v>6311.99</v>
      </c>
      <c r="L100" s="325">
        <v>430.49</v>
      </c>
    </row>
    <row r="101" spans="3:12" ht="15" hidden="1" x14ac:dyDescent="0.25">
      <c r="C101" t="str">
        <f>IF(C97&gt;D97,C99,C100)</f>
        <v>YAOP</v>
      </c>
      <c r="D101" s="36"/>
      <c r="E101" s="36"/>
      <c r="F101" s="50"/>
      <c r="J101" s="323">
        <v>6312</v>
      </c>
      <c r="K101" s="326">
        <f t="shared" si="3"/>
        <v>6515.99</v>
      </c>
      <c r="L101" s="325">
        <v>462.46</v>
      </c>
    </row>
    <row r="102" spans="3:12" ht="15" hidden="1" x14ac:dyDescent="0.25">
      <c r="C102" t="str">
        <f>IF(C98&gt;D98,C99,C100)</f>
        <v>YAOP</v>
      </c>
      <c r="D102" s="36"/>
      <c r="E102" s="36" t="str">
        <f>IF(C97&gt;=0,IF(D98&gt;=0,C103,IF(C97&gt;=0,IF(D97&gt;=0,C101,IF(C98&gt;=0,IF(D98&gt;=0,C102,0))))))</f>
        <v>ESTA DECLARACION DEBE REALIZARSE SEGÚN ART 589 E.T.</v>
      </c>
      <c r="F102" s="50"/>
      <c r="J102" s="323">
        <v>6516</v>
      </c>
      <c r="K102" s="326">
        <f t="shared" si="3"/>
        <v>6719.99</v>
      </c>
      <c r="L102" s="325">
        <v>495.43</v>
      </c>
    </row>
    <row r="103" spans="3:12" ht="15" hidden="1" x14ac:dyDescent="0.25">
      <c r="C103" t="str">
        <f>IF(C97&gt;=0,IF(D98&gt;=0,C99,C100))</f>
        <v>ESTA DECLARACION DEBE REALIZARSE SEGÚN ART 589 E.T.</v>
      </c>
      <c r="D103" s="36"/>
      <c r="E103" s="36"/>
      <c r="F103" s="50"/>
      <c r="J103" s="323">
        <v>6720</v>
      </c>
      <c r="K103" s="326">
        <f t="shared" si="3"/>
        <v>6922.99</v>
      </c>
      <c r="L103" s="325">
        <v>529.36</v>
      </c>
    </row>
    <row r="104" spans="3:12" ht="15" hidden="1" x14ac:dyDescent="0.25">
      <c r="J104" s="323">
        <v>6923</v>
      </c>
      <c r="K104" s="326">
        <f t="shared" si="3"/>
        <v>7126.99</v>
      </c>
      <c r="L104" s="325">
        <v>564.23</v>
      </c>
    </row>
    <row r="105" spans="3:12" ht="15" hidden="1" x14ac:dyDescent="0.25">
      <c r="J105" s="323">
        <v>7127</v>
      </c>
      <c r="K105" s="326">
        <f t="shared" si="3"/>
        <v>7329.99</v>
      </c>
      <c r="L105" s="325">
        <v>600.04</v>
      </c>
    </row>
    <row r="106" spans="3:12" ht="15" hidden="1" x14ac:dyDescent="0.25">
      <c r="C106" s="202" t="str">
        <f>IF('DATOS PARA DEPURAR'!C13="S",E102,C100)</f>
        <v>YAOP</v>
      </c>
      <c r="J106" s="323">
        <v>7330</v>
      </c>
      <c r="K106" s="326">
        <f t="shared" si="3"/>
        <v>7533.99</v>
      </c>
      <c r="L106" s="325">
        <v>636.75</v>
      </c>
    </row>
    <row r="107" spans="3:12" ht="15" hidden="1" x14ac:dyDescent="0.25">
      <c r="J107" s="323">
        <v>7534</v>
      </c>
      <c r="K107" s="326">
        <f t="shared" si="3"/>
        <v>7737.99</v>
      </c>
      <c r="L107" s="325">
        <v>674.35</v>
      </c>
    </row>
    <row r="108" spans="3:12" ht="15" hidden="1" x14ac:dyDescent="0.25">
      <c r="J108" s="323">
        <v>7738</v>
      </c>
      <c r="K108" s="326">
        <f t="shared" si="3"/>
        <v>7940.99</v>
      </c>
      <c r="L108" s="325">
        <v>712.8</v>
      </c>
    </row>
    <row r="109" spans="3:12" ht="15" hidden="1" x14ac:dyDescent="0.25">
      <c r="C109" s="272" t="s">
        <v>472</v>
      </c>
      <c r="J109" s="323">
        <v>7941</v>
      </c>
      <c r="K109" s="326">
        <f t="shared" si="3"/>
        <v>8144.99</v>
      </c>
      <c r="L109" s="325">
        <v>752.1</v>
      </c>
    </row>
    <row r="110" spans="3:12" ht="15" hidden="1" x14ac:dyDescent="0.25">
      <c r="J110" s="323">
        <v>8145</v>
      </c>
      <c r="K110" s="326">
        <f t="shared" si="3"/>
        <v>8348.99</v>
      </c>
      <c r="L110" s="325">
        <v>792.22</v>
      </c>
    </row>
    <row r="111" spans="3:12" ht="15" hidden="1" x14ac:dyDescent="0.25">
      <c r="C111" s="284" t="s">
        <v>8</v>
      </c>
      <c r="D111" s="285"/>
      <c r="H111" s="286" t="s">
        <v>10</v>
      </c>
      <c r="J111" s="323">
        <v>8349</v>
      </c>
      <c r="K111" s="326">
        <f t="shared" si="3"/>
        <v>8551.99</v>
      </c>
      <c r="L111" s="325">
        <v>833.12</v>
      </c>
    </row>
    <row r="112" spans="3:12" ht="15.75" hidden="1" thickBot="1" x14ac:dyDescent="0.3">
      <c r="C112" s="1244">
        <f>+E32/H112</f>
        <v>0</v>
      </c>
      <c r="D112" s="1245"/>
      <c r="H112" s="287">
        <f>+'DATOS PARA DEPURAR'!C23</f>
        <v>36308</v>
      </c>
      <c r="J112" s="323">
        <v>8552</v>
      </c>
      <c r="K112" s="326">
        <f t="shared" si="3"/>
        <v>8755.99</v>
      </c>
      <c r="L112" s="325">
        <v>874.79</v>
      </c>
    </row>
    <row r="113" spans="3:12" ht="15" hidden="1" x14ac:dyDescent="0.25">
      <c r="D113" s="202"/>
      <c r="J113" s="323">
        <v>8756</v>
      </c>
      <c r="K113" s="326">
        <f t="shared" si="3"/>
        <v>8958.99</v>
      </c>
      <c r="L113" s="325">
        <v>917.21</v>
      </c>
    </row>
    <row r="114" spans="3:12" ht="15" hidden="1" x14ac:dyDescent="0.25">
      <c r="C114" s="290">
        <v>0</v>
      </c>
      <c r="E114" s="291">
        <v>1090</v>
      </c>
      <c r="H114" s="292">
        <f>IF(C112&lt;=1090,0)</f>
        <v>0</v>
      </c>
      <c r="J114" s="323">
        <v>8959</v>
      </c>
      <c r="K114" s="326">
        <f t="shared" si="3"/>
        <v>9162.99</v>
      </c>
      <c r="L114" s="325">
        <v>960.34</v>
      </c>
    </row>
    <row r="115" spans="3:12" ht="15" hidden="1" x14ac:dyDescent="0.25">
      <c r="C115" s="293" t="s">
        <v>176</v>
      </c>
      <c r="E115" s="294">
        <v>1700</v>
      </c>
      <c r="H115" s="295" t="b">
        <f>IF(C112&gt;1090,(IF(C112&lt;=1700,ROUND((((+C112-1090)*19%)*H112),-3),0)),FALSE)</f>
        <v>0</v>
      </c>
      <c r="J115" s="323">
        <v>9163</v>
      </c>
      <c r="K115" s="326">
        <f t="shared" si="3"/>
        <v>9366.99</v>
      </c>
      <c r="L115" s="335">
        <v>1004.16</v>
      </c>
    </row>
    <row r="116" spans="3:12" ht="15" hidden="1" x14ac:dyDescent="0.25">
      <c r="C116" s="293" t="s">
        <v>177</v>
      </c>
      <c r="E116" s="294">
        <v>4100</v>
      </c>
      <c r="H116" s="295" t="b">
        <f>IF(C112&gt;1700,IF(C112&lt;=4100,ROUND((((+C112-1700)*28%+116)*H112),-3),0))</f>
        <v>0</v>
      </c>
      <c r="J116" s="323">
        <v>9367</v>
      </c>
      <c r="K116" s="326">
        <f t="shared" si="3"/>
        <v>9569.99</v>
      </c>
      <c r="L116" s="335">
        <v>1048.6400000000001</v>
      </c>
    </row>
    <row r="117" spans="3:12" ht="15.75" hidden="1" thickBot="1" x14ac:dyDescent="0.3">
      <c r="C117" s="298" t="s">
        <v>178</v>
      </c>
      <c r="E117" s="299"/>
      <c r="H117" s="300">
        <f>IF(C112&gt;4100,ROUND((((+C112-4100)*33%)*H112)+(788*H112),-3),0)</f>
        <v>0</v>
      </c>
      <c r="J117" s="323">
        <v>9570</v>
      </c>
      <c r="K117" s="326">
        <f t="shared" si="3"/>
        <v>9773.99</v>
      </c>
      <c r="L117" s="335">
        <v>1093.75</v>
      </c>
    </row>
    <row r="118" spans="3:12" ht="15" hidden="1" x14ac:dyDescent="0.25">
      <c r="D118" s="202"/>
      <c r="J118" s="323">
        <v>9774</v>
      </c>
      <c r="K118" s="326">
        <f t="shared" ref="K118:K135" si="4">+J119-0.01</f>
        <v>9977.99</v>
      </c>
      <c r="L118" s="335">
        <v>1139.48</v>
      </c>
    </row>
    <row r="119" spans="3:12" ht="15" hidden="1" x14ac:dyDescent="0.25">
      <c r="C119" s="1246" t="s">
        <v>179</v>
      </c>
      <c r="D119" s="1247"/>
      <c r="J119" s="323">
        <v>9978</v>
      </c>
      <c r="K119" s="326">
        <f t="shared" si="4"/>
        <v>10180.99</v>
      </c>
      <c r="L119" s="335">
        <v>1185.78</v>
      </c>
    </row>
    <row r="120" spans="3:12" ht="15.75" hidden="1" thickBot="1" x14ac:dyDescent="0.3">
      <c r="C120" s="1248">
        <f>IF(H114=0,H114,IF(H115&gt;0,H115,IF(H116&gt;0,H116,IF(H117&gt;0,H117))))</f>
        <v>0</v>
      </c>
      <c r="D120" s="1249"/>
      <c r="J120" s="323">
        <v>10181</v>
      </c>
      <c r="K120" s="326">
        <f t="shared" si="4"/>
        <v>10384.99</v>
      </c>
      <c r="L120" s="335">
        <v>1232.6199999999999</v>
      </c>
    </row>
    <row r="121" spans="3:12" ht="15" hidden="1" x14ac:dyDescent="0.25">
      <c r="J121" s="323">
        <v>10385</v>
      </c>
      <c r="K121" s="326">
        <f t="shared" si="4"/>
        <v>10587.99</v>
      </c>
      <c r="L121" s="335">
        <v>1279.99</v>
      </c>
    </row>
    <row r="122" spans="3:12" ht="15" hidden="1" x14ac:dyDescent="0.25">
      <c r="J122" s="323">
        <v>10588</v>
      </c>
      <c r="K122" s="326">
        <f t="shared" si="4"/>
        <v>10791.99</v>
      </c>
      <c r="L122" s="335">
        <v>1327.85</v>
      </c>
    </row>
    <row r="123" spans="3:12" ht="15" hidden="1" x14ac:dyDescent="0.25">
      <c r="C123" s="272" t="s">
        <v>473</v>
      </c>
      <c r="J123" s="323">
        <v>10792</v>
      </c>
      <c r="K123" s="326">
        <f t="shared" si="4"/>
        <v>10995.99</v>
      </c>
      <c r="L123" s="335">
        <v>1376.16</v>
      </c>
    </row>
    <row r="124" spans="3:12" ht="15" hidden="1" x14ac:dyDescent="0.25">
      <c r="C124" s="328">
        <f>MAX(I22:J23)</f>
        <v>85</v>
      </c>
      <c r="J124" s="323">
        <v>10996</v>
      </c>
      <c r="K124" s="326">
        <f t="shared" si="4"/>
        <v>11198.99</v>
      </c>
      <c r="L124" s="335">
        <v>1424.9</v>
      </c>
    </row>
    <row r="125" spans="3:12" ht="15" hidden="1" x14ac:dyDescent="0.25">
      <c r="C125" s="272" t="s">
        <v>474</v>
      </c>
      <c r="J125" s="323">
        <v>11199</v>
      </c>
      <c r="K125" s="326">
        <f t="shared" si="4"/>
        <v>11402.99</v>
      </c>
      <c r="L125" s="335">
        <v>1474.04</v>
      </c>
    </row>
    <row r="126" spans="3:12" ht="15" hidden="1" x14ac:dyDescent="0.25">
      <c r="C126" s="329">
        <f>+C120</f>
        <v>0</v>
      </c>
      <c r="J126" s="323">
        <v>11403</v>
      </c>
      <c r="K126" s="326">
        <f t="shared" si="4"/>
        <v>11606.99</v>
      </c>
      <c r="L126" s="335">
        <v>1523.54</v>
      </c>
    </row>
    <row r="127" spans="3:12" ht="15" hidden="1" x14ac:dyDescent="0.25">
      <c r="J127" s="323">
        <v>11607</v>
      </c>
      <c r="K127" s="326">
        <f t="shared" si="4"/>
        <v>11809.99</v>
      </c>
      <c r="L127" s="335">
        <v>1573.37</v>
      </c>
    </row>
    <row r="128" spans="3:12" ht="22.5" hidden="1" x14ac:dyDescent="0.25">
      <c r="C128" s="519" t="s">
        <v>167</v>
      </c>
      <c r="E128" s="278">
        <f>+'DATOS PARA DEPURAR'!E312</f>
        <v>0</v>
      </c>
      <c r="H128" s="202">
        <f>IF(E128&gt;0,(IF((C124-SUM(E128))&gt;0,E128,C124)),0)</f>
        <v>0</v>
      </c>
      <c r="J128" s="323">
        <v>11810</v>
      </c>
      <c r="K128" s="326">
        <f t="shared" si="4"/>
        <v>12013.99</v>
      </c>
      <c r="L128" s="335">
        <v>1623.49</v>
      </c>
    </row>
    <row r="129" spans="3:12" ht="22.5" hidden="1" x14ac:dyDescent="0.25">
      <c r="C129" s="519" t="s">
        <v>168</v>
      </c>
      <c r="E129" s="278">
        <f>+'DATOS PARA DEPURAR'!E313</f>
        <v>0</v>
      </c>
      <c r="H129" s="202">
        <f>IF(E129&gt;0,(IF((C124-SUM(E129))&gt;0,E129,C124)),0)</f>
        <v>0</v>
      </c>
      <c r="J129" s="323">
        <v>12014</v>
      </c>
      <c r="K129" s="326">
        <f t="shared" si="4"/>
        <v>12216.99</v>
      </c>
      <c r="L129" s="335">
        <v>1673.89</v>
      </c>
    </row>
    <row r="130" spans="3:12" ht="22.5" hidden="1" x14ac:dyDescent="0.25">
      <c r="C130" s="519" t="s">
        <v>169</v>
      </c>
      <c r="E130" s="278">
        <f>+'DATOS PARA DEPURAR'!E314</f>
        <v>0</v>
      </c>
      <c r="H130" s="202">
        <f>IF(E130&gt;0,(IF((C124-SUM(E130))&gt;0,E130,C124)),0)</f>
        <v>0</v>
      </c>
      <c r="J130" s="323">
        <v>12217</v>
      </c>
      <c r="K130" s="326">
        <f t="shared" si="4"/>
        <v>12420.99</v>
      </c>
      <c r="L130" s="335">
        <v>1724.51</v>
      </c>
    </row>
    <row r="131" spans="3:12" ht="15" hidden="1" x14ac:dyDescent="0.25">
      <c r="C131" s="520" t="s">
        <v>170</v>
      </c>
      <c r="E131" s="278">
        <f>+'DATOS PARA DEPURAR'!E316</f>
        <v>0</v>
      </c>
      <c r="H131" s="202">
        <f>IF(E131&gt;0,(IF((C124-SUM(E131))&gt;0,E131,C124)),0)</f>
        <v>0</v>
      </c>
      <c r="J131" s="323">
        <v>12421</v>
      </c>
      <c r="K131" s="326">
        <f t="shared" si="4"/>
        <v>12624.99</v>
      </c>
      <c r="L131" s="335">
        <v>1775.33</v>
      </c>
    </row>
    <row r="132" spans="3:12" ht="15" hidden="1" x14ac:dyDescent="0.25">
      <c r="C132" s="272" t="s">
        <v>475</v>
      </c>
      <c r="E132" s="328">
        <f>IF(H132&gt;0,C124-H132,0)</f>
        <v>0</v>
      </c>
      <c r="H132" s="278">
        <f>MAX(H128:H131)</f>
        <v>0</v>
      </c>
      <c r="J132" s="323">
        <v>12625</v>
      </c>
      <c r="K132" s="326">
        <f t="shared" si="4"/>
        <v>12827.99</v>
      </c>
      <c r="L132" s="335">
        <v>1826.31</v>
      </c>
    </row>
    <row r="133" spans="3:12" ht="15" hidden="1" x14ac:dyDescent="0.25">
      <c r="C133" s="272" t="s">
        <v>476</v>
      </c>
      <c r="E133" s="275">
        <f>IF(C126&gt;0,C126*0.75,0)</f>
        <v>0</v>
      </c>
      <c r="J133" s="323">
        <v>12828</v>
      </c>
      <c r="K133" s="326">
        <f t="shared" si="4"/>
        <v>13031.99</v>
      </c>
      <c r="L133" s="335">
        <v>1877.42</v>
      </c>
    </row>
    <row r="134" spans="3:12" ht="15" hidden="1" x14ac:dyDescent="0.25">
      <c r="J134" s="323">
        <v>13032</v>
      </c>
      <c r="K134" s="326">
        <f t="shared" si="4"/>
        <v>13235.99</v>
      </c>
      <c r="L134" s="335">
        <v>1928.63</v>
      </c>
    </row>
    <row r="135" spans="3:12" ht="15" hidden="1" x14ac:dyDescent="0.25">
      <c r="C135" s="272" t="s">
        <v>477</v>
      </c>
      <c r="E135" s="328">
        <f>IF(E132&lt;E133,0,E132)</f>
        <v>0</v>
      </c>
      <c r="J135" s="323">
        <v>13236</v>
      </c>
      <c r="K135" s="326">
        <f t="shared" si="4"/>
        <v>13438.99</v>
      </c>
      <c r="L135" s="335">
        <v>1979.89</v>
      </c>
    </row>
    <row r="136" spans="3:12" ht="15" hidden="1" x14ac:dyDescent="0.25">
      <c r="J136" s="323">
        <v>13439</v>
      </c>
      <c r="K136" s="326">
        <f>13643-0.01</f>
        <v>13642.99</v>
      </c>
      <c r="L136" s="335">
        <v>2031.18</v>
      </c>
    </row>
    <row r="137" spans="3:12" ht="165.75" hidden="1" x14ac:dyDescent="0.25">
      <c r="C137" s="519" t="s">
        <v>167</v>
      </c>
      <c r="E137" s="202">
        <f>IF(E135&gt;0,H128,0)</f>
        <v>0</v>
      </c>
      <c r="J137" s="325" t="s">
        <v>86</v>
      </c>
      <c r="K137" s="324"/>
      <c r="L137" s="325" t="s">
        <v>87</v>
      </c>
    </row>
    <row r="138" spans="3:12" ht="22.5" hidden="1" x14ac:dyDescent="0.2">
      <c r="C138" s="519" t="s">
        <v>168</v>
      </c>
      <c r="E138" s="202">
        <f>IF(E135&gt;0,H129,0)</f>
        <v>0</v>
      </c>
    </row>
    <row r="139" spans="3:12" ht="22.5" hidden="1" x14ac:dyDescent="0.2">
      <c r="C139" s="519" t="s">
        <v>169</v>
      </c>
      <c r="E139" s="202">
        <f>IF(E135&gt;0,H130,0)</f>
        <v>0</v>
      </c>
    </row>
    <row r="140" spans="3:12" hidden="1" x14ac:dyDescent="0.2">
      <c r="C140" s="520" t="s">
        <v>170</v>
      </c>
      <c r="E140" s="202">
        <f>IF(E135&gt;0,H131,0)</f>
        <v>0</v>
      </c>
    </row>
    <row r="141" spans="3:12" hidden="1" x14ac:dyDescent="0.2"/>
    <row r="142" spans="3:12" hidden="1" x14ac:dyDescent="0.2">
      <c r="C142" s="272" t="s">
        <v>478</v>
      </c>
    </row>
    <row r="143" spans="3:12" hidden="1" x14ac:dyDescent="0.2">
      <c r="C143" s="272" t="s">
        <v>412</v>
      </c>
      <c r="E143" s="202">
        <f>IF('DATOS PARA DEPURAR'!E103="S",'DATOS PARA DEPURAR'!E55,0)</f>
        <v>0</v>
      </c>
    </row>
    <row r="144" spans="3:12" hidden="1" x14ac:dyDescent="0.2">
      <c r="C144" s="272" t="s">
        <v>479</v>
      </c>
    </row>
    <row r="145" spans="3:12" hidden="1" x14ac:dyDescent="0.2">
      <c r="C145" s="272" t="s">
        <v>204</v>
      </c>
      <c r="E145" s="202">
        <f>IF(E143&gt;0,'DATOS PARA DEPURAR'!E189+SUM('DATOS PARA DEPURAR'!E206:E217)+'DATOS PARA DEPURAR'!E223+'DATOS PARA DEPURAR'!E227,0)</f>
        <v>0</v>
      </c>
    </row>
    <row r="146" spans="3:12" hidden="1" x14ac:dyDescent="0.2">
      <c r="C146" s="272" t="s">
        <v>480</v>
      </c>
      <c r="E146" s="272">
        <f>IF(E143&gt;0,'DATOS PARA DEPURAR'!E255-'DATOS PARA DEPURAR'!D255,0)</f>
        <v>0</v>
      </c>
    </row>
    <row r="147" spans="3:12" hidden="1" x14ac:dyDescent="0.2">
      <c r="C147" s="272" t="s">
        <v>481</v>
      </c>
      <c r="E147" s="202">
        <f>+E143-E145-E146</f>
        <v>0</v>
      </c>
    </row>
    <row r="148" spans="3:12" hidden="1" x14ac:dyDescent="0.2">
      <c r="C148" s="272" t="s">
        <v>480</v>
      </c>
      <c r="E148" s="202">
        <f>+E147*0.25</f>
        <v>0</v>
      </c>
    </row>
    <row r="149" spans="3:12" hidden="1" x14ac:dyDescent="0.2"/>
    <row r="150" spans="3:12" hidden="1" x14ac:dyDescent="0.2">
      <c r="H150" s="521" t="s">
        <v>482</v>
      </c>
      <c r="I150" s="521"/>
      <c r="J150" s="521"/>
      <c r="K150" s="521"/>
      <c r="L150" s="521"/>
    </row>
    <row r="151" spans="3:12" hidden="1" x14ac:dyDescent="0.2">
      <c r="H151" s="521"/>
      <c r="I151" s="521"/>
      <c r="J151" s="521"/>
      <c r="K151" s="521"/>
      <c r="L151" s="521"/>
    </row>
    <row r="152" spans="3:12" hidden="1" x14ac:dyDescent="0.2">
      <c r="H152" s="521"/>
      <c r="I152" s="521"/>
      <c r="J152" s="521"/>
      <c r="K152" s="521"/>
      <c r="L152" s="521"/>
    </row>
    <row r="153" spans="3:12" hidden="1" x14ac:dyDescent="0.2">
      <c r="H153" s="522" t="s">
        <v>8</v>
      </c>
      <c r="I153" s="523"/>
      <c r="J153" s="521"/>
      <c r="K153" s="524" t="s">
        <v>10</v>
      </c>
      <c r="L153" s="521"/>
    </row>
    <row r="154" spans="3:12" ht="13.5" hidden="1" thickBot="1" x14ac:dyDescent="0.25">
      <c r="H154" s="1288">
        <f>+'FORMULARIO 2018 RENTA CEDULAR'!E32/K154</f>
        <v>0</v>
      </c>
      <c r="I154" s="1289"/>
      <c r="J154" s="521"/>
      <c r="K154" s="525">
        <f>+'DATOS PARA DEPURAR'!C23</f>
        <v>36308</v>
      </c>
      <c r="L154" s="521"/>
    </row>
    <row r="155" spans="3:12" hidden="1" x14ac:dyDescent="0.2">
      <c r="H155" s="521"/>
      <c r="I155" s="521"/>
      <c r="J155" s="521"/>
      <c r="K155" s="521"/>
      <c r="L155" s="521"/>
    </row>
    <row r="156" spans="3:12" hidden="1" x14ac:dyDescent="0.2">
      <c r="H156" s="526">
        <v>0</v>
      </c>
      <c r="I156" s="527">
        <v>1090</v>
      </c>
      <c r="J156" s="521"/>
      <c r="K156" s="528">
        <f>IF(H154&lt;=1090,0)</f>
        <v>0</v>
      </c>
      <c r="L156" s="521"/>
    </row>
    <row r="157" spans="3:12" ht="15" hidden="1" x14ac:dyDescent="0.25">
      <c r="H157" s="529" t="s">
        <v>176</v>
      </c>
      <c r="I157" s="530">
        <v>1700</v>
      </c>
      <c r="J157" s="521"/>
      <c r="K157" s="531" t="b">
        <f>IF(H154&gt;1090,(IF(H154&lt;=1700,ROUND((((+H154-1090)*19%)*K154),-3),0)),FALSE)</f>
        <v>0</v>
      </c>
      <c r="L157" s="521"/>
    </row>
    <row r="158" spans="3:12" ht="15" hidden="1" x14ac:dyDescent="0.25">
      <c r="H158" s="529" t="s">
        <v>177</v>
      </c>
      <c r="I158" s="530">
        <v>4100</v>
      </c>
      <c r="J158" s="521"/>
      <c r="K158" s="531" t="b">
        <f>IF(H154&gt;1700,IF(H154&lt;=4100,ROUND((((+H154-1700)*28%+116)*K154),-3),0))</f>
        <v>0</v>
      </c>
      <c r="L158" s="521"/>
    </row>
    <row r="159" spans="3:12" ht="15.75" hidden="1" thickBot="1" x14ac:dyDescent="0.3">
      <c r="H159" s="532" t="s">
        <v>178</v>
      </c>
      <c r="I159" s="533"/>
      <c r="J159" s="521"/>
      <c r="K159" s="534">
        <f>IF(H154&gt;4100,ROUND((((+H154-4100)*33%)*K154)+(788*K154),-3),0)</f>
        <v>0</v>
      </c>
      <c r="L159" s="521"/>
    </row>
    <row r="160" spans="3:12" hidden="1" x14ac:dyDescent="0.2">
      <c r="H160" s="535"/>
      <c r="I160" s="536"/>
      <c r="J160" s="521"/>
      <c r="K160" s="537"/>
      <c r="L160" s="521"/>
    </row>
    <row r="161" spans="8:12" hidden="1" x14ac:dyDescent="0.2">
      <c r="H161" s="535"/>
      <c r="I161" s="536"/>
      <c r="J161" s="521"/>
      <c r="K161" s="537"/>
      <c r="L161" s="521"/>
    </row>
    <row r="162" spans="8:12" hidden="1" x14ac:dyDescent="0.2">
      <c r="H162" s="521"/>
      <c r="I162" s="521"/>
      <c r="J162" s="521"/>
      <c r="K162" s="1290" t="s">
        <v>179</v>
      </c>
      <c r="L162" s="1291"/>
    </row>
    <row r="163" spans="8:12" ht="13.5" hidden="1" thickBot="1" x14ac:dyDescent="0.25">
      <c r="H163" s="521"/>
      <c r="I163" s="521"/>
      <c r="J163" s="521"/>
      <c r="K163" s="1292">
        <f>IF(K156=0,K156,IF(K157&gt;0,K157,IF(K158&gt;0,K158,IF(K159&gt;0,K159))))</f>
        <v>0</v>
      </c>
      <c r="L163" s="1293"/>
    </row>
    <row r="164" spans="8:12" hidden="1" x14ac:dyDescent="0.2">
      <c r="H164" s="521"/>
      <c r="I164" s="521"/>
      <c r="J164" s="521"/>
      <c r="K164" s="521"/>
      <c r="L164" s="521"/>
    </row>
    <row r="165" spans="8:12" hidden="1" x14ac:dyDescent="0.2">
      <c r="H165" s="521" t="s">
        <v>413</v>
      </c>
      <c r="J165" s="521">
        <f>IF('DATOS PARA DEPURAR'!E317&lt;'FORMULARIO 2018 RENTA CEDULAR'!J22,'DATOS PARA DEPURAR'!E317,'FORMULARIO 2018 RENTA CEDULAR'!J22)</f>
        <v>0</v>
      </c>
      <c r="K165" s="521"/>
      <c r="L165" s="521"/>
    </row>
    <row r="166" spans="8:12" hidden="1" x14ac:dyDescent="0.2">
      <c r="H166" s="521" t="s">
        <v>414</v>
      </c>
      <c r="J166" s="521">
        <f>IF(K163&gt;0,K163*0.75,0)</f>
        <v>0</v>
      </c>
      <c r="K166" s="521"/>
      <c r="L166" s="521"/>
    </row>
    <row r="167" spans="8:12" hidden="1" x14ac:dyDescent="0.2">
      <c r="H167" s="521" t="s">
        <v>415</v>
      </c>
      <c r="J167" s="521">
        <f>IF(J165&lt;J166,J165,0)</f>
        <v>0</v>
      </c>
      <c r="K167" s="521"/>
      <c r="L167" s="521"/>
    </row>
  </sheetData>
  <mergeCells count="86">
    <mergeCell ref="O36:P36"/>
    <mergeCell ref="F18:F42"/>
    <mergeCell ref="K162:L162"/>
    <mergeCell ref="K163:L163"/>
    <mergeCell ref="A7:A12"/>
    <mergeCell ref="B15:C15"/>
    <mergeCell ref="B16:C16"/>
    <mergeCell ref="B17:C17"/>
    <mergeCell ref="A13:A17"/>
    <mergeCell ref="A43:J43"/>
    <mergeCell ref="C99:D99"/>
    <mergeCell ref="C112:D112"/>
    <mergeCell ref="B32:C32"/>
    <mergeCell ref="C119:D119"/>
    <mergeCell ref="C120:D120"/>
    <mergeCell ref="H154:I154"/>
    <mergeCell ref="B39:C39"/>
    <mergeCell ref="B40:C40"/>
    <mergeCell ref="B36:C36"/>
    <mergeCell ref="G36:H36"/>
    <mergeCell ref="B37:C37"/>
    <mergeCell ref="B38:C38"/>
    <mergeCell ref="L31:M31"/>
    <mergeCell ref="B14:C14"/>
    <mergeCell ref="G14:H14"/>
    <mergeCell ref="G15:H15"/>
    <mergeCell ref="B18:C18"/>
    <mergeCell ref="B19:C19"/>
    <mergeCell ref="L23:M23"/>
    <mergeCell ref="B24:C24"/>
    <mergeCell ref="B25:C25"/>
    <mergeCell ref="B26:C26"/>
    <mergeCell ref="B27:C27"/>
    <mergeCell ref="G26:H26"/>
    <mergeCell ref="B28:C28"/>
    <mergeCell ref="B29:C29"/>
    <mergeCell ref="G31:H31"/>
    <mergeCell ref="B30:C30"/>
    <mergeCell ref="B12:C12"/>
    <mergeCell ref="G12:H12"/>
    <mergeCell ref="B13:C13"/>
    <mergeCell ref="G13:H13"/>
    <mergeCell ref="L30:M30"/>
    <mergeCell ref="B7:C7"/>
    <mergeCell ref="F4:F11"/>
    <mergeCell ref="G7:H7"/>
    <mergeCell ref="G33:H33"/>
    <mergeCell ref="B8:C8"/>
    <mergeCell ref="G8:H8"/>
    <mergeCell ref="G16:H16"/>
    <mergeCell ref="G17:H17"/>
    <mergeCell ref="B9:C9"/>
    <mergeCell ref="G9:H9"/>
    <mergeCell ref="F14:F17"/>
    <mergeCell ref="F12:F13"/>
    <mergeCell ref="B10:C10"/>
    <mergeCell ref="G10:H10"/>
    <mergeCell ref="B11:C11"/>
    <mergeCell ref="G11:H11"/>
    <mergeCell ref="A1:F1"/>
    <mergeCell ref="G1:J2"/>
    <mergeCell ref="A2:F2"/>
    <mergeCell ref="A3:J3"/>
    <mergeCell ref="A4:A6"/>
    <mergeCell ref="B4:C4"/>
    <mergeCell ref="G4:H4"/>
    <mergeCell ref="B5:C5"/>
    <mergeCell ref="G5:H5"/>
    <mergeCell ref="B6:C6"/>
    <mergeCell ref="G6:H6"/>
    <mergeCell ref="A18:A29"/>
    <mergeCell ref="B33:C33"/>
    <mergeCell ref="B34:C34"/>
    <mergeCell ref="B35:C35"/>
    <mergeCell ref="G18:G23"/>
    <mergeCell ref="G27:G30"/>
    <mergeCell ref="G24:H24"/>
    <mergeCell ref="G25:H25"/>
    <mergeCell ref="B20:C20"/>
    <mergeCell ref="B22:C22"/>
    <mergeCell ref="B23:C23"/>
    <mergeCell ref="A30:A42"/>
    <mergeCell ref="B31:C31"/>
    <mergeCell ref="B41:C41"/>
    <mergeCell ref="B42:C42"/>
    <mergeCell ref="G32:H32"/>
  </mergeCells>
  <pageMargins left="3.937007874015748E-2" right="3.937007874015748E-2" top="0.55118110236220474" bottom="0.55118110236220474" header="0.31496062992125984" footer="0.31496062992125984"/>
  <pageSetup scale="85" orientation="portrait" verticalDpi="4294967293"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rgb="FFFF0000"/>
  </sheetPr>
  <dimension ref="A1:AC340"/>
  <sheetViews>
    <sheetView showGridLines="0" view="pageBreakPreview" zoomScale="115" zoomScaleNormal="100" zoomScaleSheetLayoutView="115" workbookViewId="0">
      <selection activeCell="B8" sqref="B8:E8"/>
    </sheetView>
  </sheetViews>
  <sheetFormatPr baseColWidth="10" defaultRowHeight="12.75" x14ac:dyDescent="0.2"/>
  <cols>
    <col min="1" max="1" width="1" style="153" customWidth="1"/>
    <col min="2" max="2" width="29.7109375" style="153" customWidth="1"/>
    <col min="3" max="3" width="25.140625" style="153" customWidth="1"/>
    <col min="4" max="4" width="20.42578125" style="153" customWidth="1"/>
    <col min="5" max="5" width="23" style="153" customWidth="1"/>
    <col min="6" max="6" width="3" style="153" hidden="1" customWidth="1"/>
    <col min="7" max="7" width="2.28515625" style="153" hidden="1" customWidth="1"/>
    <col min="8" max="8" width="7.28515625" style="153" hidden="1" customWidth="1"/>
    <col min="9" max="9" width="13.28515625" style="153" hidden="1" customWidth="1"/>
    <col min="10" max="10" width="0.140625" style="153" hidden="1" customWidth="1"/>
    <col min="11" max="11" width="71.42578125" style="153" hidden="1" customWidth="1"/>
    <col min="12" max="12" width="2" style="153" hidden="1" customWidth="1"/>
    <col min="13" max="13" width="0.140625" style="153" hidden="1" customWidth="1"/>
    <col min="14" max="14" width="2" style="153" hidden="1" customWidth="1"/>
    <col min="15" max="15" width="0.140625" style="153" hidden="1" customWidth="1"/>
    <col min="16" max="17" width="2" style="153" hidden="1" customWidth="1"/>
    <col min="18" max="18" width="0.140625" style="153" hidden="1" customWidth="1"/>
    <col min="19" max="19" width="2" style="153" hidden="1" customWidth="1"/>
    <col min="20" max="20" width="0.140625" style="153" hidden="1" customWidth="1"/>
    <col min="21" max="22" width="2" style="153" hidden="1" customWidth="1"/>
    <col min="23" max="23" width="0.140625" style="153" hidden="1" customWidth="1"/>
    <col min="24" max="24" width="2" style="153" hidden="1" customWidth="1"/>
    <col min="25" max="25" width="0.140625" style="153" hidden="1" customWidth="1"/>
    <col min="26" max="27" width="2" style="153" hidden="1" customWidth="1"/>
    <col min="28" max="29" width="19.7109375" style="153" hidden="1" customWidth="1"/>
    <col min="30" max="16384" width="11.42578125" style="153"/>
  </cols>
  <sheetData>
    <row r="1" spans="1:11" ht="29.25" customHeight="1" thickTop="1" x14ac:dyDescent="0.25">
      <c r="A1" s="353"/>
      <c r="B1" s="2022" t="s">
        <v>79</v>
      </c>
      <c r="C1" s="2022"/>
      <c r="D1" s="2022"/>
      <c r="E1" s="2022"/>
      <c r="F1" s="827"/>
    </row>
    <row r="2" spans="1:11" ht="29.25" customHeight="1" x14ac:dyDescent="0.25">
      <c r="A2" s="204"/>
      <c r="B2" s="1970" t="s">
        <v>738</v>
      </c>
      <c r="C2" s="1970"/>
      <c r="D2" s="1970"/>
      <c r="E2" s="1970"/>
      <c r="F2" s="828"/>
      <c r="I2" s="153">
        <f>DAYS360(E9,C10,3)</f>
        <v>-2</v>
      </c>
    </row>
    <row r="3" spans="1:11" ht="29.25" customHeight="1" thickBot="1" x14ac:dyDescent="0.3">
      <c r="A3" s="204"/>
      <c r="B3" s="1970" t="s">
        <v>739</v>
      </c>
      <c r="C3" s="1970"/>
      <c r="D3" s="1970"/>
      <c r="E3" s="1970"/>
      <c r="F3" s="828"/>
      <c r="I3" s="153">
        <f>+I2*-1</f>
        <v>2</v>
      </c>
      <c r="K3" s="157" t="s">
        <v>422</v>
      </c>
    </row>
    <row r="4" spans="1:11" ht="31.5" customHeight="1" thickBot="1" x14ac:dyDescent="0.25">
      <c r="A4" s="204"/>
      <c r="B4" s="2115" t="s">
        <v>806</v>
      </c>
      <c r="C4" s="2116"/>
      <c r="D4" s="2116"/>
      <c r="E4" s="2117"/>
      <c r="F4" s="829"/>
      <c r="I4" s="415">
        <f>ROUNDUP(I3/30,0)</f>
        <v>1</v>
      </c>
      <c r="K4" s="157" t="s">
        <v>417</v>
      </c>
    </row>
    <row r="5" spans="1:11" ht="31.5" customHeight="1" thickBot="1" x14ac:dyDescent="0.3">
      <c r="A5" s="204"/>
      <c r="B5" s="709" t="s">
        <v>0</v>
      </c>
      <c r="C5" s="710">
        <v>2021</v>
      </c>
      <c r="D5" s="830" t="s">
        <v>643</v>
      </c>
      <c r="E5" s="841" t="s">
        <v>47</v>
      </c>
      <c r="F5" s="831"/>
      <c r="I5" s="153">
        <f>IF(C11="EXTEMPORANEA",I4,0)</f>
        <v>1</v>
      </c>
    </row>
    <row r="6" spans="1:11" ht="22.5" customHeight="1" thickBot="1" x14ac:dyDescent="0.25">
      <c r="A6" s="204"/>
      <c r="B6" s="2120" t="s">
        <v>361</v>
      </c>
      <c r="C6" s="2121"/>
      <c r="D6" s="2121"/>
      <c r="E6" s="2121"/>
      <c r="F6" s="2122"/>
    </row>
    <row r="7" spans="1:11" ht="27" customHeight="1" thickBot="1" x14ac:dyDescent="0.25">
      <c r="A7" s="204"/>
      <c r="B7" s="462" t="s">
        <v>369</v>
      </c>
      <c r="C7" s="727" t="s">
        <v>812</v>
      </c>
      <c r="D7" s="463" t="s">
        <v>360</v>
      </c>
      <c r="E7" s="464">
        <v>18927495</v>
      </c>
      <c r="F7" s="420"/>
    </row>
    <row r="8" spans="1:11" ht="31.5" customHeight="1" x14ac:dyDescent="0.2">
      <c r="A8" s="204"/>
      <c r="B8" s="2125" t="s">
        <v>449</v>
      </c>
      <c r="C8" s="2126"/>
      <c r="D8" s="2126"/>
      <c r="E8" s="2127"/>
      <c r="F8" s="420"/>
    </row>
    <row r="9" spans="1:11" ht="24.75" customHeight="1" x14ac:dyDescent="0.2">
      <c r="A9" s="204"/>
      <c r="B9" s="2049" t="s">
        <v>416</v>
      </c>
      <c r="C9" s="481">
        <f>+K22</f>
        <v>44848</v>
      </c>
      <c r="D9" s="2063" t="s">
        <v>443</v>
      </c>
      <c r="E9" s="2124">
        <v>44851</v>
      </c>
      <c r="F9" s="420"/>
    </row>
    <row r="10" spans="1:11" ht="20.25" customHeight="1" x14ac:dyDescent="0.2">
      <c r="A10" s="204"/>
      <c r="B10" s="2049"/>
      <c r="C10" s="417">
        <v>44849</v>
      </c>
      <c r="D10" s="2063"/>
      <c r="E10" s="2124"/>
      <c r="F10" s="420"/>
    </row>
    <row r="11" spans="1:11" ht="42" customHeight="1" thickBot="1" x14ac:dyDescent="0.25">
      <c r="A11" s="204"/>
      <c r="B11" s="469" t="s">
        <v>446</v>
      </c>
      <c r="C11" s="470" t="str">
        <f>IF(I2&gt;=0,K3,K4)</f>
        <v>EXTEMPORANEA</v>
      </c>
      <c r="D11" s="736" t="s">
        <v>418</v>
      </c>
      <c r="E11" s="471">
        <f>+I5</f>
        <v>1</v>
      </c>
      <c r="F11" s="420"/>
    </row>
    <row r="12" spans="1:11" ht="30.75" customHeight="1" thickBot="1" x14ac:dyDescent="0.25">
      <c r="A12" s="204"/>
      <c r="B12" s="2128" t="s">
        <v>456</v>
      </c>
      <c r="C12" s="2129"/>
      <c r="D12" s="2129"/>
      <c r="E12" s="2130"/>
      <c r="F12" s="420"/>
    </row>
    <row r="13" spans="1:11" ht="38.25" customHeight="1" x14ac:dyDescent="0.2">
      <c r="A13" s="204"/>
      <c r="B13" s="465" t="s">
        <v>419</v>
      </c>
      <c r="C13" s="466" t="s">
        <v>47</v>
      </c>
      <c r="D13" s="467" t="s">
        <v>420</v>
      </c>
      <c r="E13" s="468">
        <v>0</v>
      </c>
      <c r="F13" s="420"/>
    </row>
    <row r="14" spans="1:11" ht="42" customHeight="1" thickBot="1" x14ac:dyDescent="0.25">
      <c r="A14" s="204"/>
      <c r="B14" s="733" t="s">
        <v>457</v>
      </c>
      <c r="C14" s="455">
        <v>-465000</v>
      </c>
      <c r="D14" s="456" t="s">
        <v>428</v>
      </c>
      <c r="E14" s="459" t="s">
        <v>47</v>
      </c>
      <c r="F14" s="421"/>
    </row>
    <row r="15" spans="1:11" ht="51.75" customHeight="1" x14ac:dyDescent="0.2">
      <c r="A15" s="204"/>
      <c r="B15" s="733" t="s">
        <v>440</v>
      </c>
      <c r="C15" s="405" t="s">
        <v>47</v>
      </c>
      <c r="D15" s="457" t="s">
        <v>441</v>
      </c>
      <c r="E15" s="493">
        <v>0</v>
      </c>
      <c r="F15" s="458"/>
    </row>
    <row r="16" spans="1:11" ht="53.25" customHeight="1" thickBot="1" x14ac:dyDescent="0.25">
      <c r="A16" s="204"/>
      <c r="B16" s="460" t="s">
        <v>447</v>
      </c>
      <c r="C16" s="472">
        <v>44421</v>
      </c>
      <c r="D16" s="414" t="s">
        <v>448</v>
      </c>
      <c r="E16" s="494">
        <v>44301</v>
      </c>
      <c r="F16" s="458"/>
    </row>
    <row r="17" spans="1:27" ht="23.25" customHeight="1" thickBot="1" x14ac:dyDescent="0.25">
      <c r="A17" s="204"/>
      <c r="B17" s="451"/>
      <c r="C17" s="451"/>
      <c r="D17" s="451"/>
      <c r="E17" s="451"/>
      <c r="F17" s="419"/>
    </row>
    <row r="18" spans="1:27" ht="32.25" customHeight="1" x14ac:dyDescent="0.2">
      <c r="A18" s="204"/>
      <c r="B18" s="2135" t="s">
        <v>805</v>
      </c>
      <c r="C18" s="2136"/>
      <c r="D18" s="2136"/>
      <c r="E18" s="2137"/>
      <c r="F18" s="420"/>
    </row>
    <row r="19" spans="1:27" ht="24.75" customHeight="1" x14ac:dyDescent="0.2">
      <c r="A19" s="204"/>
      <c r="B19" s="843" t="s">
        <v>807</v>
      </c>
      <c r="C19" s="206">
        <v>376977000</v>
      </c>
      <c r="D19" s="728" t="s">
        <v>808</v>
      </c>
      <c r="E19" s="207">
        <v>323930000</v>
      </c>
      <c r="F19" s="420"/>
    </row>
    <row r="20" spans="1:27" ht="30" customHeight="1" thickBot="1" x14ac:dyDescent="0.25">
      <c r="A20" s="204"/>
      <c r="B20" s="843" t="s">
        <v>809</v>
      </c>
      <c r="C20" s="206">
        <v>72140000</v>
      </c>
      <c r="D20" s="729" t="s">
        <v>810</v>
      </c>
      <c r="E20" s="208">
        <v>1820000</v>
      </c>
      <c r="F20" s="420"/>
    </row>
    <row r="21" spans="1:27" ht="35.25" customHeight="1" x14ac:dyDescent="0.2">
      <c r="A21" s="204"/>
      <c r="B21" s="843" t="s">
        <v>811</v>
      </c>
      <c r="C21" s="206">
        <v>0</v>
      </c>
      <c r="D21" s="732" t="s">
        <v>471</v>
      </c>
      <c r="E21" s="209">
        <v>3</v>
      </c>
      <c r="F21" s="420"/>
      <c r="I21" s="436">
        <f>+E7</f>
        <v>18927495</v>
      </c>
      <c r="J21" s="437"/>
      <c r="K21" s="438" t="s">
        <v>13</v>
      </c>
      <c r="L21" s="439"/>
      <c r="M21" s="439"/>
      <c r="N21" s="439"/>
      <c r="O21" s="439"/>
      <c r="P21" s="439"/>
      <c r="Q21" s="440"/>
      <c r="R21" s="440"/>
      <c r="S21" s="440"/>
      <c r="T21" s="440"/>
      <c r="U21" s="440"/>
      <c r="V21" s="440"/>
      <c r="W21" s="440"/>
      <c r="X21" s="440"/>
      <c r="Y21" s="440"/>
      <c r="Z21" s="440"/>
      <c r="AA21" s="440"/>
    </row>
    <row r="22" spans="1:27" ht="30.75" customHeight="1" x14ac:dyDescent="0.25">
      <c r="A22" s="204"/>
      <c r="B22" s="731" t="s">
        <v>363</v>
      </c>
      <c r="C22" s="206">
        <v>0</v>
      </c>
      <c r="D22" s="230" t="s">
        <v>2</v>
      </c>
      <c r="E22" s="231">
        <v>1000000</v>
      </c>
      <c r="F22" s="420"/>
      <c r="H22" s="408" t="s">
        <v>46</v>
      </c>
      <c r="I22" s="441">
        <f>CEILING(I21,1)</f>
        <v>18927495</v>
      </c>
      <c r="J22" s="441"/>
      <c r="K22" s="480">
        <f>IFERROR(VLOOKUP(VALUE(RIGHT(E7,2)),VENCIMIENTO!C6:D105,2,0),VLOOKUP(RIGHT(E7,2),VENCIMIENTO!C6:D105,2,0))</f>
        <v>44848</v>
      </c>
      <c r="L22" s="441"/>
      <c r="M22" s="441"/>
      <c r="N22" s="441"/>
      <c r="O22" s="441"/>
      <c r="P22" s="441"/>
      <c r="Q22" s="441"/>
      <c r="R22" s="441"/>
      <c r="S22" s="441"/>
      <c r="T22" s="441"/>
      <c r="U22" s="441"/>
      <c r="V22" s="441"/>
      <c r="W22" s="441"/>
      <c r="X22" s="441"/>
      <c r="Y22" s="441"/>
      <c r="Z22" s="441"/>
      <c r="AA22" s="441"/>
    </row>
    <row r="23" spans="1:27" ht="30.75" customHeight="1" x14ac:dyDescent="0.25">
      <c r="A23" s="204"/>
      <c r="B23" s="730" t="s">
        <v>43</v>
      </c>
      <c r="C23" s="351">
        <v>36308</v>
      </c>
      <c r="D23" s="729" t="s">
        <v>42</v>
      </c>
      <c r="E23" s="231">
        <v>35607</v>
      </c>
      <c r="F23" s="420"/>
      <c r="H23" s="408" t="s">
        <v>47</v>
      </c>
      <c r="I23" s="442">
        <f>((RIGHT(I22,13))-(RIGHT(I22,12)))/1000000000000</f>
        <v>0</v>
      </c>
      <c r="J23" s="442"/>
      <c r="K23" s="443">
        <f>((RIGHT(I22,12))-(RIGHT(I22,11)))/100000000000</f>
        <v>0</v>
      </c>
      <c r="L23" s="443">
        <f>((RIGHT(I22,12))-(RIGHT(I22,11)))/100000000000</f>
        <v>0</v>
      </c>
      <c r="M23" s="443"/>
      <c r="N23" s="443">
        <f>((RIGHT(I22,10))-(RIGHT(I22,9)))/1000000000</f>
        <v>0</v>
      </c>
      <c r="O23" s="442"/>
      <c r="P23" s="443">
        <f>((RIGHT(I22,9))-(RIGHT(I22,8)))/100000000</f>
        <v>0</v>
      </c>
      <c r="Q23" s="443">
        <f>((RIGHT(I22,8))-(RIGHT(I22,7)))/10000000</f>
        <v>1</v>
      </c>
      <c r="R23" s="443"/>
      <c r="S23" s="443">
        <f>((RIGHT(I22,7))-(RIGHT(I22,6)))/1000000</f>
        <v>8</v>
      </c>
      <c r="T23" s="442"/>
      <c r="U23" s="443">
        <f>((RIGHT(I22,6))-(RIGHT(I22,5)))/100000</f>
        <v>9</v>
      </c>
      <c r="V23" s="443">
        <f>((RIGHT(I22,5))-(RIGHT(I22,4)))/10000</f>
        <v>2</v>
      </c>
      <c r="W23" s="443"/>
      <c r="X23" s="443">
        <f>((RIGHT(I22,4))-(RIGHT(I22,3)))/1000</f>
        <v>7</v>
      </c>
      <c r="Y23" s="442"/>
      <c r="Z23" s="444">
        <f>((RIGHT(I22,3))-(RIGHT(I22,2)))/100</f>
        <v>4</v>
      </c>
      <c r="AA23" s="445">
        <f>((RIGHT(I22,2))-(RIGHT(I22,1)))/10</f>
        <v>9</v>
      </c>
    </row>
    <row r="24" spans="1:27" ht="31.5" customHeight="1" thickBot="1" x14ac:dyDescent="0.25">
      <c r="A24" s="204"/>
      <c r="B24" s="452" t="s">
        <v>374</v>
      </c>
      <c r="C24" s="416">
        <v>3488488</v>
      </c>
      <c r="D24" s="414" t="s">
        <v>424</v>
      </c>
      <c r="E24" s="422">
        <v>38004</v>
      </c>
      <c r="F24" s="421"/>
      <c r="I24" s="406" t="str">
        <f>CONCATENATE(AA23,AB13)</f>
        <v>9</v>
      </c>
    </row>
    <row r="25" spans="1:27" ht="27.75" customHeight="1" thickBot="1" x14ac:dyDescent="0.25">
      <c r="A25" s="204"/>
      <c r="B25" s="2131" t="s">
        <v>361</v>
      </c>
      <c r="C25" s="2132"/>
      <c r="D25" s="2132"/>
      <c r="E25" s="2132"/>
      <c r="F25" s="2122"/>
      <c r="I25" s="153" t="e">
        <f>LOOKUP(I24,J24:J135,K24:K135)</f>
        <v>#N/A</v>
      </c>
    </row>
    <row r="26" spans="1:27" ht="30.75" customHeight="1" x14ac:dyDescent="0.2">
      <c r="A26" s="2051"/>
      <c r="B26" s="2110" t="s">
        <v>164</v>
      </c>
      <c r="C26" s="2111"/>
      <c r="D26" s="2111"/>
      <c r="E26" s="2112"/>
      <c r="F26" s="205"/>
      <c r="I26" s="407"/>
    </row>
    <row r="27" spans="1:27" ht="36.75" customHeight="1" x14ac:dyDescent="0.2">
      <c r="A27" s="2051"/>
      <c r="B27" s="2142" t="s">
        <v>35</v>
      </c>
      <c r="C27" s="2143"/>
      <c r="D27" s="232" t="s">
        <v>37</v>
      </c>
      <c r="E27" s="233" t="s">
        <v>36</v>
      </c>
      <c r="F27" s="205"/>
    </row>
    <row r="28" spans="1:27" ht="24.75" customHeight="1" x14ac:dyDescent="0.2">
      <c r="A28" s="2051"/>
      <c r="B28" s="2085" t="s">
        <v>376</v>
      </c>
      <c r="C28" s="2086"/>
      <c r="D28" s="234" t="s">
        <v>46</v>
      </c>
      <c r="E28" s="720">
        <v>70467529</v>
      </c>
      <c r="F28" s="205"/>
    </row>
    <row r="29" spans="1:27" ht="24.75" customHeight="1" x14ac:dyDescent="0.2">
      <c r="A29" s="2051"/>
      <c r="B29" s="2133" t="s">
        <v>427</v>
      </c>
      <c r="C29" s="2134"/>
      <c r="D29" s="234" t="s">
        <v>46</v>
      </c>
      <c r="E29" s="720"/>
      <c r="F29" s="205"/>
    </row>
    <row r="30" spans="1:27" ht="24.75" customHeight="1" x14ac:dyDescent="0.2">
      <c r="A30" s="2051"/>
      <c r="B30" s="2085" t="s">
        <v>323</v>
      </c>
      <c r="C30" s="2086"/>
      <c r="D30" s="234" t="s">
        <v>47</v>
      </c>
      <c r="E30" s="720">
        <v>35807511</v>
      </c>
      <c r="F30" s="205"/>
    </row>
    <row r="31" spans="1:27" ht="24.75" customHeight="1" x14ac:dyDescent="0.2">
      <c r="A31" s="2051"/>
      <c r="B31" s="2085" t="s">
        <v>324</v>
      </c>
      <c r="C31" s="2086"/>
      <c r="D31" s="234" t="s">
        <v>47</v>
      </c>
      <c r="E31" s="720"/>
      <c r="F31" s="205"/>
    </row>
    <row r="32" spans="1:27" ht="24.75" customHeight="1" x14ac:dyDescent="0.2">
      <c r="A32" s="2051"/>
      <c r="B32" s="2085" t="s">
        <v>4</v>
      </c>
      <c r="C32" s="2086"/>
      <c r="D32" s="234" t="s">
        <v>47</v>
      </c>
      <c r="E32" s="720"/>
      <c r="F32" s="205"/>
    </row>
    <row r="33" spans="1:11" ht="22.5" customHeight="1" x14ac:dyDescent="0.2">
      <c r="A33" s="2051"/>
      <c r="B33" s="2138" t="s">
        <v>330</v>
      </c>
      <c r="C33" s="2139"/>
      <c r="D33" s="234" t="s">
        <v>47</v>
      </c>
      <c r="E33" s="720">
        <v>0</v>
      </c>
      <c r="F33" s="205"/>
    </row>
    <row r="34" spans="1:11" ht="30" customHeight="1" x14ac:dyDescent="0.2">
      <c r="A34" s="2051"/>
      <c r="B34" s="2085" t="s">
        <v>44</v>
      </c>
      <c r="C34" s="2086"/>
      <c r="D34" s="2144" t="s">
        <v>47</v>
      </c>
      <c r="E34" s="2170"/>
      <c r="F34" s="205"/>
    </row>
    <row r="35" spans="1:11" ht="23.25" customHeight="1" x14ac:dyDescent="0.2">
      <c r="A35" s="2051"/>
      <c r="B35" s="1182"/>
      <c r="C35" s="583"/>
      <c r="D35" s="2145"/>
      <c r="E35" s="2171"/>
      <c r="F35" s="205"/>
    </row>
    <row r="36" spans="1:11" ht="23.25" customHeight="1" x14ac:dyDescent="0.2">
      <c r="A36" s="2051"/>
      <c r="B36" s="210"/>
      <c r="C36" s="583"/>
      <c r="D36" s="2146"/>
      <c r="E36" s="2172"/>
      <c r="F36" s="205"/>
    </row>
    <row r="37" spans="1:11" ht="31.5" customHeight="1" x14ac:dyDescent="0.2">
      <c r="A37" s="2051"/>
      <c r="B37" s="2085" t="s">
        <v>45</v>
      </c>
      <c r="C37" s="2086"/>
      <c r="D37" s="234" t="s">
        <v>47</v>
      </c>
      <c r="E37" s="720">
        <v>0</v>
      </c>
      <c r="F37" s="205"/>
    </row>
    <row r="38" spans="1:11" s="425" customFormat="1" ht="27.75" customHeight="1" x14ac:dyDescent="0.2">
      <c r="A38" s="2051"/>
      <c r="B38" s="2140" t="s">
        <v>329</v>
      </c>
      <c r="C38" s="2141"/>
      <c r="D38" s="423" t="s">
        <v>47</v>
      </c>
      <c r="E38" s="721">
        <v>0</v>
      </c>
      <c r="F38" s="424"/>
      <c r="J38" s="153"/>
      <c r="K38" s="153"/>
    </row>
    <row r="39" spans="1:11" s="425" customFormat="1" ht="27.75" customHeight="1" x14ac:dyDescent="0.2">
      <c r="A39" s="2051"/>
      <c r="B39" s="1971" t="s">
        <v>27</v>
      </c>
      <c r="C39" s="1972"/>
      <c r="D39" s="423" t="s">
        <v>47</v>
      </c>
      <c r="E39" s="721">
        <v>0</v>
      </c>
      <c r="F39" s="424"/>
      <c r="J39" s="153"/>
      <c r="K39" s="153"/>
    </row>
    <row r="40" spans="1:11" s="425" customFormat="1" ht="27.75" customHeight="1" x14ac:dyDescent="0.2">
      <c r="A40" s="2051"/>
      <c r="B40" s="1971" t="s">
        <v>28</v>
      </c>
      <c r="C40" s="1972"/>
      <c r="D40" s="423" t="s">
        <v>47</v>
      </c>
      <c r="E40" s="721">
        <v>0</v>
      </c>
      <c r="F40" s="424"/>
      <c r="J40" s="153"/>
      <c r="K40" s="153"/>
    </row>
    <row r="41" spans="1:11" s="425" customFormat="1" ht="23.25" customHeight="1" x14ac:dyDescent="0.2">
      <c r="A41" s="2051"/>
      <c r="B41" s="2085" t="s">
        <v>19</v>
      </c>
      <c r="C41" s="2086"/>
      <c r="D41" s="423" t="s">
        <v>47</v>
      </c>
      <c r="E41" s="721">
        <v>0</v>
      </c>
      <c r="F41" s="424"/>
      <c r="J41" s="153"/>
      <c r="K41" s="153"/>
    </row>
    <row r="42" spans="1:11" s="425" customFormat="1" ht="27.75" customHeight="1" x14ac:dyDescent="0.2">
      <c r="A42" s="2051"/>
      <c r="B42" s="2031" t="s">
        <v>463</v>
      </c>
      <c r="C42" s="2032"/>
      <c r="D42" s="423" t="s">
        <v>47</v>
      </c>
      <c r="E42" s="721">
        <v>9439563</v>
      </c>
      <c r="F42" s="424"/>
      <c r="J42" s="153"/>
      <c r="K42" s="153"/>
    </row>
    <row r="43" spans="1:11" ht="31.5" customHeight="1" x14ac:dyDescent="0.2">
      <c r="A43" s="2051"/>
      <c r="B43" s="1988" t="s">
        <v>189</v>
      </c>
      <c r="C43" s="1989"/>
      <c r="D43" s="234" t="s">
        <v>47</v>
      </c>
      <c r="E43" s="720"/>
      <c r="F43" s="205"/>
    </row>
    <row r="44" spans="1:11" ht="21.75" customHeight="1" x14ac:dyDescent="0.2">
      <c r="A44" s="2051"/>
      <c r="B44" s="2118" t="s">
        <v>425</v>
      </c>
      <c r="C44" s="2119"/>
      <c r="D44" s="234" t="s">
        <v>47</v>
      </c>
      <c r="E44" s="720"/>
      <c r="F44" s="205"/>
    </row>
    <row r="45" spans="1:11" ht="21.75" customHeight="1" thickBot="1" x14ac:dyDescent="0.25">
      <c r="A45" s="2051"/>
      <c r="B45" s="2089"/>
      <c r="C45" s="2090"/>
      <c r="D45" s="235"/>
      <c r="E45" s="426"/>
      <c r="F45" s="205"/>
    </row>
    <row r="46" spans="1:11" ht="24.75" customHeight="1" thickBot="1" x14ac:dyDescent="0.25">
      <c r="A46" s="2051"/>
      <c r="B46" s="1976" t="s">
        <v>91</v>
      </c>
      <c r="C46" s="1977"/>
      <c r="D46" s="1977"/>
      <c r="E46" s="236">
        <f>SUM(E28:E45)</f>
        <v>115714603</v>
      </c>
      <c r="F46" s="205"/>
    </row>
    <row r="47" spans="1:11" ht="22.5" customHeight="1" thickBot="1" x14ac:dyDescent="0.25">
      <c r="A47" s="2051"/>
      <c r="B47" s="237"/>
      <c r="C47" s="237"/>
      <c r="D47" s="237"/>
      <c r="E47" s="238"/>
      <c r="F47" s="205"/>
    </row>
    <row r="48" spans="1:11" ht="30.75" customHeight="1" thickBot="1" x14ac:dyDescent="0.25">
      <c r="A48" s="2051"/>
      <c r="B48" s="2155" t="s">
        <v>165</v>
      </c>
      <c r="C48" s="2156"/>
      <c r="D48" s="2156"/>
      <c r="E48" s="2157"/>
      <c r="F48" s="205"/>
    </row>
    <row r="49" spans="1:7" ht="24" customHeight="1" x14ac:dyDescent="0.2">
      <c r="A49" s="2051"/>
      <c r="B49" s="2158" t="s">
        <v>35</v>
      </c>
      <c r="C49" s="2159"/>
      <c r="D49" s="2159"/>
      <c r="E49" s="127" t="s">
        <v>36</v>
      </c>
      <c r="F49" s="205"/>
    </row>
    <row r="50" spans="1:7" ht="31.5" customHeight="1" x14ac:dyDescent="0.2">
      <c r="A50" s="2051"/>
      <c r="B50" s="2078" t="s">
        <v>772</v>
      </c>
      <c r="C50" s="2123"/>
      <c r="D50" s="2123"/>
      <c r="E50" s="126"/>
      <c r="F50" s="205"/>
    </row>
    <row r="51" spans="1:7" ht="32.25" customHeight="1" x14ac:dyDescent="0.2">
      <c r="A51" s="2051"/>
      <c r="B51" s="2078" t="s">
        <v>773</v>
      </c>
      <c r="C51" s="2123"/>
      <c r="D51" s="2123"/>
      <c r="E51" s="126">
        <v>10000000</v>
      </c>
      <c r="F51" s="205"/>
    </row>
    <row r="52" spans="1:7" ht="30.75" customHeight="1" x14ac:dyDescent="0.2">
      <c r="A52" s="2051"/>
      <c r="B52" s="2062" t="s">
        <v>775</v>
      </c>
      <c r="C52" s="2063"/>
      <c r="D52" s="2063"/>
      <c r="E52" s="126"/>
      <c r="F52" s="205"/>
    </row>
    <row r="53" spans="1:7" ht="24.75" customHeight="1" x14ac:dyDescent="0.2">
      <c r="A53" s="2051"/>
      <c r="B53" s="2078" t="s">
        <v>774</v>
      </c>
      <c r="C53" s="2063"/>
      <c r="D53" s="2063"/>
      <c r="E53" s="126"/>
      <c r="F53" s="205"/>
    </row>
    <row r="54" spans="1:7" ht="23.25" customHeight="1" thickBot="1" x14ac:dyDescent="0.25">
      <c r="A54" s="2051"/>
      <c r="B54" s="2079" t="s">
        <v>5</v>
      </c>
      <c r="C54" s="2080"/>
      <c r="D54" s="2081"/>
      <c r="E54" s="128"/>
      <c r="F54" s="205"/>
    </row>
    <row r="55" spans="1:7" ht="25.5" customHeight="1" thickBot="1" x14ac:dyDescent="0.25">
      <c r="A55" s="2051"/>
      <c r="B55" s="2091" t="s">
        <v>370</v>
      </c>
      <c r="C55" s="2092"/>
      <c r="D55" s="2093"/>
      <c r="E55" s="109">
        <f>SUM(E50:E54)</f>
        <v>10000000</v>
      </c>
      <c r="F55" s="205"/>
    </row>
    <row r="56" spans="1:7" ht="9" customHeight="1" x14ac:dyDescent="0.2">
      <c r="A56" s="2051"/>
      <c r="B56" s="446"/>
      <c r="C56" s="446"/>
      <c r="D56" s="446"/>
      <c r="E56" s="447"/>
      <c r="F56" s="205"/>
    </row>
    <row r="57" spans="1:7" ht="16.5" customHeight="1" thickBot="1" x14ac:dyDescent="0.25">
      <c r="A57" s="2051"/>
      <c r="B57" s="446"/>
      <c r="C57" s="446"/>
      <c r="D57" s="446"/>
      <c r="E57" s="447"/>
      <c r="F57" s="205"/>
    </row>
    <row r="58" spans="1:7" ht="21.75" customHeight="1" thickBot="1" x14ac:dyDescent="0.3">
      <c r="A58" s="2051"/>
      <c r="B58" s="1973" t="s">
        <v>166</v>
      </c>
      <c r="C58" s="1974"/>
      <c r="D58" s="1974"/>
      <c r="E58" s="1975"/>
      <c r="F58" s="205"/>
    </row>
    <row r="59" spans="1:7" ht="17.25" customHeight="1" x14ac:dyDescent="0.2">
      <c r="A59" s="2051"/>
      <c r="B59" s="2070" t="s">
        <v>35</v>
      </c>
      <c r="C59" s="2071"/>
      <c r="D59" s="365" t="s">
        <v>72</v>
      </c>
      <c r="E59" s="239" t="s">
        <v>36</v>
      </c>
      <c r="F59" s="205"/>
    </row>
    <row r="60" spans="1:7" ht="15.75" customHeight="1" x14ac:dyDescent="0.2">
      <c r="A60" s="2051"/>
      <c r="B60" s="2094" t="s">
        <v>98</v>
      </c>
      <c r="C60" s="2095"/>
      <c r="D60" s="2072" t="str">
        <f>IF(B61&gt;0,"S",IF(C61&gt;0,"N","0"))</f>
        <v>0</v>
      </c>
      <c r="E60" s="1987">
        <f>+C61+B61</f>
        <v>0</v>
      </c>
      <c r="G60" s="211" t="s">
        <v>46</v>
      </c>
    </row>
    <row r="61" spans="1:7" ht="21.75" customHeight="1" x14ac:dyDescent="0.2">
      <c r="A61" s="2051"/>
      <c r="B61" s="364"/>
      <c r="C61" s="363"/>
      <c r="D61" s="2072"/>
      <c r="E61" s="1987"/>
      <c r="G61" s="211"/>
    </row>
    <row r="62" spans="1:7" ht="13.5" customHeight="1" x14ac:dyDescent="0.2">
      <c r="A62" s="2051"/>
      <c r="B62" s="2113" t="s">
        <v>99</v>
      </c>
      <c r="C62" s="2114"/>
      <c r="D62" s="2072" t="str">
        <f>IF(B63&gt;0,"S",IF(C63&gt;0,"N","0"))</f>
        <v>0</v>
      </c>
      <c r="E62" s="1987">
        <f>+C63+B63</f>
        <v>0</v>
      </c>
      <c r="G62" s="211" t="s">
        <v>46</v>
      </c>
    </row>
    <row r="63" spans="1:7" ht="24.75" customHeight="1" x14ac:dyDescent="0.2">
      <c r="A63" s="2051"/>
      <c r="B63" s="364"/>
      <c r="C63" s="363"/>
      <c r="D63" s="2072"/>
      <c r="E63" s="1987"/>
      <c r="G63" s="211"/>
    </row>
    <row r="64" spans="1:7" ht="18.75" customHeight="1" x14ac:dyDescent="0.2">
      <c r="A64" s="2051"/>
      <c r="B64" s="2094" t="s">
        <v>73</v>
      </c>
      <c r="C64" s="2095"/>
      <c r="D64" s="483" t="s">
        <v>46</v>
      </c>
      <c r="E64" s="361"/>
      <c r="G64" s="211" t="s">
        <v>47</v>
      </c>
    </row>
    <row r="65" spans="1:8" ht="18.75" customHeight="1" x14ac:dyDescent="0.2">
      <c r="A65" s="2051"/>
      <c r="B65" s="2094" t="s">
        <v>74</v>
      </c>
      <c r="C65" s="2095"/>
      <c r="D65" s="1986" t="s">
        <v>46</v>
      </c>
      <c r="E65" s="2000">
        <f>+C66</f>
        <v>0</v>
      </c>
      <c r="F65" s="205"/>
    </row>
    <row r="66" spans="1:8" ht="21" customHeight="1" x14ac:dyDescent="0.2">
      <c r="A66" s="2051"/>
      <c r="B66" s="212"/>
      <c r="C66" s="213"/>
      <c r="D66" s="1986"/>
      <c r="E66" s="2000"/>
      <c r="F66" s="205"/>
    </row>
    <row r="67" spans="1:8" ht="27.75" customHeight="1" x14ac:dyDescent="0.2">
      <c r="A67" s="2051"/>
      <c r="B67" s="1978" t="s">
        <v>75</v>
      </c>
      <c r="C67" s="1979"/>
      <c r="D67" s="1986" t="s">
        <v>46</v>
      </c>
      <c r="E67" s="2000">
        <f>+C68</f>
        <v>0</v>
      </c>
      <c r="F67" s="205"/>
    </row>
    <row r="68" spans="1:8" ht="22.5" customHeight="1" x14ac:dyDescent="0.2">
      <c r="A68" s="2051"/>
      <c r="B68" s="212"/>
      <c r="C68" s="213"/>
      <c r="D68" s="1986"/>
      <c r="E68" s="2000"/>
      <c r="F68" s="205"/>
    </row>
    <row r="69" spans="1:8" ht="22.5" customHeight="1" x14ac:dyDescent="0.2">
      <c r="A69" s="2051"/>
      <c r="B69" s="2087" t="s">
        <v>186</v>
      </c>
      <c r="C69" s="2088"/>
      <c r="D69" s="742" t="s">
        <v>47</v>
      </c>
      <c r="E69" s="362"/>
      <c r="F69" s="205"/>
    </row>
    <row r="70" spans="1:8" ht="24.75" customHeight="1" x14ac:dyDescent="0.2">
      <c r="A70" s="2051"/>
      <c r="B70" s="2003" t="s">
        <v>377</v>
      </c>
      <c r="C70" s="2004"/>
      <c r="D70" s="742" t="s">
        <v>47</v>
      </c>
      <c r="E70" s="362"/>
      <c r="F70" s="205"/>
    </row>
    <row r="71" spans="1:8" ht="18.75" customHeight="1" x14ac:dyDescent="0.2">
      <c r="A71" s="2051"/>
      <c r="B71" s="2064" t="s">
        <v>185</v>
      </c>
      <c r="C71" s="2065"/>
      <c r="D71" s="742" t="s">
        <v>47</v>
      </c>
      <c r="E71" s="362"/>
      <c r="F71" s="205"/>
    </row>
    <row r="72" spans="1:8" ht="21" customHeight="1" x14ac:dyDescent="0.2">
      <c r="A72" s="2051"/>
      <c r="B72" s="2005" t="s">
        <v>184</v>
      </c>
      <c r="C72" s="2006"/>
      <c r="D72" s="742" t="s">
        <v>47</v>
      </c>
      <c r="E72" s="362"/>
      <c r="F72" s="205"/>
    </row>
    <row r="73" spans="1:8" ht="21" customHeight="1" x14ac:dyDescent="0.2">
      <c r="A73" s="2051"/>
      <c r="B73" s="1984" t="s">
        <v>76</v>
      </c>
      <c r="C73" s="1985"/>
      <c r="D73" s="483" t="s">
        <v>46</v>
      </c>
      <c r="E73" s="361"/>
      <c r="F73" s="205"/>
    </row>
    <row r="74" spans="1:8" ht="21" customHeight="1" x14ac:dyDescent="0.2">
      <c r="A74" s="2051"/>
      <c r="B74" s="1998" t="s">
        <v>618</v>
      </c>
      <c r="C74" s="1999"/>
      <c r="D74" s="483" t="s">
        <v>46</v>
      </c>
      <c r="E74" s="361"/>
      <c r="F74" s="205"/>
    </row>
    <row r="75" spans="1:8" ht="21" customHeight="1" x14ac:dyDescent="0.2">
      <c r="A75" s="2051"/>
      <c r="B75" s="1998" t="s">
        <v>619</v>
      </c>
      <c r="C75" s="1999"/>
      <c r="D75" s="483" t="s">
        <v>46</v>
      </c>
      <c r="E75" s="361"/>
      <c r="F75" s="205"/>
    </row>
    <row r="76" spans="1:8" ht="24.75" customHeight="1" x14ac:dyDescent="0.2">
      <c r="A76" s="2051"/>
      <c r="B76" s="1978" t="s">
        <v>77</v>
      </c>
      <c r="C76" s="1979"/>
      <c r="D76" s="483" t="s">
        <v>46</v>
      </c>
      <c r="E76" s="361"/>
      <c r="F76" s="205"/>
    </row>
    <row r="77" spans="1:8" ht="21" customHeight="1" x14ac:dyDescent="0.2">
      <c r="A77" s="2051"/>
      <c r="B77" s="1978" t="s">
        <v>425</v>
      </c>
      <c r="C77" s="1979"/>
      <c r="D77" s="722" t="s">
        <v>47</v>
      </c>
      <c r="E77" s="214"/>
      <c r="F77" s="205"/>
    </row>
    <row r="78" spans="1:8" ht="28.5" customHeight="1" x14ac:dyDescent="0.2">
      <c r="A78" s="2051"/>
      <c r="B78" s="454" t="s">
        <v>426</v>
      </c>
      <c r="C78" s="757"/>
      <c r="D78" s="448" t="s">
        <v>47</v>
      </c>
      <c r="E78" s="453">
        <f>IF(D78="N",C78,0)</f>
        <v>0</v>
      </c>
      <c r="F78" s="205"/>
      <c r="H78" s="495"/>
    </row>
    <row r="79" spans="1:8" ht="23.25" customHeight="1" x14ac:dyDescent="0.2">
      <c r="A79" s="2051"/>
      <c r="B79" s="694" t="s">
        <v>635</v>
      </c>
      <c r="C79" s="695"/>
      <c r="D79" s="696"/>
      <c r="E79" s="2176">
        <f>SUM(B80:D80)</f>
        <v>20000000</v>
      </c>
      <c r="F79" s="205"/>
    </row>
    <row r="80" spans="1:8" ht="29.25" customHeight="1" x14ac:dyDescent="0.2">
      <c r="A80" s="2051"/>
      <c r="B80" s="814"/>
      <c r="C80" s="815">
        <v>20000000</v>
      </c>
      <c r="D80" s="816"/>
      <c r="E80" s="2177"/>
      <c r="F80" s="205"/>
    </row>
    <row r="81" spans="1:6" ht="17.25" customHeight="1" x14ac:dyDescent="0.2">
      <c r="A81" s="2051"/>
      <c r="B81" s="1996" t="s">
        <v>328</v>
      </c>
      <c r="C81" s="1997"/>
      <c r="D81" s="722" t="s">
        <v>47</v>
      </c>
      <c r="E81" s="214"/>
      <c r="F81" s="205"/>
    </row>
    <row r="82" spans="1:6" ht="19.5" customHeight="1" x14ac:dyDescent="0.2">
      <c r="A82" s="2051"/>
      <c r="B82" s="1996" t="s">
        <v>136</v>
      </c>
      <c r="C82" s="1997"/>
      <c r="D82" s="722" t="s">
        <v>47</v>
      </c>
      <c r="E82" s="713"/>
      <c r="F82" s="205"/>
    </row>
    <row r="83" spans="1:6" ht="23.25" customHeight="1" x14ac:dyDescent="0.2">
      <c r="A83" s="2051"/>
      <c r="B83" s="1996" t="s">
        <v>109</v>
      </c>
      <c r="C83" s="1997"/>
      <c r="D83" s="2167" t="s">
        <v>47</v>
      </c>
      <c r="E83" s="1987">
        <f>+C84+B84</f>
        <v>0</v>
      </c>
      <c r="F83" s="205"/>
    </row>
    <row r="84" spans="1:6" ht="23.25" customHeight="1" x14ac:dyDescent="0.2">
      <c r="A84" s="2051"/>
      <c r="B84" s="212"/>
      <c r="C84" s="213"/>
      <c r="D84" s="2167"/>
      <c r="E84" s="1987"/>
      <c r="F84" s="205"/>
    </row>
    <row r="85" spans="1:6" ht="25.5" customHeight="1" x14ac:dyDescent="0.2">
      <c r="A85" s="2051"/>
      <c r="B85" s="1978" t="s">
        <v>104</v>
      </c>
      <c r="C85" s="1979"/>
      <c r="D85" s="722" t="s">
        <v>47</v>
      </c>
      <c r="E85" s="214"/>
      <c r="F85" s="205"/>
    </row>
    <row r="86" spans="1:6" ht="21.75" customHeight="1" x14ac:dyDescent="0.2">
      <c r="A86" s="2051"/>
      <c r="B86" s="2031" t="s">
        <v>403</v>
      </c>
      <c r="C86" s="2032"/>
      <c r="D86" s="722" t="s">
        <v>47</v>
      </c>
      <c r="E86" s="214"/>
      <c r="F86" s="205"/>
    </row>
    <row r="87" spans="1:6" ht="17.25" customHeight="1" x14ac:dyDescent="0.2">
      <c r="A87" s="2051"/>
      <c r="B87" s="2033" t="s">
        <v>653</v>
      </c>
      <c r="C87" s="2034"/>
      <c r="D87" s="722" t="s">
        <v>47</v>
      </c>
      <c r="E87" s="214"/>
      <c r="F87" s="205"/>
    </row>
    <row r="88" spans="1:6" ht="21.75" customHeight="1" x14ac:dyDescent="0.2">
      <c r="A88" s="2051"/>
      <c r="B88" s="2031" t="s">
        <v>382</v>
      </c>
      <c r="C88" s="2032"/>
      <c r="D88" s="722" t="s">
        <v>47</v>
      </c>
      <c r="E88" s="214"/>
      <c r="F88" s="205"/>
    </row>
    <row r="89" spans="1:6" ht="23.25" customHeight="1" x14ac:dyDescent="0.2">
      <c r="A89" s="2051"/>
      <c r="B89" s="2033" t="s">
        <v>380</v>
      </c>
      <c r="C89" s="2034"/>
      <c r="D89" s="722" t="s">
        <v>47</v>
      </c>
      <c r="E89" s="214"/>
      <c r="F89" s="205"/>
    </row>
    <row r="90" spans="1:6" ht="21" customHeight="1" x14ac:dyDescent="0.2">
      <c r="A90" s="2051"/>
      <c r="B90" s="2033" t="s">
        <v>208</v>
      </c>
      <c r="C90" s="2034"/>
      <c r="D90" s="722" t="s">
        <v>47</v>
      </c>
      <c r="E90" s="214"/>
      <c r="F90" s="205"/>
    </row>
    <row r="91" spans="1:6" ht="24.75" customHeight="1" x14ac:dyDescent="0.2">
      <c r="A91" s="2051"/>
      <c r="B91" s="2165" t="s">
        <v>571</v>
      </c>
      <c r="C91" s="2166"/>
      <c r="D91" s="722" t="s">
        <v>47</v>
      </c>
      <c r="E91" s="214"/>
      <c r="F91" s="205"/>
    </row>
    <row r="92" spans="1:6" ht="24.75" customHeight="1" x14ac:dyDescent="0.2">
      <c r="A92" s="2051"/>
      <c r="B92" s="2068" t="s">
        <v>406</v>
      </c>
      <c r="C92" s="2069"/>
      <c r="D92" s="722" t="s">
        <v>47</v>
      </c>
      <c r="E92" s="214"/>
      <c r="F92" s="205"/>
    </row>
    <row r="93" spans="1:6" ht="24.75" customHeight="1" x14ac:dyDescent="0.2">
      <c r="A93" s="2051"/>
      <c r="B93" s="2168" t="s">
        <v>523</v>
      </c>
      <c r="C93" s="2169"/>
      <c r="D93" s="1143"/>
      <c r="E93" s="1144"/>
      <c r="F93" s="205"/>
    </row>
    <row r="94" spans="1:6" ht="21" customHeight="1" thickBot="1" x14ac:dyDescent="0.25">
      <c r="A94" s="2051"/>
      <c r="B94" s="2027" t="s">
        <v>356</v>
      </c>
      <c r="C94" s="2028"/>
      <c r="D94" s="832" t="s">
        <v>47</v>
      </c>
      <c r="E94" s="215"/>
      <c r="F94" s="205"/>
    </row>
    <row r="95" spans="1:6" ht="18.75" customHeight="1" thickBot="1" x14ac:dyDescent="0.25">
      <c r="A95" s="2051"/>
      <c r="B95" s="2099" t="s">
        <v>90</v>
      </c>
      <c r="C95" s="2100"/>
      <c r="D95" s="2101"/>
      <c r="E95" s="397">
        <f>SUM(E60:E94)</f>
        <v>20000000</v>
      </c>
      <c r="F95" s="205"/>
    </row>
    <row r="96" spans="1:6" ht="20.25" customHeight="1" thickBot="1" x14ac:dyDescent="0.25">
      <c r="A96" s="2051"/>
      <c r="B96" s="2029" t="s">
        <v>715</v>
      </c>
      <c r="C96" s="2030"/>
      <c r="D96" s="2030"/>
      <c r="E96" s="398"/>
      <c r="F96" s="205"/>
    </row>
    <row r="97" spans="1:28" ht="0.75" customHeight="1" thickBot="1" x14ac:dyDescent="0.25">
      <c r="A97" s="2051"/>
      <c r="B97" s="216"/>
      <c r="C97" s="216"/>
      <c r="D97" s="216"/>
      <c r="E97" s="216"/>
      <c r="F97" s="205"/>
    </row>
    <row r="98" spans="1:28" ht="24" customHeight="1" thickTop="1" x14ac:dyDescent="0.25">
      <c r="A98" s="2051"/>
      <c r="B98" s="2022" t="s">
        <v>79</v>
      </c>
      <c r="C98" s="2022"/>
      <c r="D98" s="2022"/>
      <c r="E98" s="2022"/>
      <c r="F98" s="203"/>
    </row>
    <row r="99" spans="1:28" ht="24" customHeight="1" x14ac:dyDescent="0.25">
      <c r="A99" s="2051"/>
      <c r="B99" s="1970" t="s">
        <v>80</v>
      </c>
      <c r="C99" s="1970"/>
      <c r="D99" s="1970"/>
      <c r="E99" s="1970"/>
      <c r="F99" s="205"/>
    </row>
    <row r="100" spans="1:28" ht="16.5" customHeight="1" thickBot="1" x14ac:dyDescent="0.3">
      <c r="A100" s="2051"/>
      <c r="B100" s="735"/>
      <c r="C100" s="735"/>
      <c r="D100" s="735"/>
      <c r="E100" s="735"/>
      <c r="F100" s="205"/>
    </row>
    <row r="101" spans="1:28" ht="28.5" customHeight="1" thickBot="1" x14ac:dyDescent="0.3">
      <c r="A101" s="2051"/>
      <c r="B101" s="2035" t="s">
        <v>88</v>
      </c>
      <c r="C101" s="2036"/>
      <c r="D101" s="2036"/>
      <c r="E101" s="2037"/>
      <c r="F101" s="205"/>
    </row>
    <row r="102" spans="1:28" ht="39.75" customHeight="1" x14ac:dyDescent="0.2">
      <c r="A102" s="2051"/>
      <c r="B102" s="2066" t="s">
        <v>211</v>
      </c>
      <c r="C102" s="2067"/>
      <c r="D102" s="240">
        <f>+E46+E50+E52-E43</f>
        <v>115714603</v>
      </c>
      <c r="E102" s="1016" t="s">
        <v>89</v>
      </c>
      <c r="F102" s="205"/>
    </row>
    <row r="103" spans="1:28" ht="39.75" customHeight="1" thickBot="1" x14ac:dyDescent="0.25">
      <c r="A103" s="2051"/>
      <c r="B103" s="2038" t="s">
        <v>210</v>
      </c>
      <c r="C103" s="2039"/>
      <c r="D103" s="241">
        <f>IF(D102&gt;0,H103,0)</f>
        <v>0.79411809535657862</v>
      </c>
      <c r="E103" s="242" t="str">
        <f>IF(D103&gt;=80%,"S","N")</f>
        <v>N</v>
      </c>
      <c r="F103" s="205"/>
      <c r="H103" s="409">
        <f>D102/(E46+E95+E55-SUM(E60:E68)-SUM(E73:E76)-E78-E43)</f>
        <v>0.79411809535657862</v>
      </c>
    </row>
    <row r="104" spans="1:28" ht="24.75" customHeight="1" thickBot="1" x14ac:dyDescent="0.25">
      <c r="A104" s="2051"/>
      <c r="B104" s="368"/>
      <c r="C104" s="368"/>
      <c r="D104" s="369"/>
      <c r="E104" s="370"/>
      <c r="F104" s="205"/>
    </row>
    <row r="105" spans="1:28" ht="36.75" customHeight="1" x14ac:dyDescent="0.2">
      <c r="A105" s="2051"/>
      <c r="B105" s="2160" t="s">
        <v>378</v>
      </c>
      <c r="C105" s="2161"/>
      <c r="D105" s="2161"/>
      <c r="E105" s="2162"/>
      <c r="F105" s="205"/>
    </row>
    <row r="106" spans="1:28" ht="33" customHeight="1" x14ac:dyDescent="0.2">
      <c r="A106" s="2051"/>
      <c r="B106" s="2163" t="s">
        <v>379</v>
      </c>
      <c r="C106" s="2164"/>
      <c r="D106" s="372">
        <f t="shared" ref="D106:D111" si="0">IF(E87&gt;0,H106,0)</f>
        <v>0</v>
      </c>
      <c r="E106" s="2016" t="s">
        <v>381</v>
      </c>
      <c r="F106" s="205"/>
      <c r="H106" s="410">
        <f>E87/(E46+E95+E55-SUM(E60:E68)-SUM(E73:E77))</f>
        <v>0</v>
      </c>
    </row>
    <row r="107" spans="1:28" ht="33" customHeight="1" x14ac:dyDescent="0.2">
      <c r="A107" s="2051"/>
      <c r="B107" s="2009" t="s">
        <v>384</v>
      </c>
      <c r="C107" s="2010"/>
      <c r="D107" s="372">
        <f t="shared" si="0"/>
        <v>0</v>
      </c>
      <c r="E107" s="2016"/>
      <c r="F107" s="205"/>
      <c r="H107" s="410">
        <f>E88/(E46+E95+E55-SUM(E60:E68)-SUM(E73:E77))</f>
        <v>0</v>
      </c>
    </row>
    <row r="108" spans="1:28" ht="32.25" customHeight="1" x14ac:dyDescent="0.2">
      <c r="A108" s="2051"/>
      <c r="B108" s="2102" t="s">
        <v>385</v>
      </c>
      <c r="C108" s="2103"/>
      <c r="D108" s="372">
        <f t="shared" si="0"/>
        <v>0</v>
      </c>
      <c r="E108" s="2025" t="str">
        <f>IF(D106&gt;=80%,"S",IF(D107&gt;=80%,"S",IF(D108&gt;=80%,"S",IF(D109&gt;=80%,"S",IF(D110&gt;=80%,"S",IF(D111&gt;=80%,"S","N"))))))</f>
        <v>N</v>
      </c>
      <c r="F108" s="205"/>
      <c r="H108" s="410">
        <f>E89/(E46+E95+E55-SUM(E60:E68)-SUM(E73:E77))</f>
        <v>0</v>
      </c>
    </row>
    <row r="109" spans="1:28" ht="32.25" customHeight="1" x14ac:dyDescent="0.2">
      <c r="A109" s="2051"/>
      <c r="B109" s="2049" t="s">
        <v>383</v>
      </c>
      <c r="C109" s="2050"/>
      <c r="D109" s="372">
        <f t="shared" si="0"/>
        <v>0</v>
      </c>
      <c r="E109" s="2025"/>
      <c r="F109" s="205"/>
      <c r="H109" s="410">
        <f>E90/(E46+E95+E55-SUM(E60:E68)-SUM(E73:E77))</f>
        <v>0</v>
      </c>
    </row>
    <row r="110" spans="1:28" ht="33" customHeight="1" x14ac:dyDescent="0.2">
      <c r="A110" s="2051"/>
      <c r="B110" s="2009" t="s">
        <v>408</v>
      </c>
      <c r="C110" s="2010"/>
      <c r="D110" s="372">
        <f t="shared" si="0"/>
        <v>0</v>
      </c>
      <c r="E110" s="2025"/>
      <c r="F110" s="205"/>
      <c r="H110" s="410">
        <f>E91/(E46+E95+E55-SUM(E60:E68)-SUM(E73:E77))</f>
        <v>0</v>
      </c>
    </row>
    <row r="111" spans="1:28" ht="39.75" customHeight="1" thickBot="1" x14ac:dyDescent="0.25">
      <c r="A111" s="2051"/>
      <c r="B111" s="2023" t="s">
        <v>409</v>
      </c>
      <c r="C111" s="2024"/>
      <c r="D111" s="371">
        <f t="shared" si="0"/>
        <v>0</v>
      </c>
      <c r="E111" s="2026"/>
      <c r="F111" s="205"/>
      <c r="H111" s="410">
        <f>E92/(E46+E95+E55-SUM(E60:E68)-SUM(E73:E77))</f>
        <v>0</v>
      </c>
      <c r="AB111" s="180"/>
    </row>
    <row r="112" spans="1:28" ht="14.25" customHeight="1" thickBot="1" x14ac:dyDescent="0.25">
      <c r="A112" s="2051"/>
      <c r="B112" s="243"/>
      <c r="C112" s="243"/>
      <c r="D112" s="243"/>
      <c r="E112" s="243"/>
      <c r="F112" s="205"/>
      <c r="AB112" s="180"/>
    </row>
    <row r="113" spans="1:28" ht="30.75" customHeight="1" thickBot="1" x14ac:dyDescent="0.25">
      <c r="A113" s="2051"/>
      <c r="B113" s="2082" t="s">
        <v>163</v>
      </c>
      <c r="C113" s="2083"/>
      <c r="D113" s="2083"/>
      <c r="E113" s="2084"/>
      <c r="F113" s="205"/>
      <c r="AB113" s="180"/>
    </row>
    <row r="114" spans="1:28" ht="39" customHeight="1" x14ac:dyDescent="0.2">
      <c r="A114" s="2051"/>
      <c r="B114" s="244" t="s">
        <v>4</v>
      </c>
      <c r="C114" s="245" t="s">
        <v>25</v>
      </c>
      <c r="D114" s="360" t="s">
        <v>46</v>
      </c>
      <c r="E114" s="246">
        <f>IF((D114)=("S"),(E32),0)</f>
        <v>0</v>
      </c>
      <c r="F114" s="205"/>
      <c r="L114" s="180"/>
      <c r="AB114" s="180"/>
    </row>
    <row r="115" spans="1:28" ht="24" customHeight="1" x14ac:dyDescent="0.2">
      <c r="A115" s="2051"/>
      <c r="B115" s="2040" t="s">
        <v>538</v>
      </c>
      <c r="C115" s="817">
        <v>4978735</v>
      </c>
      <c r="D115" s="818"/>
      <c r="E115" s="2043">
        <f>SUM(C115:D117)</f>
        <v>4978735</v>
      </c>
      <c r="F115" s="205"/>
      <c r="L115" s="180"/>
      <c r="AB115" s="180"/>
    </row>
    <row r="116" spans="1:28" ht="22.5" customHeight="1" x14ac:dyDescent="0.2">
      <c r="A116" s="2051"/>
      <c r="B116" s="2041"/>
      <c r="C116" s="1103"/>
      <c r="D116" s="1104"/>
      <c r="E116" s="2044"/>
      <c r="F116" s="205"/>
      <c r="L116" s="180"/>
      <c r="AB116" s="180"/>
    </row>
    <row r="117" spans="1:28" ht="24.75" customHeight="1" x14ac:dyDescent="0.2">
      <c r="A117" s="2051"/>
      <c r="B117" s="2042"/>
      <c r="C117" s="819"/>
      <c r="D117" s="1105"/>
      <c r="E117" s="2045"/>
      <c r="F117" s="205"/>
      <c r="L117" s="180"/>
      <c r="AB117" s="180"/>
    </row>
    <row r="118" spans="1:28" ht="27" customHeight="1" x14ac:dyDescent="0.2">
      <c r="A118" s="2051"/>
      <c r="B118" s="2046" t="s">
        <v>539</v>
      </c>
      <c r="C118" s="817">
        <v>6234335</v>
      </c>
      <c r="D118" s="818"/>
      <c r="E118" s="2043">
        <f>SUM(C118:D120)</f>
        <v>6234335</v>
      </c>
      <c r="F118" s="205"/>
      <c r="L118" s="180"/>
      <c r="AB118" s="180"/>
    </row>
    <row r="119" spans="1:28" ht="26.25" customHeight="1" x14ac:dyDescent="0.2">
      <c r="A119" s="2051"/>
      <c r="B119" s="2047"/>
      <c r="C119" s="819"/>
      <c r="D119" s="820"/>
      <c r="E119" s="2044"/>
      <c r="F119" s="205"/>
      <c r="L119" s="180"/>
      <c r="AB119" s="180"/>
    </row>
    <row r="120" spans="1:28" ht="28.5" customHeight="1" x14ac:dyDescent="0.2">
      <c r="A120" s="2051"/>
      <c r="B120" s="2048"/>
      <c r="C120" s="819"/>
      <c r="D120" s="1105"/>
      <c r="E120" s="2045"/>
      <c r="F120" s="205"/>
      <c r="L120" s="180"/>
      <c r="AB120" s="180"/>
    </row>
    <row r="121" spans="1:28" s="180" customFormat="1" ht="23.25" customHeight="1" x14ac:dyDescent="0.2">
      <c r="A121" s="2051"/>
      <c r="B121" s="2173" t="s">
        <v>186</v>
      </c>
      <c r="C121" s="2174"/>
      <c r="D121" s="2175"/>
      <c r="E121" s="247">
        <f>IF(E69&gt;0,E69,0)</f>
        <v>0</v>
      </c>
      <c r="F121" s="217"/>
      <c r="J121" s="153"/>
      <c r="K121" s="153"/>
      <c r="M121" s="153"/>
      <c r="N121" s="153"/>
      <c r="O121" s="153"/>
      <c r="P121" s="153"/>
      <c r="Q121" s="153"/>
      <c r="R121" s="153"/>
      <c r="S121" s="153"/>
      <c r="T121" s="153"/>
      <c r="U121" s="153"/>
      <c r="V121" s="153"/>
      <c r="W121" s="153"/>
      <c r="X121" s="153"/>
      <c r="Y121" s="153"/>
      <c r="Z121" s="153"/>
      <c r="AA121" s="153"/>
    </row>
    <row r="122" spans="1:28" s="180" customFormat="1" ht="20.25" customHeight="1" x14ac:dyDescent="0.2">
      <c r="A122" s="2051"/>
      <c r="B122" s="2019" t="str">
        <f>+B70</f>
        <v>VENTA DE INMUEBLES A ENTIDAD TERRITORIAL PARA OBRAS DE UTILIDAD COMUN-MEDIANTE NEGOCIACION DIRECTA</v>
      </c>
      <c r="C122" s="2020"/>
      <c r="D122" s="2021"/>
      <c r="E122" s="247">
        <f>IF((E70)&gt;0,E70,0)</f>
        <v>0</v>
      </c>
      <c r="F122" s="217"/>
      <c r="J122" s="153"/>
      <c r="K122" s="153"/>
    </row>
    <row r="123" spans="1:28" s="180" customFormat="1" ht="21" customHeight="1" x14ac:dyDescent="0.2">
      <c r="A123" s="2051"/>
      <c r="B123" s="1982" t="s">
        <v>185</v>
      </c>
      <c r="C123" s="1983"/>
      <c r="D123" s="1983"/>
      <c r="E123" s="247">
        <f>IF(E71&gt;0,E71,0)</f>
        <v>0</v>
      </c>
      <c r="F123" s="217"/>
      <c r="J123" s="153"/>
      <c r="K123" s="153"/>
    </row>
    <row r="124" spans="1:28" s="180" customFormat="1" ht="21" customHeight="1" x14ac:dyDescent="0.2">
      <c r="A124" s="2051"/>
      <c r="B124" s="1982" t="s">
        <v>184</v>
      </c>
      <c r="C124" s="1983"/>
      <c r="D124" s="1983"/>
      <c r="E124" s="247">
        <f>IF(E72&gt;0,E72,0)</f>
        <v>0</v>
      </c>
      <c r="F124" s="217"/>
      <c r="J124" s="153"/>
      <c r="K124" s="153"/>
      <c r="AB124" s="153"/>
    </row>
    <row r="125" spans="1:28" s="180" customFormat="1" ht="22.5" customHeight="1" x14ac:dyDescent="0.2">
      <c r="A125" s="2051"/>
      <c r="B125" s="2178" t="s">
        <v>659</v>
      </c>
      <c r="C125" s="2179"/>
      <c r="D125" s="448" t="s">
        <v>46</v>
      </c>
      <c r="E125" s="247">
        <f>IF(D125="S",C84,0)</f>
        <v>0</v>
      </c>
      <c r="F125" s="217"/>
      <c r="J125" s="153"/>
      <c r="K125" s="153"/>
      <c r="AB125" s="153"/>
    </row>
    <row r="126" spans="1:28" s="180" customFormat="1" ht="21" customHeight="1" x14ac:dyDescent="0.2">
      <c r="A126" s="2051"/>
      <c r="B126" s="1982" t="s">
        <v>19</v>
      </c>
      <c r="C126" s="1983"/>
      <c r="D126" s="1983"/>
      <c r="E126" s="247">
        <f>+E41</f>
        <v>0</v>
      </c>
      <c r="F126" s="217"/>
      <c r="J126" s="153"/>
      <c r="K126" s="153"/>
      <c r="AB126" s="153"/>
    </row>
    <row r="127" spans="1:28" s="180" customFormat="1" ht="26.25" customHeight="1" x14ac:dyDescent="0.2">
      <c r="A127" s="2051"/>
      <c r="B127" s="2014" t="s">
        <v>325</v>
      </c>
      <c r="C127" s="2015"/>
      <c r="D127" s="185">
        <f>IF(E82&gt;0,E82*(1),0)</f>
        <v>0</v>
      </c>
      <c r="E127" s="712">
        <f>IF(E5="N",D127,0)</f>
        <v>0</v>
      </c>
      <c r="F127" s="217"/>
      <c r="J127" s="153"/>
      <c r="K127" s="153"/>
      <c r="AB127" s="153"/>
    </row>
    <row r="128" spans="1:28" s="180" customFormat="1" ht="21" customHeight="1" x14ac:dyDescent="0.2">
      <c r="A128" s="2051"/>
      <c r="B128" s="1982" t="s">
        <v>634</v>
      </c>
      <c r="C128" s="1983"/>
      <c r="D128" s="1983"/>
      <c r="E128" s="2017">
        <f>SUM(B129:D129)</f>
        <v>0</v>
      </c>
      <c r="F128" s="217"/>
      <c r="J128" s="153"/>
      <c r="K128" s="153"/>
      <c r="L128" s="153"/>
      <c r="AB128" s="153"/>
    </row>
    <row r="129" spans="1:28" s="180" customFormat="1" ht="30" customHeight="1" thickBot="1" x14ac:dyDescent="0.25">
      <c r="A129" s="2051"/>
      <c r="B129" s="814"/>
      <c r="C129" s="821"/>
      <c r="D129" s="816"/>
      <c r="E129" s="2018"/>
      <c r="F129" s="217"/>
      <c r="J129" s="153"/>
      <c r="K129" s="153"/>
      <c r="L129" s="153"/>
      <c r="AB129" s="153"/>
    </row>
    <row r="130" spans="1:28" ht="26.25" customHeight="1" thickBot="1" x14ac:dyDescent="0.25">
      <c r="A130" s="2051"/>
      <c r="B130" s="2007" t="s">
        <v>209</v>
      </c>
      <c r="C130" s="2008"/>
      <c r="D130" s="2008"/>
      <c r="E130" s="248">
        <f>SUM(E114:E128)</f>
        <v>11213070</v>
      </c>
      <c r="F130" s="205"/>
      <c r="M130" s="180"/>
      <c r="N130" s="180"/>
      <c r="O130" s="180"/>
      <c r="P130" s="180"/>
      <c r="Q130" s="180"/>
      <c r="R130" s="180"/>
      <c r="S130" s="180"/>
      <c r="T130" s="180"/>
      <c r="U130" s="180"/>
      <c r="V130" s="180"/>
      <c r="W130" s="180"/>
      <c r="X130" s="180"/>
      <c r="Y130" s="180"/>
      <c r="Z130" s="180"/>
      <c r="AA130" s="180"/>
    </row>
    <row r="131" spans="1:28" ht="1.5" customHeight="1" thickBot="1" x14ac:dyDescent="0.25">
      <c r="A131" s="2051"/>
      <c r="B131" s="446"/>
      <c r="C131" s="446"/>
      <c r="D131" s="446"/>
      <c r="E131" s="822"/>
      <c r="F131" s="205"/>
    </row>
    <row r="132" spans="1:28" ht="1.5" hidden="1" customHeight="1" thickBot="1" x14ac:dyDescent="0.25">
      <c r="A132" s="2051"/>
      <c r="B132" s="446"/>
      <c r="C132" s="446"/>
      <c r="D132" s="446"/>
      <c r="E132" s="822"/>
      <c r="F132" s="205"/>
    </row>
    <row r="133" spans="1:28" ht="20.25" customHeight="1" x14ac:dyDescent="0.25">
      <c r="A133" s="2051"/>
      <c r="B133" s="2147" t="s">
        <v>636</v>
      </c>
      <c r="C133" s="2148"/>
      <c r="D133" s="2148"/>
      <c r="E133" s="2149"/>
      <c r="F133" s="205"/>
    </row>
    <row r="134" spans="1:28" ht="17.25" customHeight="1" thickBot="1" x14ac:dyDescent="0.3">
      <c r="A134" s="2051"/>
      <c r="B134" s="2150" t="s">
        <v>193</v>
      </c>
      <c r="C134" s="2151"/>
      <c r="D134" s="2151"/>
      <c r="E134" s="2152"/>
      <c r="F134" s="205"/>
    </row>
    <row r="135" spans="1:28" ht="15.75" customHeight="1" x14ac:dyDescent="0.25">
      <c r="A135" s="2051"/>
      <c r="B135" s="2153" t="s">
        <v>651</v>
      </c>
      <c r="C135" s="2154"/>
      <c r="D135" s="1149" t="s">
        <v>47</v>
      </c>
      <c r="E135" s="249">
        <f>IF(D135="S",D136,IF(D135="N",D137,0))</f>
        <v>0</v>
      </c>
      <c r="F135" s="205"/>
    </row>
    <row r="136" spans="1:28" ht="15.75" customHeight="1" x14ac:dyDescent="0.25">
      <c r="A136" s="2051"/>
      <c r="B136" s="833" t="s">
        <v>652</v>
      </c>
      <c r="C136" s="811"/>
      <c r="D136" s="723">
        <f>IF(($E$87&gt;0),C136,0)</f>
        <v>0</v>
      </c>
      <c r="E136" s="2180"/>
      <c r="F136" s="205"/>
    </row>
    <row r="137" spans="1:28" ht="15.75" customHeight="1" x14ac:dyDescent="0.25">
      <c r="A137" s="2051"/>
      <c r="B137" s="2182" t="s">
        <v>650</v>
      </c>
      <c r="C137" s="2183"/>
      <c r="D137" s="185">
        <f>IF(($E$87&gt;0),(D142-D143),0)</f>
        <v>0</v>
      </c>
      <c r="E137" s="2180"/>
      <c r="F137" s="205"/>
    </row>
    <row r="138" spans="1:28" ht="15.75" customHeight="1" x14ac:dyDescent="0.2">
      <c r="A138" s="2051"/>
      <c r="B138" s="2001" t="s">
        <v>194</v>
      </c>
      <c r="C138" s="2002"/>
      <c r="D138" s="1148"/>
      <c r="E138" s="2180"/>
      <c r="F138" s="205"/>
    </row>
    <row r="139" spans="1:28" ht="15.75" customHeight="1" x14ac:dyDescent="0.2">
      <c r="A139" s="2051"/>
      <c r="B139" s="2001" t="s">
        <v>195</v>
      </c>
      <c r="C139" s="2002"/>
      <c r="D139" s="250">
        <f>C140-C141</f>
        <v>0</v>
      </c>
      <c r="E139" s="2180"/>
      <c r="F139" s="205"/>
    </row>
    <row r="140" spans="1:28" ht="15.75" customHeight="1" x14ac:dyDescent="0.2">
      <c r="A140" s="2051"/>
      <c r="B140" s="251" t="s">
        <v>196</v>
      </c>
      <c r="C140" s="161"/>
      <c r="D140" s="2098"/>
      <c r="E140" s="2180"/>
      <c r="F140" s="205"/>
    </row>
    <row r="141" spans="1:28" ht="19.5" customHeight="1" x14ac:dyDescent="0.2">
      <c r="A141" s="2051"/>
      <c r="B141" s="251" t="s">
        <v>198</v>
      </c>
      <c r="C141" s="161"/>
      <c r="D141" s="2098"/>
      <c r="E141" s="2180"/>
      <c r="F141" s="205"/>
    </row>
    <row r="142" spans="1:28" ht="15.75" customHeight="1" x14ac:dyDescent="0.2">
      <c r="A142" s="2051"/>
      <c r="B142" s="2001" t="s">
        <v>197</v>
      </c>
      <c r="C142" s="2002"/>
      <c r="D142" s="250">
        <f>+D139+D138</f>
        <v>0</v>
      </c>
      <c r="E142" s="2180"/>
      <c r="F142" s="205"/>
    </row>
    <row r="143" spans="1:28" ht="15.75" customHeight="1" thickBot="1" x14ac:dyDescent="0.25">
      <c r="A143" s="2051"/>
      <c r="B143" s="2096" t="s">
        <v>194</v>
      </c>
      <c r="C143" s="2097"/>
      <c r="D143" s="1187"/>
      <c r="E143" s="2181"/>
      <c r="F143" s="205"/>
    </row>
    <row r="144" spans="1:28" ht="9.75" customHeight="1" thickBot="1" x14ac:dyDescent="0.25">
      <c r="A144" s="2051"/>
      <c r="B144" s="2191"/>
      <c r="C144" s="2191"/>
      <c r="D144" s="2191"/>
      <c r="E144" s="2192"/>
      <c r="F144" s="205"/>
    </row>
    <row r="145" spans="1:6" ht="33" customHeight="1" x14ac:dyDescent="0.2">
      <c r="A145" s="2051"/>
      <c r="B145" s="2011" t="s">
        <v>406</v>
      </c>
      <c r="C145" s="2012"/>
      <c r="D145" s="2013"/>
      <c r="E145" s="249">
        <f>IF(($E$92&gt;0),(D150-D151),0)</f>
        <v>0</v>
      </c>
      <c r="F145" s="205"/>
    </row>
    <row r="146" spans="1:6" ht="16.5" customHeight="1" x14ac:dyDescent="0.2">
      <c r="A146" s="2051"/>
      <c r="B146" s="2001" t="s">
        <v>194</v>
      </c>
      <c r="C146" s="2002"/>
      <c r="D146" s="218"/>
      <c r="E146" s="1848"/>
      <c r="F146" s="205"/>
    </row>
    <row r="147" spans="1:6" ht="16.5" customHeight="1" x14ac:dyDescent="0.2">
      <c r="A147" s="2051"/>
      <c r="B147" s="2001" t="s">
        <v>195</v>
      </c>
      <c r="C147" s="2002"/>
      <c r="D147" s="250">
        <f>C148-C149</f>
        <v>0</v>
      </c>
      <c r="E147" s="1848"/>
      <c r="F147" s="205"/>
    </row>
    <row r="148" spans="1:6" ht="16.5" customHeight="1" x14ac:dyDescent="0.2">
      <c r="A148" s="2051"/>
      <c r="B148" s="251" t="s">
        <v>196</v>
      </c>
      <c r="C148" s="161"/>
      <c r="D148" s="2098"/>
      <c r="E148" s="1848"/>
      <c r="F148" s="205"/>
    </row>
    <row r="149" spans="1:6" ht="16.5" customHeight="1" x14ac:dyDescent="0.2">
      <c r="A149" s="2051"/>
      <c r="B149" s="251" t="s">
        <v>198</v>
      </c>
      <c r="C149" s="161"/>
      <c r="D149" s="2098"/>
      <c r="E149" s="1848"/>
      <c r="F149" s="205"/>
    </row>
    <row r="150" spans="1:6" ht="16.5" customHeight="1" x14ac:dyDescent="0.2">
      <c r="A150" s="2051"/>
      <c r="B150" s="2001" t="s">
        <v>197</v>
      </c>
      <c r="C150" s="2002"/>
      <c r="D150" s="250">
        <f>+D147+D146</f>
        <v>0</v>
      </c>
      <c r="E150" s="1848"/>
      <c r="F150" s="205"/>
    </row>
    <row r="151" spans="1:6" ht="16.5" customHeight="1" thickBot="1" x14ac:dyDescent="0.3">
      <c r="A151" s="2051"/>
      <c r="B151" s="2096" t="s">
        <v>194</v>
      </c>
      <c r="C151" s="2097"/>
      <c r="D151" s="219"/>
      <c r="E151" s="1930"/>
      <c r="F151" s="205"/>
    </row>
    <row r="152" spans="1:6" ht="12" customHeight="1" thickBot="1" x14ac:dyDescent="0.25">
      <c r="A152" s="2051"/>
      <c r="B152" s="1940"/>
      <c r="C152" s="1940"/>
      <c r="D152" s="1940"/>
      <c r="E152" s="1941"/>
      <c r="F152" s="205"/>
    </row>
    <row r="153" spans="1:6" ht="18" customHeight="1" x14ac:dyDescent="0.25">
      <c r="A153" s="2051"/>
      <c r="B153" s="2195" t="s">
        <v>402</v>
      </c>
      <c r="C153" s="2196"/>
      <c r="D153" s="2196"/>
      <c r="E153" s="249">
        <f>IF(($E$89&gt;0),SUM(D154:D157),0)</f>
        <v>0</v>
      </c>
      <c r="F153" s="205"/>
    </row>
    <row r="154" spans="1:6" s="180" customFormat="1" ht="15" customHeight="1" x14ac:dyDescent="0.2">
      <c r="A154" s="2051"/>
      <c r="B154" s="2193" t="s">
        <v>199</v>
      </c>
      <c r="C154" s="2194"/>
      <c r="D154" s="220"/>
      <c r="E154" s="2186"/>
      <c r="F154" s="217"/>
    </row>
    <row r="155" spans="1:6" s="180" customFormat="1" ht="15" customHeight="1" x14ac:dyDescent="0.2">
      <c r="A155" s="2051"/>
      <c r="B155" s="2001" t="s">
        <v>200</v>
      </c>
      <c r="C155" s="2002"/>
      <c r="D155" s="221"/>
      <c r="E155" s="2187"/>
      <c r="F155" s="217"/>
    </row>
    <row r="156" spans="1:6" s="180" customFormat="1" ht="15" customHeight="1" x14ac:dyDescent="0.2">
      <c r="A156" s="2051"/>
      <c r="B156" s="2001" t="s">
        <v>201</v>
      </c>
      <c r="C156" s="2002"/>
      <c r="D156" s="221"/>
      <c r="E156" s="2187"/>
      <c r="F156" s="217"/>
    </row>
    <row r="157" spans="1:6" s="180" customFormat="1" ht="21.75" customHeight="1" thickBot="1" x14ac:dyDescent="0.25">
      <c r="A157" s="2051"/>
      <c r="B157" s="2076" t="s">
        <v>202</v>
      </c>
      <c r="C157" s="2077"/>
      <c r="D157" s="222"/>
      <c r="E157" s="2188"/>
      <c r="F157" s="217"/>
    </row>
    <row r="158" spans="1:6" ht="9.75" customHeight="1" thickBot="1" x14ac:dyDescent="0.25">
      <c r="A158" s="2051"/>
      <c r="B158" s="2191"/>
      <c r="C158" s="2191"/>
      <c r="D158" s="2191"/>
      <c r="E158" s="2192"/>
      <c r="F158" s="205"/>
    </row>
    <row r="159" spans="1:6" ht="17.25" customHeight="1" x14ac:dyDescent="0.25">
      <c r="A159" s="2051"/>
      <c r="B159" s="2195" t="s">
        <v>558</v>
      </c>
      <c r="C159" s="2196"/>
      <c r="D159" s="2196"/>
      <c r="E159" s="249">
        <f>IF((E90)&gt;0,SUM(D160:D163),0)</f>
        <v>0</v>
      </c>
      <c r="F159" s="205"/>
    </row>
    <row r="160" spans="1:6" s="180" customFormat="1" ht="15.75" customHeight="1" x14ac:dyDescent="0.2">
      <c r="A160" s="2051"/>
      <c r="B160" s="2001" t="s">
        <v>646</v>
      </c>
      <c r="C160" s="2002"/>
      <c r="D160" s="223"/>
      <c r="E160" s="2189"/>
      <c r="F160" s="217"/>
    </row>
    <row r="161" spans="1:6" s="180" customFormat="1" ht="15.75" customHeight="1" x14ac:dyDescent="0.2">
      <c r="A161" s="2051"/>
      <c r="B161" s="2184" t="s">
        <v>433</v>
      </c>
      <c r="C161" s="2185"/>
      <c r="D161" s="711"/>
      <c r="E161" s="2186"/>
      <c r="F161" s="217"/>
    </row>
    <row r="162" spans="1:6" s="180" customFormat="1" ht="15.75" customHeight="1" x14ac:dyDescent="0.2">
      <c r="A162" s="2051"/>
      <c r="B162" s="2184" t="s">
        <v>645</v>
      </c>
      <c r="C162" s="2185"/>
      <c r="D162" s="711"/>
      <c r="E162" s="2186"/>
      <c r="F162" s="217"/>
    </row>
    <row r="163" spans="1:6" s="180" customFormat="1" ht="15.75" customHeight="1" thickBot="1" x14ac:dyDescent="0.25">
      <c r="A163" s="2051"/>
      <c r="B163" s="2096" t="s">
        <v>203</v>
      </c>
      <c r="C163" s="2097"/>
      <c r="D163" s="224"/>
      <c r="E163" s="2190"/>
      <c r="F163" s="217"/>
    </row>
    <row r="164" spans="1:6" ht="9" customHeight="1" thickBot="1" x14ac:dyDescent="0.3">
      <c r="A164" s="2051"/>
      <c r="B164" s="1948"/>
      <c r="C164" s="1948"/>
      <c r="D164" s="1948"/>
      <c r="E164" s="1948"/>
      <c r="F164" s="205"/>
    </row>
    <row r="165" spans="1:6" ht="17.25" customHeight="1" x14ac:dyDescent="0.25">
      <c r="A165" s="2051"/>
      <c r="B165" s="2107" t="s">
        <v>375</v>
      </c>
      <c r="C165" s="2108"/>
      <c r="D165" s="2108"/>
      <c r="E165" s="2109"/>
      <c r="F165" s="205"/>
    </row>
    <row r="166" spans="1:6" s="180" customFormat="1" ht="16.5" customHeight="1" x14ac:dyDescent="0.2">
      <c r="A166" s="2051"/>
      <c r="B166" s="1927" t="str">
        <f>+B60</f>
        <v>VENTA DE ACTIVOS FIJOS # 1</v>
      </c>
      <c r="C166" s="1928"/>
      <c r="D166" s="1929"/>
      <c r="E166" s="225"/>
      <c r="F166" s="217"/>
    </row>
    <row r="167" spans="1:6" s="180" customFormat="1" ht="16.5" customHeight="1" thickBot="1" x14ac:dyDescent="0.25">
      <c r="A167" s="2051"/>
      <c r="B167" s="2235" t="str">
        <f>+B62</f>
        <v>VENTA DE ACTIVOS FIJOS # 2</v>
      </c>
      <c r="C167" s="2236"/>
      <c r="D167" s="2237"/>
      <c r="E167" s="226"/>
      <c r="F167" s="217"/>
    </row>
    <row r="168" spans="1:6" s="180" customFormat="1" ht="10.5" customHeight="1" thickBot="1" x14ac:dyDescent="0.25">
      <c r="A168" s="2051"/>
      <c r="B168" s="2238"/>
      <c r="C168" s="2238"/>
      <c r="D168" s="2238"/>
      <c r="E168" s="2238"/>
      <c r="F168" s="217"/>
    </row>
    <row r="169" spans="1:6" ht="17.25" customHeight="1" x14ac:dyDescent="0.25">
      <c r="A169" s="2051"/>
      <c r="B169" s="2107" t="s">
        <v>665</v>
      </c>
      <c r="C169" s="2108"/>
      <c r="D169" s="2108"/>
      <c r="E169" s="2109"/>
      <c r="F169" s="205"/>
    </row>
    <row r="170" spans="1:6" s="180" customFormat="1" ht="16.5" customHeight="1" x14ac:dyDescent="0.2">
      <c r="A170" s="2051"/>
      <c r="B170" s="1927" t="s">
        <v>317</v>
      </c>
      <c r="C170" s="1928"/>
      <c r="D170" s="1929"/>
      <c r="E170" s="225"/>
      <c r="F170" s="217"/>
    </row>
    <row r="171" spans="1:6" s="180" customFormat="1" ht="16.5" customHeight="1" thickBot="1" x14ac:dyDescent="0.25">
      <c r="A171" s="2051"/>
      <c r="B171" s="2260"/>
      <c r="C171" s="2260"/>
      <c r="D171" s="2260"/>
      <c r="E171" s="2260"/>
      <c r="F171" s="217"/>
    </row>
    <row r="172" spans="1:6" s="180" customFormat="1" ht="18.75" customHeight="1" x14ac:dyDescent="0.2">
      <c r="A172" s="2051"/>
      <c r="B172" s="1990" t="s">
        <v>432</v>
      </c>
      <c r="C172" s="1991"/>
      <c r="D172" s="1991"/>
      <c r="E172" s="184">
        <f>IF((E91)&gt;0,SUM(D173:D178),0)</f>
        <v>0</v>
      </c>
      <c r="F172" s="217"/>
    </row>
    <row r="173" spans="1:6" s="180" customFormat="1" ht="14.25" customHeight="1" x14ac:dyDescent="0.2">
      <c r="A173" s="2051"/>
      <c r="B173" s="1992" t="s">
        <v>433</v>
      </c>
      <c r="C173" s="1993"/>
      <c r="D173" s="177"/>
      <c r="E173" s="1848"/>
      <c r="F173" s="217"/>
    </row>
    <row r="174" spans="1:6" s="180" customFormat="1" ht="14.25" customHeight="1" x14ac:dyDescent="0.2">
      <c r="A174" s="2051"/>
      <c r="B174" s="1992" t="s">
        <v>640</v>
      </c>
      <c r="C174" s="1993"/>
      <c r="D174" s="177"/>
      <c r="E174" s="1848"/>
      <c r="F174" s="217"/>
    </row>
    <row r="175" spans="1:6" s="180" customFormat="1" ht="14.25" customHeight="1" x14ac:dyDescent="0.2">
      <c r="A175" s="2051"/>
      <c r="B175" s="1992" t="s">
        <v>654</v>
      </c>
      <c r="C175" s="1993"/>
      <c r="D175" s="177"/>
      <c r="E175" s="1848"/>
      <c r="F175" s="217"/>
    </row>
    <row r="176" spans="1:6" s="180" customFormat="1" ht="14.25" customHeight="1" x14ac:dyDescent="0.2">
      <c r="A176" s="2051"/>
      <c r="B176" s="1992" t="s">
        <v>435</v>
      </c>
      <c r="C176" s="1993"/>
      <c r="D176" s="177"/>
      <c r="E176" s="1848"/>
      <c r="F176" s="217"/>
    </row>
    <row r="177" spans="1:6" s="180" customFormat="1" ht="14.25" customHeight="1" x14ac:dyDescent="0.2">
      <c r="A177" s="2051"/>
      <c r="B177" s="1992" t="s">
        <v>434</v>
      </c>
      <c r="C177" s="1993"/>
      <c r="D177" s="177"/>
      <c r="E177" s="1848"/>
      <c r="F177" s="217"/>
    </row>
    <row r="178" spans="1:6" s="180" customFormat="1" ht="14.25" customHeight="1" thickBot="1" x14ac:dyDescent="0.25">
      <c r="A178" s="2051"/>
      <c r="B178" s="1994" t="s">
        <v>317</v>
      </c>
      <c r="C178" s="1995"/>
      <c r="D178" s="704"/>
      <c r="E178" s="1930"/>
      <c r="F178" s="217"/>
    </row>
    <row r="179" spans="1:6" s="180" customFormat="1" ht="10.5" customHeight="1" thickBot="1" x14ac:dyDescent="0.25">
      <c r="A179" s="2051"/>
      <c r="B179" s="427"/>
      <c r="C179" s="427"/>
      <c r="D179" s="427"/>
      <c r="E179" s="427"/>
      <c r="F179" s="217"/>
    </row>
    <row r="180" spans="1:6" s="180" customFormat="1" ht="16.5" customHeight="1" x14ac:dyDescent="0.2">
      <c r="A180" s="2051"/>
      <c r="B180" s="2239" t="s">
        <v>531</v>
      </c>
      <c r="C180" s="2240"/>
      <c r="D180" s="2240"/>
      <c r="E180" s="319">
        <f>IF((E86)&gt;0,SUM(D181:D187),0)</f>
        <v>0</v>
      </c>
      <c r="F180" s="217"/>
    </row>
    <row r="181" spans="1:6" s="180" customFormat="1" ht="11.25" customHeight="1" x14ac:dyDescent="0.2">
      <c r="A181" s="2051"/>
      <c r="B181" s="1992" t="s">
        <v>532</v>
      </c>
      <c r="C181" s="1993"/>
      <c r="D181" s="811"/>
      <c r="E181" s="1848"/>
      <c r="F181" s="217"/>
    </row>
    <row r="182" spans="1:6" s="180" customFormat="1" ht="11.25" customHeight="1" x14ac:dyDescent="0.2">
      <c r="A182" s="2051"/>
      <c r="B182" s="1992" t="s">
        <v>534</v>
      </c>
      <c r="C182" s="1993"/>
      <c r="D182" s="811"/>
      <c r="E182" s="1848"/>
      <c r="F182" s="217"/>
    </row>
    <row r="183" spans="1:6" s="180" customFormat="1" ht="11.25" customHeight="1" x14ac:dyDescent="0.2">
      <c r="A183" s="2051"/>
      <c r="B183" s="1992" t="s">
        <v>655</v>
      </c>
      <c r="C183" s="1993"/>
      <c r="D183" s="811"/>
      <c r="E183" s="1848"/>
      <c r="F183" s="217"/>
    </row>
    <row r="184" spans="1:6" s="180" customFormat="1" ht="11.25" customHeight="1" x14ac:dyDescent="0.2">
      <c r="A184" s="2051"/>
      <c r="B184" s="1992" t="s">
        <v>533</v>
      </c>
      <c r="C184" s="1993"/>
      <c r="D184" s="811"/>
      <c r="E184" s="1848"/>
      <c r="F184" s="217"/>
    </row>
    <row r="185" spans="1:6" s="180" customFormat="1" ht="11.25" customHeight="1" x14ac:dyDescent="0.2">
      <c r="A185" s="2051"/>
      <c r="B185" s="1992" t="s">
        <v>535</v>
      </c>
      <c r="C185" s="1993"/>
      <c r="D185" s="811"/>
      <c r="E185" s="1848"/>
      <c r="F185" s="217"/>
    </row>
    <row r="186" spans="1:6" s="180" customFormat="1" ht="11.25" customHeight="1" x14ac:dyDescent="0.2">
      <c r="A186" s="2051"/>
      <c r="B186" s="1992" t="s">
        <v>536</v>
      </c>
      <c r="C186" s="1993"/>
      <c r="D186" s="811"/>
      <c r="E186" s="1848"/>
      <c r="F186" s="217"/>
    </row>
    <row r="187" spans="1:6" s="180" customFormat="1" ht="11.25" customHeight="1" thickBot="1" x14ac:dyDescent="0.25">
      <c r="A187" s="2051"/>
      <c r="B187" s="1994" t="s">
        <v>317</v>
      </c>
      <c r="C187" s="1995"/>
      <c r="D187" s="812"/>
      <c r="E187" s="1930"/>
      <c r="F187" s="217"/>
    </row>
    <row r="188" spans="1:6" s="180" customFormat="1" ht="12.75" customHeight="1" thickBot="1" x14ac:dyDescent="0.25">
      <c r="A188" s="2051"/>
      <c r="B188" s="427"/>
      <c r="C188" s="427"/>
      <c r="D188" s="427"/>
      <c r="E188" s="427"/>
      <c r="F188" s="217"/>
    </row>
    <row r="189" spans="1:6" s="180" customFormat="1" ht="20.25" customHeight="1" x14ac:dyDescent="0.25">
      <c r="A189" s="2051"/>
      <c r="B189" s="1980" t="s">
        <v>326</v>
      </c>
      <c r="C189" s="1981"/>
      <c r="D189" s="1981"/>
      <c r="E189" s="399">
        <f>IF((E51+E53)&gt;0,SUM(D191:D200),0)</f>
        <v>0</v>
      </c>
      <c r="F189" s="217"/>
    </row>
    <row r="190" spans="1:6" s="180" customFormat="1" ht="20.25" customHeight="1" x14ac:dyDescent="0.25">
      <c r="A190" s="2051"/>
      <c r="B190" s="2261" t="s">
        <v>371</v>
      </c>
      <c r="C190" s="2262"/>
      <c r="D190" s="849">
        <f>IF((E51+E53)&gt;0,SUM(D191:D195),0)</f>
        <v>0</v>
      </c>
      <c r="E190" s="2255"/>
      <c r="F190" s="217"/>
    </row>
    <row r="191" spans="1:6" s="180" customFormat="1" ht="17.25" customHeight="1" x14ac:dyDescent="0.2">
      <c r="A191" s="2051"/>
      <c r="B191" s="2248" t="s">
        <v>623</v>
      </c>
      <c r="C191" s="2249"/>
      <c r="D191" s="227"/>
      <c r="E191" s="2256"/>
      <c r="F191" s="217"/>
    </row>
    <row r="192" spans="1:6" s="180" customFormat="1" ht="16.5" customHeight="1" x14ac:dyDescent="0.2">
      <c r="A192" s="2051"/>
      <c r="B192" s="2241" t="s">
        <v>625</v>
      </c>
      <c r="C192" s="2242"/>
      <c r="D192" s="227"/>
      <c r="E192" s="2256"/>
      <c r="F192" s="217"/>
    </row>
    <row r="193" spans="1:6" s="180" customFormat="1" ht="18" customHeight="1" x14ac:dyDescent="0.2">
      <c r="A193" s="2051"/>
      <c r="B193" s="2263" t="s">
        <v>626</v>
      </c>
      <c r="C193" s="2264"/>
      <c r="D193" s="227"/>
      <c r="E193" s="2256"/>
      <c r="F193" s="217"/>
    </row>
    <row r="194" spans="1:6" s="180" customFormat="1" ht="18" customHeight="1" x14ac:dyDescent="0.2">
      <c r="A194" s="2051"/>
      <c r="B194" s="2263" t="s">
        <v>627</v>
      </c>
      <c r="C194" s="2264"/>
      <c r="D194" s="227"/>
      <c r="E194" s="2256"/>
      <c r="F194" s="217"/>
    </row>
    <row r="195" spans="1:6" s="180" customFormat="1" ht="15.75" customHeight="1" x14ac:dyDescent="0.2">
      <c r="A195" s="2051"/>
      <c r="B195" s="2258" t="s">
        <v>624</v>
      </c>
      <c r="C195" s="2259"/>
      <c r="D195" s="227"/>
      <c r="E195" s="2256"/>
      <c r="F195" s="217"/>
    </row>
    <row r="196" spans="1:6" s="180" customFormat="1" ht="15.75" customHeight="1" x14ac:dyDescent="0.25">
      <c r="A196" s="2051"/>
      <c r="B196" s="2261" t="s">
        <v>668</v>
      </c>
      <c r="C196" s="2262"/>
      <c r="D196" s="853">
        <f>IF((E51+E53)&gt;0,SUM(D197:D200),0)</f>
        <v>0</v>
      </c>
      <c r="E196" s="2256"/>
      <c r="F196" s="217"/>
    </row>
    <row r="197" spans="1:6" s="180" customFormat="1" ht="15.75" customHeight="1" x14ac:dyDescent="0.2">
      <c r="A197" s="2051"/>
      <c r="B197" s="2241" t="s">
        <v>543</v>
      </c>
      <c r="C197" s="2242"/>
      <c r="D197" s="227"/>
      <c r="E197" s="2256"/>
      <c r="F197" s="217"/>
    </row>
    <row r="198" spans="1:6" s="180" customFormat="1" ht="15.75" customHeight="1" x14ac:dyDescent="0.2">
      <c r="A198" s="2051"/>
      <c r="B198" s="2241" t="s">
        <v>487</v>
      </c>
      <c r="C198" s="2242"/>
      <c r="D198" s="227"/>
      <c r="E198" s="2256"/>
      <c r="F198" s="217"/>
    </row>
    <row r="199" spans="1:6" s="180" customFormat="1" ht="15.75" customHeight="1" x14ac:dyDescent="0.2">
      <c r="A199" s="2051"/>
      <c r="B199" s="1147" t="s">
        <v>572</v>
      </c>
      <c r="C199" s="1184"/>
      <c r="D199" s="853">
        <f>IF(C199&gt;0,(C199*(1-0.1056)),0)</f>
        <v>0</v>
      </c>
      <c r="E199" s="2256"/>
      <c r="F199" s="217"/>
    </row>
    <row r="200" spans="1:6" s="180" customFormat="1" ht="15.75" customHeight="1" thickBot="1" x14ac:dyDescent="0.25">
      <c r="A200" s="2051"/>
      <c r="B200" s="2241" t="s">
        <v>438</v>
      </c>
      <c r="C200" s="2242"/>
      <c r="D200" s="227"/>
      <c r="E200" s="2257"/>
      <c r="F200" s="217"/>
    </row>
    <row r="201" spans="1:6" s="180" customFormat="1" ht="15.75" customHeight="1" thickBot="1" x14ac:dyDescent="0.3">
      <c r="A201" s="2051"/>
      <c r="B201" s="2198" t="s">
        <v>798</v>
      </c>
      <c r="C201" s="2199"/>
      <c r="D201" s="2243"/>
      <c r="E201" s="854">
        <f>+D191+D198</f>
        <v>0</v>
      </c>
      <c r="F201" s="217"/>
    </row>
    <row r="202" spans="1:6" s="180" customFormat="1" ht="16.5" customHeight="1" thickBot="1" x14ac:dyDescent="0.3">
      <c r="A202" s="2051"/>
      <c r="B202" s="2198" t="s">
        <v>673</v>
      </c>
      <c r="C202" s="2199"/>
      <c r="D202" s="2243"/>
      <c r="E202" s="252">
        <f>+E189+E166+E167+E159+E153+E135+E145+E172+E180</f>
        <v>0</v>
      </c>
      <c r="F202" s="217"/>
    </row>
    <row r="203" spans="1:6" s="180" customFormat="1" ht="12.75" customHeight="1" thickBot="1" x14ac:dyDescent="0.25">
      <c r="A203" s="2051"/>
      <c r="B203" s="1795"/>
      <c r="C203" s="1795"/>
      <c r="D203" s="1795"/>
      <c r="E203" s="1795"/>
      <c r="F203" s="217"/>
    </row>
    <row r="204" spans="1:6" ht="18" customHeight="1" x14ac:dyDescent="0.25">
      <c r="A204" s="2051"/>
      <c r="B204" s="2250" t="s">
        <v>537</v>
      </c>
      <c r="C204" s="2251"/>
      <c r="D204" s="2251"/>
      <c r="E204" s="2252"/>
      <c r="F204" s="205"/>
    </row>
    <row r="205" spans="1:6" ht="18.75" customHeight="1" x14ac:dyDescent="0.2">
      <c r="A205" s="2051"/>
      <c r="B205" s="1942" t="s">
        <v>141</v>
      </c>
      <c r="C205" s="1943"/>
      <c r="D205" s="1943"/>
      <c r="E205" s="228"/>
      <c r="F205" s="205"/>
    </row>
    <row r="206" spans="1:6" ht="18.75" customHeight="1" x14ac:dyDescent="0.2">
      <c r="A206" s="2051"/>
      <c r="B206" s="2220" t="s">
        <v>541</v>
      </c>
      <c r="C206" s="817"/>
      <c r="D206" s="818"/>
      <c r="E206" s="1946">
        <f>SUM(C206:D207)</f>
        <v>0</v>
      </c>
      <c r="F206" s="205"/>
    </row>
    <row r="207" spans="1:6" ht="24" customHeight="1" x14ac:dyDescent="0.2">
      <c r="A207" s="2051"/>
      <c r="B207" s="1954"/>
      <c r="C207" s="819"/>
      <c r="D207" s="820"/>
      <c r="E207" s="1947"/>
      <c r="F207" s="205"/>
    </row>
    <row r="208" spans="1:6" ht="23.25" customHeight="1" x14ac:dyDescent="0.2">
      <c r="A208" s="2051"/>
      <c r="B208" s="734" t="s">
        <v>542</v>
      </c>
      <c r="C208" s="819"/>
      <c r="D208" s="820"/>
      <c r="E208" s="737">
        <f>SUM(C208:D208)</f>
        <v>0</v>
      </c>
      <c r="F208" s="205"/>
    </row>
    <row r="209" spans="1:6" ht="18.75" customHeight="1" x14ac:dyDescent="0.2">
      <c r="A209" s="2051"/>
      <c r="B209" s="834" t="s">
        <v>545</v>
      </c>
      <c r="C209" s="819"/>
      <c r="D209" s="820"/>
      <c r="E209" s="1142">
        <f t="shared" ref="E209:E212" si="1">SUM(C209:D209)</f>
        <v>0</v>
      </c>
      <c r="F209" s="205"/>
    </row>
    <row r="210" spans="1:6" ht="18.75" customHeight="1" x14ac:dyDescent="0.2">
      <c r="A210" s="2051"/>
      <c r="B210" s="587" t="s">
        <v>544</v>
      </c>
      <c r="C210" s="819"/>
      <c r="D210" s="820"/>
      <c r="E210" s="1142">
        <f t="shared" si="1"/>
        <v>0</v>
      </c>
      <c r="F210" s="205"/>
    </row>
    <row r="211" spans="1:6" ht="18.75" customHeight="1" x14ac:dyDescent="0.2">
      <c r="A211" s="2051"/>
      <c r="B211" s="587" t="s">
        <v>487</v>
      </c>
      <c r="C211" s="819"/>
      <c r="D211" s="820"/>
      <c r="E211" s="1142">
        <f t="shared" si="1"/>
        <v>0</v>
      </c>
      <c r="F211" s="205"/>
    </row>
    <row r="212" spans="1:6" ht="18.75" customHeight="1" x14ac:dyDescent="0.2">
      <c r="A212" s="2051"/>
      <c r="B212" s="587" t="s">
        <v>546</v>
      </c>
      <c r="C212" s="819"/>
      <c r="D212" s="820"/>
      <c r="E212" s="1142">
        <f t="shared" si="1"/>
        <v>0</v>
      </c>
      <c r="F212" s="205"/>
    </row>
    <row r="213" spans="1:6" ht="20.25" customHeight="1" thickBot="1" x14ac:dyDescent="0.25">
      <c r="A213" s="2051"/>
      <c r="B213" s="852" t="s">
        <v>438</v>
      </c>
      <c r="C213" s="1145"/>
      <c r="D213" s="449"/>
      <c r="E213" s="738">
        <f>SUM(C213:D213)</f>
        <v>0</v>
      </c>
      <c r="F213" s="205"/>
    </row>
    <row r="214" spans="1:6" ht="20.25" customHeight="1" x14ac:dyDescent="0.25">
      <c r="A214" s="2051"/>
      <c r="B214" s="2250" t="s">
        <v>540</v>
      </c>
      <c r="C214" s="2251"/>
      <c r="D214" s="2251"/>
      <c r="E214" s="2252"/>
      <c r="F214" s="205"/>
    </row>
    <row r="215" spans="1:6" ht="20.25" customHeight="1" x14ac:dyDescent="0.2">
      <c r="A215" s="2051"/>
      <c r="B215" s="1957" t="s">
        <v>69</v>
      </c>
      <c r="C215" s="1958"/>
      <c r="D215" s="1959"/>
      <c r="E215" s="228"/>
      <c r="F215" s="205"/>
    </row>
    <row r="216" spans="1:6" ht="20.25" customHeight="1" x14ac:dyDescent="0.2">
      <c r="A216" s="2051"/>
      <c r="B216" s="1957" t="s">
        <v>62</v>
      </c>
      <c r="C216" s="1958"/>
      <c r="D216" s="1959"/>
      <c r="E216" s="228"/>
      <c r="F216" s="205"/>
    </row>
    <row r="217" spans="1:6" ht="20.25" customHeight="1" x14ac:dyDescent="0.2">
      <c r="A217" s="2051"/>
      <c r="B217" s="1957" t="s">
        <v>63</v>
      </c>
      <c r="C217" s="1958"/>
      <c r="D217" s="1959"/>
      <c r="E217" s="228"/>
      <c r="F217" s="205"/>
    </row>
    <row r="218" spans="1:6" ht="27" customHeight="1" x14ac:dyDescent="0.2">
      <c r="A218" s="2051"/>
      <c r="B218" s="2253" t="s">
        <v>644</v>
      </c>
      <c r="C218" s="823">
        <v>0</v>
      </c>
      <c r="D218" s="835">
        <f>IF(C218&gt;0,(C218*(1-0.3757)),0)</f>
        <v>0</v>
      </c>
      <c r="E218" s="708">
        <f>IF(E5="N",D218,C218)</f>
        <v>0</v>
      </c>
      <c r="F218" s="205"/>
    </row>
    <row r="219" spans="1:6" ht="25.5" customHeight="1" x14ac:dyDescent="0.2">
      <c r="A219" s="2051"/>
      <c r="B219" s="2254"/>
      <c r="C219" s="1146"/>
      <c r="D219" s="835">
        <f>IF(C219&gt;0,(C219*(1-0.3757)),IF(C219&gt;0,(C219*(1-0.3757)),0))</f>
        <v>0</v>
      </c>
      <c r="E219" s="708">
        <f>IF(E5="N",D219,C219)</f>
        <v>0</v>
      </c>
      <c r="F219" s="205"/>
    </row>
    <row r="220" spans="1:6" ht="25.5" customHeight="1" x14ac:dyDescent="0.2">
      <c r="A220" s="2051"/>
      <c r="B220" s="1953" t="s">
        <v>14</v>
      </c>
      <c r="C220" s="817"/>
      <c r="D220" s="1107"/>
      <c r="E220" s="1955">
        <f>IF((C220+C221+D221+D220)&lt;=(1200*C23),(+C220+C221+D221+D220),(1200*C23))</f>
        <v>0</v>
      </c>
      <c r="F220" s="205"/>
    </row>
    <row r="221" spans="1:6" ht="26.25" customHeight="1" x14ac:dyDescent="0.2">
      <c r="A221" s="2051"/>
      <c r="B221" s="1954"/>
      <c r="C221" s="819"/>
      <c r="D221" s="820"/>
      <c r="E221" s="1956"/>
      <c r="F221" s="205"/>
    </row>
    <row r="222" spans="1:6" ht="33" customHeight="1" x14ac:dyDescent="0.25">
      <c r="A222" s="2051"/>
      <c r="B222" s="661" t="s">
        <v>49</v>
      </c>
      <c r="C222" s="2247" t="s">
        <v>52</v>
      </c>
      <c r="D222" s="2247"/>
      <c r="E222" s="842"/>
      <c r="F222" s="205"/>
    </row>
    <row r="223" spans="1:6" ht="45" customHeight="1" x14ac:dyDescent="0.2">
      <c r="A223" s="2051"/>
      <c r="B223" s="1952" t="s">
        <v>192</v>
      </c>
      <c r="C223" s="817">
        <v>378596</v>
      </c>
      <c r="D223" s="1107"/>
      <c r="E223" s="1946">
        <f>(C223+C224+D224+D223)*0.5</f>
        <v>189298</v>
      </c>
      <c r="F223" s="205"/>
    </row>
    <row r="224" spans="1:6" ht="27.75" customHeight="1" x14ac:dyDescent="0.2">
      <c r="A224" s="2051"/>
      <c r="B224" s="1952"/>
      <c r="C224" s="819"/>
      <c r="D224" s="820"/>
      <c r="E224" s="1947"/>
      <c r="F224" s="205"/>
    </row>
    <row r="225" spans="1:6" ht="27" customHeight="1" x14ac:dyDescent="0.2">
      <c r="A225" s="2051"/>
      <c r="B225" s="2218" t="s">
        <v>48</v>
      </c>
      <c r="C225" s="2219"/>
      <c r="D225" s="836">
        <f>IF(E225&lt;(192*C23),E225,192*C23)</f>
        <v>0</v>
      </c>
      <c r="E225" s="336"/>
      <c r="F225" s="205"/>
    </row>
    <row r="226" spans="1:6" ht="27" customHeight="1" x14ac:dyDescent="0.2">
      <c r="A226" s="2051"/>
      <c r="B226" s="1949" t="s">
        <v>467</v>
      </c>
      <c r="C226" s="1950"/>
      <c r="D226" s="1951"/>
      <c r="E226" s="837"/>
      <c r="F226" s="205"/>
    </row>
    <row r="227" spans="1:6" ht="27" customHeight="1" thickBot="1" x14ac:dyDescent="0.25">
      <c r="A227" s="2051"/>
      <c r="B227" s="2244" t="s">
        <v>468</v>
      </c>
      <c r="C227" s="2245"/>
      <c r="D227" s="2246"/>
      <c r="E227" s="588"/>
      <c r="F227" s="205"/>
    </row>
    <row r="228" spans="1:6" ht="22.5" customHeight="1" thickBot="1" x14ac:dyDescent="0.3">
      <c r="A228" s="2051"/>
      <c r="B228" s="1965" t="s">
        <v>15</v>
      </c>
      <c r="C228" s="1966"/>
      <c r="D228" s="1967"/>
      <c r="E228" s="518">
        <f>SUM(E205:E227)</f>
        <v>189298</v>
      </c>
      <c r="F228" s="205"/>
    </row>
    <row r="229" spans="1:6" ht="22.5" customHeight="1" thickBot="1" x14ac:dyDescent="0.3">
      <c r="A229" s="2051"/>
      <c r="B229" s="2198" t="s">
        <v>373</v>
      </c>
      <c r="C229" s="2199"/>
      <c r="D229" s="2199"/>
      <c r="E229" s="261">
        <f>+E202+E228</f>
        <v>189298</v>
      </c>
      <c r="F229" s="205"/>
    </row>
    <row r="230" spans="1:6" x14ac:dyDescent="0.2">
      <c r="A230" s="2051"/>
      <c r="B230" s="216"/>
      <c r="C230" s="216"/>
      <c r="D230" s="216"/>
      <c r="E230" s="216"/>
      <c r="F230" s="205"/>
    </row>
    <row r="231" spans="1:6" x14ac:dyDescent="0.2">
      <c r="A231" s="2051"/>
      <c r="B231" s="216"/>
      <c r="C231" s="216"/>
      <c r="D231" s="216"/>
      <c r="E231" s="216"/>
      <c r="F231" s="205"/>
    </row>
    <row r="232" spans="1:6" x14ac:dyDescent="0.2">
      <c r="A232" s="2051"/>
      <c r="B232" s="216"/>
      <c r="C232" s="216"/>
      <c r="D232" s="216"/>
      <c r="E232" s="216"/>
      <c r="F232" s="205"/>
    </row>
    <row r="233" spans="1:6" ht="13.5" thickBot="1" x14ac:dyDescent="0.25">
      <c r="A233" s="2051"/>
      <c r="B233" s="216"/>
      <c r="C233" s="216"/>
      <c r="D233" s="216"/>
      <c r="E233" s="216"/>
      <c r="F233" s="205"/>
    </row>
    <row r="234" spans="1:6" hidden="1" x14ac:dyDescent="0.2">
      <c r="A234" s="2051"/>
      <c r="B234" s="216"/>
      <c r="C234" s="216"/>
      <c r="D234" s="216"/>
      <c r="E234" s="216"/>
      <c r="F234" s="205"/>
    </row>
    <row r="235" spans="1:6" hidden="1" x14ac:dyDescent="0.2">
      <c r="A235" s="2051"/>
      <c r="B235" s="216"/>
      <c r="C235" s="216"/>
      <c r="D235" s="216"/>
      <c r="E235" s="216"/>
      <c r="F235" s="205"/>
    </row>
    <row r="236" spans="1:6" hidden="1" x14ac:dyDescent="0.2">
      <c r="A236" s="2051"/>
      <c r="B236" s="216"/>
      <c r="C236" s="216"/>
      <c r="D236" s="216"/>
      <c r="E236" s="216"/>
      <c r="F236" s="205"/>
    </row>
    <row r="237" spans="1:6" ht="13.5" hidden="1" thickBot="1" x14ac:dyDescent="0.25">
      <c r="A237" s="2051"/>
      <c r="B237" s="216"/>
      <c r="C237" s="216"/>
      <c r="D237" s="216"/>
      <c r="E237" s="216"/>
      <c r="F237" s="205"/>
    </row>
    <row r="238" spans="1:6" hidden="1" x14ac:dyDescent="0.2">
      <c r="A238" s="2051"/>
      <c r="B238" s="216"/>
      <c r="C238" s="216"/>
      <c r="D238" s="216"/>
      <c r="E238" s="216"/>
      <c r="F238" s="205"/>
    </row>
    <row r="239" spans="1:6" hidden="1" x14ac:dyDescent="0.2">
      <c r="A239" s="2051"/>
      <c r="B239" s="216"/>
      <c r="C239" s="216"/>
      <c r="D239" s="216"/>
      <c r="E239" s="216"/>
      <c r="F239" s="205"/>
    </row>
    <row r="240" spans="1:6" hidden="1" x14ac:dyDescent="0.2">
      <c r="A240" s="2051"/>
      <c r="B240" s="216"/>
      <c r="C240" s="216"/>
      <c r="D240" s="216"/>
      <c r="E240" s="216"/>
      <c r="F240" s="205"/>
    </row>
    <row r="241" spans="1:6" hidden="1" x14ac:dyDescent="0.2">
      <c r="A241" s="2051"/>
      <c r="B241" s="216"/>
      <c r="C241" s="216"/>
      <c r="D241" s="216"/>
      <c r="E241" s="216"/>
      <c r="F241" s="205"/>
    </row>
    <row r="242" spans="1:6" hidden="1" x14ac:dyDescent="0.2">
      <c r="A242" s="2051"/>
      <c r="B242" s="216"/>
      <c r="C242" s="216"/>
      <c r="D242" s="216"/>
      <c r="E242" s="216"/>
      <c r="F242" s="205"/>
    </row>
    <row r="243" spans="1:6" hidden="1" x14ac:dyDescent="0.2">
      <c r="A243" s="2051"/>
      <c r="B243" s="216"/>
      <c r="C243" s="216"/>
      <c r="D243" s="216"/>
      <c r="E243" s="216"/>
      <c r="F243" s="205"/>
    </row>
    <row r="244" spans="1:6" hidden="1" x14ac:dyDescent="0.2">
      <c r="A244" s="2051"/>
      <c r="B244" s="216"/>
      <c r="C244" s="216"/>
      <c r="D244" s="216"/>
      <c r="E244" s="216"/>
      <c r="F244" s="205"/>
    </row>
    <row r="245" spans="1:6" hidden="1" x14ac:dyDescent="0.2">
      <c r="A245" s="2051"/>
      <c r="B245" s="216"/>
      <c r="C245" s="216"/>
      <c r="D245" s="216"/>
      <c r="E245" s="216"/>
      <c r="F245" s="205"/>
    </row>
    <row r="246" spans="1:6" hidden="1" x14ac:dyDescent="0.2">
      <c r="A246" s="2051"/>
      <c r="B246" s="216"/>
      <c r="C246" s="216"/>
      <c r="D246" s="216"/>
      <c r="E246" s="216"/>
      <c r="F246" s="205"/>
    </row>
    <row r="247" spans="1:6" hidden="1" x14ac:dyDescent="0.2">
      <c r="A247" s="2051"/>
      <c r="B247" s="216"/>
      <c r="C247" s="216"/>
      <c r="D247" s="216"/>
      <c r="E247" s="216"/>
      <c r="F247" s="205"/>
    </row>
    <row r="248" spans="1:6" hidden="1" x14ac:dyDescent="0.2">
      <c r="A248" s="2051"/>
      <c r="B248" s="216"/>
      <c r="C248" s="216"/>
      <c r="D248" s="216"/>
      <c r="E248" s="216"/>
      <c r="F248" s="205"/>
    </row>
    <row r="249" spans="1:6" hidden="1" x14ac:dyDescent="0.2">
      <c r="A249" s="2051"/>
      <c r="B249" s="216"/>
      <c r="C249" s="216"/>
      <c r="D249" s="216"/>
      <c r="E249" s="216"/>
      <c r="F249" s="205"/>
    </row>
    <row r="250" spans="1:6" hidden="1" x14ac:dyDescent="0.2">
      <c r="A250" s="2051"/>
      <c r="B250" s="216"/>
      <c r="C250" s="216"/>
      <c r="D250" s="216"/>
      <c r="E250" s="216"/>
      <c r="F250" s="205"/>
    </row>
    <row r="251" spans="1:6" hidden="1" x14ac:dyDescent="0.2">
      <c r="A251" s="2051"/>
      <c r="B251" s="216"/>
      <c r="C251" s="216"/>
      <c r="D251" s="216"/>
      <c r="E251" s="216"/>
      <c r="F251" s="205"/>
    </row>
    <row r="252" spans="1:6" ht="13.5" hidden="1" thickBot="1" x14ac:dyDescent="0.25">
      <c r="A252" s="2051"/>
      <c r="B252" s="216"/>
      <c r="C252" s="216"/>
      <c r="D252" s="216"/>
      <c r="E252" s="216"/>
      <c r="F252" s="205"/>
    </row>
    <row r="253" spans="1:6" ht="16.5" customHeight="1" x14ac:dyDescent="0.25">
      <c r="A253" s="2051"/>
      <c r="B253" s="2059" t="s">
        <v>162</v>
      </c>
      <c r="C253" s="2060"/>
      <c r="D253" s="2060"/>
      <c r="E253" s="2061"/>
      <c r="F253" s="205"/>
    </row>
    <row r="254" spans="1:6" ht="19.5" customHeight="1" x14ac:dyDescent="0.25">
      <c r="A254" s="2051"/>
      <c r="B254" s="2104" t="s">
        <v>436</v>
      </c>
      <c r="C254" s="2105"/>
      <c r="D254" s="2105"/>
      <c r="E254" s="2106"/>
      <c r="F254" s="205"/>
    </row>
    <row r="255" spans="1:6" ht="18.75" customHeight="1" x14ac:dyDescent="0.2">
      <c r="A255" s="2051"/>
      <c r="B255" s="1964" t="s">
        <v>469</v>
      </c>
      <c r="C255" s="1852"/>
      <c r="D255" s="813"/>
      <c r="E255" s="2058">
        <f>IF(SUM(D255:D261)+SUM(C257:C261)&lt;'DEPURACION ORDINARIO 2017'!C62,SUM(D255:D261)+SUM(C257:C261),'DEPURACION ORDINARIO 2017'!C62)</f>
        <v>0</v>
      </c>
      <c r="F255" s="205"/>
    </row>
    <row r="256" spans="1:6" ht="24" customHeight="1" x14ac:dyDescent="0.2">
      <c r="A256" s="2051"/>
      <c r="B256" s="1962" t="s">
        <v>470</v>
      </c>
      <c r="C256" s="1963"/>
      <c r="D256" s="813"/>
      <c r="E256" s="2058"/>
      <c r="F256" s="205"/>
    </row>
    <row r="257" spans="1:8" ht="24" customHeight="1" x14ac:dyDescent="0.2">
      <c r="A257" s="2051"/>
      <c r="B257" s="2225" t="s">
        <v>17</v>
      </c>
      <c r="C257" s="428"/>
      <c r="D257" s="428"/>
      <c r="E257" s="2058"/>
      <c r="F257" s="205"/>
    </row>
    <row r="258" spans="1:8" ht="23.25" customHeight="1" x14ac:dyDescent="0.2">
      <c r="A258" s="2051"/>
      <c r="B258" s="2226"/>
      <c r="C258" s="428"/>
      <c r="D258" s="428"/>
      <c r="E258" s="2058"/>
      <c r="F258" s="205"/>
    </row>
    <row r="259" spans="1:8" ht="25.5" customHeight="1" x14ac:dyDescent="0.2">
      <c r="A259" s="2051"/>
      <c r="B259" s="435" t="s">
        <v>439</v>
      </c>
      <c r="C259" s="450"/>
      <c r="D259" s="702"/>
      <c r="E259" s="2058"/>
      <c r="F259" s="205"/>
      <c r="H259" s="700">
        <f>IF((((E50+E52)/(E46+E95+E55-SUM(E60:E68))-SUM(E73:E77)))&gt;(0),((E50+E52)/(E46+E95+E55-SUM(E60:E68))-SUM(E73:E77)),(0))</f>
        <v>0</v>
      </c>
    </row>
    <row r="260" spans="1:8" ht="22.5" customHeight="1" x14ac:dyDescent="0.2">
      <c r="A260" s="2051"/>
      <c r="B260" s="2223" t="s">
        <v>34</v>
      </c>
      <c r="C260" s="428"/>
      <c r="D260" s="428"/>
      <c r="E260" s="2058"/>
      <c r="F260" s="205"/>
    </row>
    <row r="261" spans="1:8" ht="23.25" customHeight="1" x14ac:dyDescent="0.2">
      <c r="A261" s="2051"/>
      <c r="B261" s="2224"/>
      <c r="C261" s="428"/>
      <c r="D261" s="428"/>
      <c r="E261" s="1122"/>
      <c r="F261" s="205"/>
    </row>
    <row r="262" spans="1:8" ht="24.75" customHeight="1" x14ac:dyDescent="0.2">
      <c r="A262" s="2051"/>
      <c r="B262" s="2178" t="s">
        <v>102</v>
      </c>
      <c r="C262" s="2179"/>
      <c r="D262" s="838">
        <f>IF(B35="S",E28*50%,IF(C35="S",E28*25%,IF(C36="S",E28*50%,0)))</f>
        <v>0</v>
      </c>
      <c r="E262" s="253">
        <f>IF(E34&lt;=D262,E34,D262)</f>
        <v>0</v>
      </c>
      <c r="F262" s="205"/>
    </row>
    <row r="263" spans="1:8" ht="18.75" customHeight="1" x14ac:dyDescent="0.2">
      <c r="A263" s="2051"/>
      <c r="B263" s="2033" t="s">
        <v>328</v>
      </c>
      <c r="C263" s="2034"/>
      <c r="D263" s="2034"/>
      <c r="E263" s="253">
        <f>IF((E81&gt;0),E81,0)</f>
        <v>0</v>
      </c>
      <c r="F263" s="205"/>
    </row>
    <row r="264" spans="1:8" ht="15.75" customHeight="1" x14ac:dyDescent="0.2">
      <c r="A264" s="2051"/>
      <c r="B264" s="1960" t="s">
        <v>26</v>
      </c>
      <c r="C264" s="1961"/>
      <c r="D264" s="1961"/>
      <c r="E264" s="253">
        <f>IF(E38&lt;=$E$22,E38,$E$22)</f>
        <v>0</v>
      </c>
      <c r="F264" s="205"/>
    </row>
    <row r="265" spans="1:8" ht="15.75" customHeight="1" x14ac:dyDescent="0.2">
      <c r="A265" s="2051"/>
      <c r="B265" s="2221" t="s">
        <v>104</v>
      </c>
      <c r="C265" s="2222"/>
      <c r="D265" s="2222"/>
      <c r="E265" s="253">
        <f>+E85</f>
        <v>0</v>
      </c>
      <c r="F265" s="205"/>
    </row>
    <row r="266" spans="1:8" ht="15.75" customHeight="1" x14ac:dyDescent="0.2">
      <c r="A266" s="2051"/>
      <c r="B266" s="1960" t="s">
        <v>27</v>
      </c>
      <c r="C266" s="1961"/>
      <c r="D266" s="1961"/>
      <c r="E266" s="253">
        <f>IF(E39&lt;=$E$22,E39,$E$22)</f>
        <v>0</v>
      </c>
      <c r="F266" s="205"/>
    </row>
    <row r="267" spans="1:8" ht="15.75" customHeight="1" x14ac:dyDescent="0.2">
      <c r="A267" s="2051"/>
      <c r="B267" s="1960" t="s">
        <v>28</v>
      </c>
      <c r="C267" s="1961"/>
      <c r="D267" s="1961"/>
      <c r="E267" s="253">
        <f>IF(E40&lt;=$E$22,E40,$E$22)</f>
        <v>0</v>
      </c>
      <c r="F267" s="205"/>
    </row>
    <row r="268" spans="1:8" ht="17.25" customHeight="1" x14ac:dyDescent="0.2">
      <c r="A268" s="2051"/>
      <c r="B268" s="1960" t="s">
        <v>463</v>
      </c>
      <c r="C268" s="1961"/>
      <c r="D268" s="1961"/>
      <c r="E268" s="253">
        <f>+E42*'DEPURACION ORDINARIO 2017'!O42</f>
        <v>9439563</v>
      </c>
      <c r="F268" s="205"/>
    </row>
    <row r="269" spans="1:8" ht="15.75" customHeight="1" x14ac:dyDescent="0.2">
      <c r="A269" s="2051"/>
      <c r="B269" s="1960" t="s">
        <v>425</v>
      </c>
      <c r="C269" s="1961"/>
      <c r="D269" s="1961"/>
      <c r="E269" s="253">
        <f>+E44*'DEPURACION ORDINARIO 2017'!O42</f>
        <v>0</v>
      </c>
      <c r="F269" s="205"/>
    </row>
    <row r="270" spans="1:8" ht="23.25" customHeight="1" x14ac:dyDescent="0.2">
      <c r="A270" s="2051"/>
      <c r="B270" s="2221" t="s">
        <v>189</v>
      </c>
      <c r="C270" s="2222"/>
      <c r="D270" s="2222"/>
      <c r="E270" s="253">
        <f>IF(E43&lt;=(12000*E23),E43,IF(E43&gt;(12000*E23),12000*E23,0))</f>
        <v>0</v>
      </c>
      <c r="F270" s="205"/>
    </row>
    <row r="271" spans="1:8" ht="17.25" customHeight="1" x14ac:dyDescent="0.2">
      <c r="A271" s="2051"/>
      <c r="B271" s="2209" t="s">
        <v>188</v>
      </c>
      <c r="C271" s="2210"/>
      <c r="D271" s="2210"/>
      <c r="E271" s="253">
        <f>+'DEPURACION ORDINARIO 2017'!K35</f>
        <v>26474111</v>
      </c>
      <c r="F271" s="205"/>
    </row>
    <row r="272" spans="1:8" ht="17.25" customHeight="1" x14ac:dyDescent="0.2">
      <c r="A272" s="2051"/>
      <c r="B272" s="2209" t="s">
        <v>466</v>
      </c>
      <c r="C272" s="2210"/>
      <c r="D272" s="2210"/>
      <c r="E272" s="253"/>
      <c r="F272" s="205"/>
      <c r="H272" s="153" t="b">
        <f>IF(E103="S",(E55-E227-D256))</f>
        <v>0</v>
      </c>
    </row>
    <row r="273" spans="1:6" ht="24.75" customHeight="1" x14ac:dyDescent="0.2">
      <c r="A273" s="2051"/>
      <c r="B273" s="2078" t="s">
        <v>330</v>
      </c>
      <c r="C273" s="2123"/>
      <c r="D273" s="2123"/>
      <c r="E273" s="253">
        <f>IF((E33)&gt;0,E33,0)</f>
        <v>0</v>
      </c>
      <c r="F273" s="205"/>
    </row>
    <row r="274" spans="1:6" ht="19.5" customHeight="1" x14ac:dyDescent="0.2">
      <c r="A274" s="2051"/>
      <c r="B274" s="1931"/>
      <c r="C274" s="1932"/>
      <c r="D274" s="1933"/>
      <c r="E274" s="255"/>
      <c r="F274" s="205"/>
    </row>
    <row r="275" spans="1:6" ht="21.75" customHeight="1" thickBot="1" x14ac:dyDescent="0.25">
      <c r="A275" s="2051"/>
      <c r="B275" s="2203" t="s">
        <v>103</v>
      </c>
      <c r="C275" s="2204"/>
      <c r="D275" s="2205"/>
      <c r="E275" s="254">
        <f>SUM(E255:E274)</f>
        <v>35913674</v>
      </c>
      <c r="F275" s="205"/>
    </row>
    <row r="276" spans="1:6" ht="16.5" customHeight="1" x14ac:dyDescent="0.25">
      <c r="A276" s="2051"/>
      <c r="B276" s="1937" t="s">
        <v>437</v>
      </c>
      <c r="C276" s="1938"/>
      <c r="D276" s="1938"/>
      <c r="E276" s="1939"/>
      <c r="F276" s="205"/>
    </row>
    <row r="277" spans="1:6" ht="21.75" customHeight="1" x14ac:dyDescent="0.2">
      <c r="A277" s="2051"/>
      <c r="B277" s="2094" t="s">
        <v>74</v>
      </c>
      <c r="C277" s="2095"/>
      <c r="D277" s="2095"/>
      <c r="E277" s="253">
        <f>IF(B66&lt;=(7700*C23),C66,IF(B66&gt;(7700*C23),((7700*C23)/B66)*C66,0))</f>
        <v>0</v>
      </c>
      <c r="F277" s="205"/>
    </row>
    <row r="278" spans="1:6" ht="21.75" customHeight="1" x14ac:dyDescent="0.2">
      <c r="A278" s="2051"/>
      <c r="B278" s="1978" t="s">
        <v>75</v>
      </c>
      <c r="C278" s="1979"/>
      <c r="D278" s="1979"/>
      <c r="E278" s="255">
        <f>IF(B68&lt;=(7700*C23),C68,IF(B68&gt;(7700*C23),((7700*C23)/B68)*C68,0))</f>
        <v>0</v>
      </c>
      <c r="F278" s="205"/>
    </row>
    <row r="279" spans="1:6" ht="18" customHeight="1" x14ac:dyDescent="0.2">
      <c r="A279" s="2051"/>
      <c r="B279" s="1984" t="s">
        <v>76</v>
      </c>
      <c r="C279" s="1985"/>
      <c r="D279" s="1985"/>
      <c r="E279" s="255">
        <f>IF(E73&lt;=3490*$C$23,E73,3490*C23)</f>
        <v>0</v>
      </c>
      <c r="F279" s="205"/>
    </row>
    <row r="280" spans="1:6" ht="18" customHeight="1" x14ac:dyDescent="0.2">
      <c r="A280" s="2051"/>
      <c r="B280" s="1984" t="s">
        <v>618</v>
      </c>
      <c r="C280" s="1985"/>
      <c r="D280" s="1985"/>
      <c r="E280" s="255">
        <f>IF(E74&lt;=3490*$C$23,E74,3490*$C$23)</f>
        <v>0</v>
      </c>
      <c r="F280" s="205"/>
    </row>
    <row r="281" spans="1:6" ht="15.75" customHeight="1" x14ac:dyDescent="0.2">
      <c r="A281" s="2051"/>
      <c r="B281" s="2227" t="s">
        <v>619</v>
      </c>
      <c r="C281" s="2228"/>
      <c r="D281" s="839">
        <f>IF(E75&gt;0,E75*20%,0)</f>
        <v>0</v>
      </c>
      <c r="E281" s="2231">
        <f>MIN(D281:D282)</f>
        <v>0</v>
      </c>
      <c r="F281" s="205"/>
    </row>
    <row r="282" spans="1:6" ht="14.25" customHeight="1" x14ac:dyDescent="0.2">
      <c r="A282" s="2051"/>
      <c r="B282" s="2227"/>
      <c r="C282" s="2228"/>
      <c r="D282" s="662">
        <f>IF(E75&gt;0,2290*$C$23,0)</f>
        <v>0</v>
      </c>
      <c r="E282" s="2231"/>
      <c r="F282" s="205"/>
    </row>
    <row r="283" spans="1:6" ht="18" customHeight="1" x14ac:dyDescent="0.2">
      <c r="A283" s="2051"/>
      <c r="B283" s="2227" t="s">
        <v>77</v>
      </c>
      <c r="C283" s="2228"/>
      <c r="D283" s="840">
        <f>IF(E76&gt;0,E76*20%,0)</f>
        <v>0</v>
      </c>
      <c r="E283" s="2231">
        <f>MIN(D283:D284)</f>
        <v>0</v>
      </c>
      <c r="F283" s="205"/>
    </row>
    <row r="284" spans="1:6" ht="18" customHeight="1" thickBot="1" x14ac:dyDescent="0.25">
      <c r="A284" s="2051"/>
      <c r="B284" s="2229"/>
      <c r="C284" s="2230"/>
      <c r="D284" s="663">
        <f>IF(E76&gt;0,2290*$C$23,0)</f>
        <v>0</v>
      </c>
      <c r="E284" s="2232"/>
      <c r="F284" s="205"/>
    </row>
    <row r="285" spans="1:6" ht="18.75" customHeight="1" thickBot="1" x14ac:dyDescent="0.25">
      <c r="A285" s="2051"/>
      <c r="B285" s="2203" t="s">
        <v>100</v>
      </c>
      <c r="C285" s="2204"/>
      <c r="D285" s="2205"/>
      <c r="E285" s="254">
        <f>SUM(E277:E283)</f>
        <v>0</v>
      </c>
      <c r="F285" s="205"/>
    </row>
    <row r="286" spans="1:6" ht="9.75" customHeight="1" thickBot="1" x14ac:dyDescent="0.25">
      <c r="A286" s="2051"/>
      <c r="B286" s="216"/>
      <c r="C286" s="216"/>
      <c r="D286" s="216"/>
      <c r="E286" s="216"/>
      <c r="F286" s="205"/>
    </row>
    <row r="287" spans="1:6" ht="14.25" customHeight="1" thickBot="1" x14ac:dyDescent="0.3">
      <c r="A287" s="2051"/>
      <c r="B287" s="2059" t="s">
        <v>637</v>
      </c>
      <c r="C287" s="2060"/>
      <c r="D287" s="2060"/>
      <c r="E287" s="2061"/>
      <c r="F287" s="205"/>
    </row>
    <row r="288" spans="1:6" ht="14.25" customHeight="1" x14ac:dyDescent="0.2">
      <c r="A288" s="2051"/>
      <c r="B288" s="2216" t="s">
        <v>724</v>
      </c>
      <c r="C288" s="2217"/>
      <c r="D288" s="2217"/>
      <c r="E288" s="824"/>
      <c r="F288" s="205"/>
    </row>
    <row r="289" spans="1:6" ht="14.25" customHeight="1" x14ac:dyDescent="0.2">
      <c r="A289" s="2051"/>
      <c r="B289" s="2233" t="s">
        <v>725</v>
      </c>
      <c r="C289" s="2234"/>
      <c r="D289" s="2234"/>
      <c r="E289" s="967"/>
      <c r="F289" s="205"/>
    </row>
    <row r="290" spans="1:6" ht="14.25" customHeight="1" x14ac:dyDescent="0.2">
      <c r="A290" s="2051"/>
      <c r="B290" s="2233" t="s">
        <v>797</v>
      </c>
      <c r="C290" s="2234"/>
      <c r="D290" s="2234"/>
      <c r="E290" s="968"/>
      <c r="F290" s="205"/>
    </row>
    <row r="291" spans="1:6" ht="14.25" customHeight="1" x14ac:dyDescent="0.2">
      <c r="A291" s="2051"/>
      <c r="B291" s="2233" t="s">
        <v>726</v>
      </c>
      <c r="C291" s="2234"/>
      <c r="D291" s="2234"/>
      <c r="E291" s="968"/>
      <c r="F291" s="205"/>
    </row>
    <row r="292" spans="1:6" ht="14.25" customHeight="1" thickBot="1" x14ac:dyDescent="0.25">
      <c r="A292" s="2051"/>
      <c r="B292" s="697" t="s">
        <v>638</v>
      </c>
      <c r="C292" s="698"/>
      <c r="D292" s="699"/>
      <c r="E292" s="825"/>
      <c r="F292" s="205"/>
    </row>
    <row r="293" spans="1:6" ht="15.75" customHeight="1" thickBot="1" x14ac:dyDescent="0.25">
      <c r="A293" s="2051"/>
      <c r="B293" s="243"/>
      <c r="C293" s="243"/>
      <c r="D293" s="243"/>
      <c r="E293" s="243"/>
      <c r="F293" s="205"/>
    </row>
    <row r="294" spans="1:6" ht="15.75" x14ac:dyDescent="0.25">
      <c r="A294" s="2051"/>
      <c r="B294" s="2059" t="s">
        <v>212</v>
      </c>
      <c r="C294" s="2060"/>
      <c r="D294" s="2060"/>
      <c r="E294" s="2061"/>
      <c r="F294" s="205"/>
    </row>
    <row r="295" spans="1:6" ht="14.25" customHeight="1" x14ac:dyDescent="0.2">
      <c r="A295" s="2051"/>
      <c r="B295" s="1944" t="s">
        <v>223</v>
      </c>
      <c r="C295" s="1945"/>
      <c r="D295" s="1945"/>
      <c r="E295" s="256" t="s">
        <v>36</v>
      </c>
      <c r="F295" s="205"/>
    </row>
    <row r="296" spans="1:6" ht="11.25" customHeight="1" x14ac:dyDescent="0.2">
      <c r="A296" s="2051"/>
      <c r="B296" s="2073"/>
      <c r="C296" s="2074"/>
      <c r="D296" s="2075"/>
      <c r="E296" s="724">
        <v>12096000</v>
      </c>
      <c r="F296" s="205"/>
    </row>
    <row r="297" spans="1:6" ht="11.25" customHeight="1" x14ac:dyDescent="0.2">
      <c r="A297" s="2051"/>
      <c r="B297" s="2073"/>
      <c r="C297" s="2074"/>
      <c r="D297" s="2075"/>
      <c r="E297" s="724"/>
      <c r="F297" s="205"/>
    </row>
    <row r="298" spans="1:6" ht="11.25" customHeight="1" x14ac:dyDescent="0.2">
      <c r="A298" s="2051"/>
      <c r="B298" s="2073"/>
      <c r="C298" s="2074"/>
      <c r="D298" s="2075"/>
      <c r="E298" s="724"/>
      <c r="F298" s="205"/>
    </row>
    <row r="299" spans="1:6" ht="11.25" customHeight="1" x14ac:dyDescent="0.2">
      <c r="A299" s="2051"/>
      <c r="B299" s="2073"/>
      <c r="C299" s="2074"/>
      <c r="D299" s="2075"/>
      <c r="E299" s="724"/>
      <c r="F299" s="205"/>
    </row>
    <row r="300" spans="1:6" ht="11.25" customHeight="1" x14ac:dyDescent="0.2">
      <c r="A300" s="2051"/>
      <c r="B300" s="2073"/>
      <c r="C300" s="2074"/>
      <c r="D300" s="2075"/>
      <c r="E300" s="724">
        <v>0</v>
      </c>
      <c r="F300" s="205"/>
    </row>
    <row r="301" spans="1:6" ht="13.5" customHeight="1" x14ac:dyDescent="0.2">
      <c r="A301" s="2051"/>
      <c r="B301" s="2206" t="s">
        <v>225</v>
      </c>
      <c r="C301" s="2207"/>
      <c r="D301" s="2208"/>
      <c r="E301" s="257">
        <f>SUM(E296:E300)</f>
        <v>12096000</v>
      </c>
      <c r="F301" s="205"/>
    </row>
    <row r="302" spans="1:6" ht="13.5" customHeight="1" x14ac:dyDescent="0.2">
      <c r="A302" s="2051"/>
      <c r="B302" s="1944" t="s">
        <v>224</v>
      </c>
      <c r="C302" s="1945"/>
      <c r="D302" s="1945"/>
      <c r="E302" s="256" t="s">
        <v>36</v>
      </c>
      <c r="F302" s="205"/>
    </row>
    <row r="303" spans="1:6" ht="11.25" customHeight="1" x14ac:dyDescent="0.2">
      <c r="A303" s="2051"/>
      <c r="B303" s="2211" t="s">
        <v>227</v>
      </c>
      <c r="C303" s="2212"/>
      <c r="D303" s="2212"/>
      <c r="E303" s="228">
        <v>0</v>
      </c>
      <c r="F303" s="205"/>
    </row>
    <row r="304" spans="1:6" ht="11.25" customHeight="1" x14ac:dyDescent="0.2">
      <c r="A304" s="2051"/>
      <c r="B304" s="2211"/>
      <c r="C304" s="2212"/>
      <c r="D304" s="2212"/>
      <c r="E304" s="228">
        <v>0</v>
      </c>
      <c r="F304" s="205"/>
    </row>
    <row r="305" spans="1:6" ht="11.25" customHeight="1" x14ac:dyDescent="0.2">
      <c r="A305" s="2051"/>
      <c r="B305" s="2211"/>
      <c r="C305" s="2212"/>
      <c r="D305" s="2212"/>
      <c r="E305" s="228">
        <v>0</v>
      </c>
      <c r="F305" s="205"/>
    </row>
    <row r="306" spans="1:6" ht="14.25" customHeight="1" thickBot="1" x14ac:dyDescent="0.25">
      <c r="A306" s="2051"/>
      <c r="B306" s="2213" t="s">
        <v>226</v>
      </c>
      <c r="C306" s="2214"/>
      <c r="D306" s="2215"/>
      <c r="E306" s="258">
        <f>SUM(E303:E305)</f>
        <v>0</v>
      </c>
      <c r="F306" s="205"/>
    </row>
    <row r="307" spans="1:6" ht="15" customHeight="1" thickBot="1" x14ac:dyDescent="0.25">
      <c r="A307" s="2051"/>
      <c r="B307" s="2200" t="s">
        <v>174</v>
      </c>
      <c r="C307" s="2201"/>
      <c r="D307" s="2202"/>
      <c r="E307" s="355">
        <v>0</v>
      </c>
      <c r="F307" s="205"/>
    </row>
    <row r="308" spans="1:6" ht="14.25" customHeight="1" thickBot="1" x14ac:dyDescent="0.25">
      <c r="A308" s="2051"/>
      <c r="B308" s="1934" t="s">
        <v>741</v>
      </c>
      <c r="C308" s="1935"/>
      <c r="D308" s="1936"/>
      <c r="E308" s="259">
        <f>IF((E301+E306)&gt;0,(E301+E306),0)</f>
        <v>12096000</v>
      </c>
      <c r="F308" s="205"/>
    </row>
    <row r="309" spans="1:6" ht="3" hidden="1" customHeight="1" thickBot="1" x14ac:dyDescent="0.25">
      <c r="A309" s="2051"/>
      <c r="B309" s="2056"/>
      <c r="C309" s="2056"/>
      <c r="D309" s="2056"/>
      <c r="E309" s="2057"/>
      <c r="F309" s="205"/>
    </row>
    <row r="310" spans="1:6" ht="15.75" x14ac:dyDescent="0.25">
      <c r="A310" s="2051"/>
      <c r="B310" s="2059" t="s">
        <v>337</v>
      </c>
      <c r="C310" s="2060"/>
      <c r="D310" s="2060"/>
      <c r="E310" s="2061"/>
      <c r="F310" s="205"/>
    </row>
    <row r="311" spans="1:6" ht="14.25" customHeight="1" x14ac:dyDescent="0.2">
      <c r="A311" s="2051"/>
      <c r="B311" s="1944" t="s">
        <v>223</v>
      </c>
      <c r="C311" s="1945"/>
      <c r="D311" s="1945"/>
      <c r="E311" s="256" t="s">
        <v>36</v>
      </c>
      <c r="F311" s="205"/>
    </row>
    <row r="312" spans="1:6" ht="12.75" customHeight="1" x14ac:dyDescent="0.2">
      <c r="A312" s="2051"/>
      <c r="B312" s="1924" t="s">
        <v>167</v>
      </c>
      <c r="C312" s="1925"/>
      <c r="D312" s="1926"/>
      <c r="E312" s="354"/>
      <c r="F312" s="205"/>
    </row>
    <row r="313" spans="1:6" ht="12.75" customHeight="1" x14ac:dyDescent="0.2">
      <c r="A313" s="2051"/>
      <c r="B313" s="1924" t="s">
        <v>168</v>
      </c>
      <c r="C313" s="1925"/>
      <c r="D313" s="1926"/>
      <c r="E313" s="354"/>
      <c r="F313" s="205"/>
    </row>
    <row r="314" spans="1:6" ht="12.75" customHeight="1" x14ac:dyDescent="0.2">
      <c r="A314" s="2051"/>
      <c r="B314" s="1924" t="s">
        <v>169</v>
      </c>
      <c r="C314" s="1925"/>
      <c r="D314" s="1926"/>
      <c r="E314" s="354"/>
      <c r="F314" s="205"/>
    </row>
    <row r="315" spans="1:6" ht="12.75" customHeight="1" x14ac:dyDescent="0.2">
      <c r="A315" s="2051"/>
      <c r="B315" s="1924" t="s">
        <v>170</v>
      </c>
      <c r="C315" s="1925"/>
      <c r="D315" s="1926"/>
      <c r="E315" s="973"/>
      <c r="F315" s="205"/>
    </row>
    <row r="316" spans="1:6" ht="29.25" customHeight="1" thickBot="1" x14ac:dyDescent="0.25">
      <c r="A316" s="2051"/>
      <c r="B316" s="1968" t="s">
        <v>728</v>
      </c>
      <c r="C316" s="1969"/>
      <c r="D316" s="812"/>
      <c r="E316" s="974">
        <f>D316*25%</f>
        <v>0</v>
      </c>
      <c r="F316" s="205"/>
    </row>
    <row r="317" spans="1:6" ht="15" customHeight="1" thickBot="1" x14ac:dyDescent="0.25">
      <c r="A317" s="2051"/>
      <c r="B317" s="2053" t="s">
        <v>338</v>
      </c>
      <c r="C317" s="2054"/>
      <c r="D317" s="2055"/>
      <c r="E317" s="260">
        <f>SUM(E312:E316)</f>
        <v>0</v>
      </c>
      <c r="F317" s="205"/>
    </row>
    <row r="318" spans="1:6" ht="24" customHeight="1" thickBot="1" x14ac:dyDescent="0.25">
      <c r="A318" s="2052"/>
      <c r="B318" s="2197"/>
      <c r="C318" s="2197"/>
      <c r="D318" s="2197"/>
      <c r="E318" s="826"/>
      <c r="F318" s="229"/>
    </row>
    <row r="319" spans="1:6" ht="13.5" hidden="1" thickTop="1" x14ac:dyDescent="0.2"/>
    <row r="320" spans="1:6" hidden="1" x14ac:dyDescent="0.2">
      <c r="B320" s="153" t="s">
        <v>50</v>
      </c>
    </row>
    <row r="321" spans="2:3" ht="191.25" hidden="1" x14ac:dyDescent="0.2">
      <c r="B321" s="402" t="s">
        <v>52</v>
      </c>
    </row>
    <row r="322" spans="2:3" ht="89.25" hidden="1" x14ac:dyDescent="0.2">
      <c r="B322" s="402" t="s">
        <v>51</v>
      </c>
    </row>
    <row r="323" spans="2:3" ht="178.5" hidden="1" x14ac:dyDescent="0.2">
      <c r="B323" s="402" t="s">
        <v>53</v>
      </c>
    </row>
    <row r="324" spans="2:3" ht="165.75" hidden="1" x14ac:dyDescent="0.2">
      <c r="B324" s="402" t="s">
        <v>54</v>
      </c>
    </row>
    <row r="325" spans="2:3" hidden="1" x14ac:dyDescent="0.2"/>
    <row r="326" spans="2:3" hidden="1" x14ac:dyDescent="0.2">
      <c r="B326" s="706" t="s">
        <v>641</v>
      </c>
    </row>
    <row r="327" spans="2:3" ht="25.5" hidden="1" x14ac:dyDescent="0.2">
      <c r="B327" s="402" t="s">
        <v>213</v>
      </c>
    </row>
    <row r="328" spans="2:3" ht="25.5" hidden="1" x14ac:dyDescent="0.2">
      <c r="B328" s="402" t="s">
        <v>214</v>
      </c>
      <c r="C328" s="174" t="s">
        <v>227</v>
      </c>
    </row>
    <row r="329" spans="2:3" ht="25.5" hidden="1" x14ac:dyDescent="0.2">
      <c r="B329" s="402" t="s">
        <v>215</v>
      </c>
      <c r="C329" s="157" t="s">
        <v>228</v>
      </c>
    </row>
    <row r="330" spans="2:3" ht="38.25" hidden="1" x14ac:dyDescent="0.2">
      <c r="B330" s="402" t="s">
        <v>216</v>
      </c>
      <c r="C330" s="157" t="s">
        <v>229</v>
      </c>
    </row>
    <row r="331" spans="2:3" hidden="1" x14ac:dyDescent="0.2">
      <c r="B331" s="402" t="s">
        <v>217</v>
      </c>
    </row>
    <row r="332" spans="2:3" hidden="1" x14ac:dyDescent="0.2">
      <c r="B332" s="707" t="s">
        <v>546</v>
      </c>
      <c r="C332" s="157" t="s">
        <v>167</v>
      </c>
    </row>
    <row r="333" spans="2:3" ht="25.5" hidden="1" x14ac:dyDescent="0.2">
      <c r="B333" s="402" t="s">
        <v>218</v>
      </c>
      <c r="C333" s="157" t="s">
        <v>168</v>
      </c>
    </row>
    <row r="334" spans="2:3" hidden="1" x14ac:dyDescent="0.2">
      <c r="B334" s="402" t="s">
        <v>219</v>
      </c>
      <c r="C334" s="157" t="s">
        <v>169</v>
      </c>
    </row>
    <row r="335" spans="2:3" hidden="1" x14ac:dyDescent="0.2">
      <c r="B335" s="402" t="s">
        <v>124</v>
      </c>
      <c r="C335" s="157" t="s">
        <v>170</v>
      </c>
    </row>
    <row r="336" spans="2:3" hidden="1" x14ac:dyDescent="0.2">
      <c r="B336" s="402" t="s">
        <v>220</v>
      </c>
    </row>
    <row r="337" spans="2:2" ht="25.5" hidden="1" x14ac:dyDescent="0.2">
      <c r="B337" s="402" t="s">
        <v>221</v>
      </c>
    </row>
    <row r="338" spans="2:2" hidden="1" x14ac:dyDescent="0.2">
      <c r="B338" s="707" t="s">
        <v>642</v>
      </c>
    </row>
    <row r="339" spans="2:2" hidden="1" x14ac:dyDescent="0.2">
      <c r="B339" s="402" t="s">
        <v>222</v>
      </c>
    </row>
    <row r="340" spans="2:2" ht="13.5" thickTop="1" x14ac:dyDescent="0.2"/>
  </sheetData>
  <sheetProtection algorithmName="SHA-512" hashValue="RMz6P7zsJ1wlJsK9fzRE5TUtGUr2SnH54MR7uSLewh/PoYb4AkDndhi6otyn9UF+18Ok67bKFlcj9XTZO5X9Og==" saltValue="MqjNmwIizwbZTVJgLWqRrw==" spinCount="100000" sheet="1" objects="1" scenarios="1"/>
  <protectedRanges>
    <protectedRange sqref="I21" name="Rango1"/>
  </protectedRanges>
  <dataConsolidate/>
  <mergeCells count="266">
    <mergeCell ref="B200:C200"/>
    <mergeCell ref="E190:E200"/>
    <mergeCell ref="B201:D201"/>
    <mergeCell ref="B195:C195"/>
    <mergeCell ref="B171:E171"/>
    <mergeCell ref="B190:C190"/>
    <mergeCell ref="B196:C196"/>
    <mergeCell ref="B197:C197"/>
    <mergeCell ref="B198:C198"/>
    <mergeCell ref="B193:C193"/>
    <mergeCell ref="B194:C194"/>
    <mergeCell ref="E181:E187"/>
    <mergeCell ref="B185:C185"/>
    <mergeCell ref="B167:D167"/>
    <mergeCell ref="B181:C181"/>
    <mergeCell ref="B182:C182"/>
    <mergeCell ref="B187:C187"/>
    <mergeCell ref="B184:C184"/>
    <mergeCell ref="B168:E168"/>
    <mergeCell ref="B262:C262"/>
    <mergeCell ref="B174:C174"/>
    <mergeCell ref="B180:D180"/>
    <mergeCell ref="B192:C192"/>
    <mergeCell ref="B202:D202"/>
    <mergeCell ref="B227:D227"/>
    <mergeCell ref="C222:D222"/>
    <mergeCell ref="B191:C191"/>
    <mergeCell ref="B204:E204"/>
    <mergeCell ref="B215:D215"/>
    <mergeCell ref="B218:B219"/>
    <mergeCell ref="B175:C175"/>
    <mergeCell ref="B183:C183"/>
    <mergeCell ref="B186:C186"/>
    <mergeCell ref="B177:C177"/>
    <mergeCell ref="B214:E214"/>
    <mergeCell ref="B169:E169"/>
    <mergeCell ref="B170:D170"/>
    <mergeCell ref="B225:C225"/>
    <mergeCell ref="B206:B207"/>
    <mergeCell ref="B265:D265"/>
    <mergeCell ref="B260:B261"/>
    <mergeCell ref="B257:B258"/>
    <mergeCell ref="B283:C284"/>
    <mergeCell ref="E283:E284"/>
    <mergeCell ref="B289:D289"/>
    <mergeCell ref="B291:D291"/>
    <mergeCell ref="E281:E282"/>
    <mergeCell ref="B290:D290"/>
    <mergeCell ref="B277:D277"/>
    <mergeCell ref="B269:D269"/>
    <mergeCell ref="B281:C282"/>
    <mergeCell ref="B285:D285"/>
    <mergeCell ref="B278:D278"/>
    <mergeCell ref="B270:D270"/>
    <mergeCell ref="B318:D318"/>
    <mergeCell ref="B229:D229"/>
    <mergeCell ref="B307:D307"/>
    <mergeCell ref="B263:D263"/>
    <mergeCell ref="B279:D279"/>
    <mergeCell ref="B275:D275"/>
    <mergeCell ref="B280:D280"/>
    <mergeCell ref="B301:D301"/>
    <mergeCell ref="B273:D273"/>
    <mergeCell ref="B271:D271"/>
    <mergeCell ref="B264:D264"/>
    <mergeCell ref="B266:D266"/>
    <mergeCell ref="B272:D272"/>
    <mergeCell ref="B314:D314"/>
    <mergeCell ref="B304:D304"/>
    <mergeCell ref="B305:D305"/>
    <mergeCell ref="B306:D306"/>
    <mergeCell ref="B300:D300"/>
    <mergeCell ref="B253:E253"/>
    <mergeCell ref="B267:D267"/>
    <mergeCell ref="B303:D303"/>
    <mergeCell ref="B298:D298"/>
    <mergeCell ref="B287:E287"/>
    <mergeCell ref="B288:D288"/>
    <mergeCell ref="B125:C125"/>
    <mergeCell ref="E136:E143"/>
    <mergeCell ref="B137:C137"/>
    <mergeCell ref="B161:C161"/>
    <mergeCell ref="B162:C162"/>
    <mergeCell ref="E154:E157"/>
    <mergeCell ref="B155:C155"/>
    <mergeCell ref="E160:E163"/>
    <mergeCell ref="B144:E144"/>
    <mergeCell ref="B158:E158"/>
    <mergeCell ref="B154:C154"/>
    <mergeCell ref="B156:C156"/>
    <mergeCell ref="B153:D153"/>
    <mergeCell ref="B163:C163"/>
    <mergeCell ref="B159:D159"/>
    <mergeCell ref="B147:C147"/>
    <mergeCell ref="D148:D149"/>
    <mergeCell ref="B146:C146"/>
    <mergeCell ref="B150:C150"/>
    <mergeCell ref="B151:C151"/>
    <mergeCell ref="B9:B10"/>
    <mergeCell ref="B75:C75"/>
    <mergeCell ref="B142:C142"/>
    <mergeCell ref="B38:C38"/>
    <mergeCell ref="B27:C27"/>
    <mergeCell ref="B39:C39"/>
    <mergeCell ref="D34:D36"/>
    <mergeCell ref="B133:E133"/>
    <mergeCell ref="B134:E134"/>
    <mergeCell ref="B138:C138"/>
    <mergeCell ref="B135:C135"/>
    <mergeCell ref="B48:E48"/>
    <mergeCell ref="B49:D49"/>
    <mergeCell ref="B105:E105"/>
    <mergeCell ref="B106:C106"/>
    <mergeCell ref="B91:C91"/>
    <mergeCell ref="B86:C86"/>
    <mergeCell ref="D83:D84"/>
    <mergeCell ref="B90:C90"/>
    <mergeCell ref="B83:C83"/>
    <mergeCell ref="B93:C93"/>
    <mergeCell ref="E34:E36"/>
    <mergeCell ref="B121:D121"/>
    <mergeCell ref="E79:E80"/>
    <mergeCell ref="B1:E1"/>
    <mergeCell ref="B2:E2"/>
    <mergeCell ref="B26:E26"/>
    <mergeCell ref="E60:E61"/>
    <mergeCell ref="D62:D63"/>
    <mergeCell ref="B62:C62"/>
    <mergeCell ref="B4:E4"/>
    <mergeCell ref="B44:C44"/>
    <mergeCell ref="B30:C30"/>
    <mergeCell ref="D9:D10"/>
    <mergeCell ref="B6:F6"/>
    <mergeCell ref="B32:C32"/>
    <mergeCell ref="B31:C31"/>
    <mergeCell ref="B50:D50"/>
    <mergeCell ref="B51:D51"/>
    <mergeCell ref="E9:E10"/>
    <mergeCell ref="B8:E8"/>
    <mergeCell ref="B12:E12"/>
    <mergeCell ref="B25:F25"/>
    <mergeCell ref="B29:C29"/>
    <mergeCell ref="B18:E18"/>
    <mergeCell ref="B42:C42"/>
    <mergeCell ref="B28:C28"/>
    <mergeCell ref="B33:C33"/>
    <mergeCell ref="A26:A308"/>
    <mergeCell ref="B128:D128"/>
    <mergeCell ref="B113:E113"/>
    <mergeCell ref="B312:D312"/>
    <mergeCell ref="B34:C34"/>
    <mergeCell ref="B69:C69"/>
    <mergeCell ref="B45:C45"/>
    <mergeCell ref="B55:D55"/>
    <mergeCell ref="E65:E66"/>
    <mergeCell ref="B60:C60"/>
    <mergeCell ref="B64:C64"/>
    <mergeCell ref="B65:C65"/>
    <mergeCell ref="B143:C143"/>
    <mergeCell ref="D140:D141"/>
    <mergeCell ref="E146:E151"/>
    <mergeCell ref="B139:C139"/>
    <mergeCell ref="B95:D95"/>
    <mergeCell ref="B99:E99"/>
    <mergeCell ref="B108:C108"/>
    <mergeCell ref="B254:E254"/>
    <mergeCell ref="B37:C37"/>
    <mergeCell ref="B41:C41"/>
    <mergeCell ref="B165:E165"/>
    <mergeCell ref="B76:C76"/>
    <mergeCell ref="A310:A318"/>
    <mergeCell ref="B317:D317"/>
    <mergeCell ref="A309:E309"/>
    <mergeCell ref="E255:E260"/>
    <mergeCell ref="B310:E310"/>
    <mergeCell ref="B52:D52"/>
    <mergeCell ref="B71:C71"/>
    <mergeCell ref="D67:D68"/>
    <mergeCell ref="B102:C102"/>
    <mergeCell ref="B107:C107"/>
    <mergeCell ref="B92:C92"/>
    <mergeCell ref="B89:C89"/>
    <mergeCell ref="B59:C59"/>
    <mergeCell ref="D60:D61"/>
    <mergeCell ref="B302:D302"/>
    <mergeCell ref="B294:E294"/>
    <mergeCell ref="B295:D295"/>
    <mergeCell ref="B296:D296"/>
    <mergeCell ref="B157:C157"/>
    <mergeCell ref="B297:D297"/>
    <mergeCell ref="B299:D299"/>
    <mergeCell ref="B82:C82"/>
    <mergeCell ref="B53:D53"/>
    <mergeCell ref="B54:D54"/>
    <mergeCell ref="B72:C72"/>
    <mergeCell ref="B124:D124"/>
    <mergeCell ref="B123:D123"/>
    <mergeCell ref="B130:D130"/>
    <mergeCell ref="B110:C110"/>
    <mergeCell ref="B145:D145"/>
    <mergeCell ref="B127:C127"/>
    <mergeCell ref="E106:E107"/>
    <mergeCell ref="E128:E129"/>
    <mergeCell ref="B122:D122"/>
    <mergeCell ref="B98:E98"/>
    <mergeCell ref="B111:C111"/>
    <mergeCell ref="E108:E111"/>
    <mergeCell ref="B94:C94"/>
    <mergeCell ref="B96:D96"/>
    <mergeCell ref="B88:C88"/>
    <mergeCell ref="B87:C87"/>
    <mergeCell ref="B101:E101"/>
    <mergeCell ref="B103:C103"/>
    <mergeCell ref="B115:B117"/>
    <mergeCell ref="E115:E117"/>
    <mergeCell ref="B118:B120"/>
    <mergeCell ref="E118:E120"/>
    <mergeCell ref="B109:C109"/>
    <mergeCell ref="B316:C316"/>
    <mergeCell ref="B3:E3"/>
    <mergeCell ref="B40:C40"/>
    <mergeCell ref="B58:E58"/>
    <mergeCell ref="B46:D46"/>
    <mergeCell ref="B67:C67"/>
    <mergeCell ref="B189:D189"/>
    <mergeCell ref="B77:C77"/>
    <mergeCell ref="B126:D126"/>
    <mergeCell ref="B73:C73"/>
    <mergeCell ref="D65:D66"/>
    <mergeCell ref="E62:E63"/>
    <mergeCell ref="B43:C43"/>
    <mergeCell ref="B172:D172"/>
    <mergeCell ref="B173:C173"/>
    <mergeCell ref="B176:C176"/>
    <mergeCell ref="B178:C178"/>
    <mergeCell ref="B85:C85"/>
    <mergeCell ref="B81:C81"/>
    <mergeCell ref="B74:C74"/>
    <mergeCell ref="E83:E84"/>
    <mergeCell ref="E67:E68"/>
    <mergeCell ref="B160:C160"/>
    <mergeCell ref="B70:C70"/>
    <mergeCell ref="B315:D315"/>
    <mergeCell ref="B166:D166"/>
    <mergeCell ref="E173:E178"/>
    <mergeCell ref="B313:D313"/>
    <mergeCell ref="B274:D274"/>
    <mergeCell ref="B308:D308"/>
    <mergeCell ref="B276:E276"/>
    <mergeCell ref="B152:E152"/>
    <mergeCell ref="B205:D205"/>
    <mergeCell ref="B311:D311"/>
    <mergeCell ref="E206:E207"/>
    <mergeCell ref="B164:E164"/>
    <mergeCell ref="B226:D226"/>
    <mergeCell ref="B203:E203"/>
    <mergeCell ref="B223:B224"/>
    <mergeCell ref="E223:E224"/>
    <mergeCell ref="B220:B221"/>
    <mergeCell ref="E220:E221"/>
    <mergeCell ref="B216:D216"/>
    <mergeCell ref="B268:D268"/>
    <mergeCell ref="B217:D217"/>
    <mergeCell ref="B256:C256"/>
    <mergeCell ref="B255:C255"/>
    <mergeCell ref="B228:D228"/>
  </mergeCells>
  <phoneticPr fontId="0" type="noConversion"/>
  <dataValidations count="8">
    <dataValidation type="list" allowBlank="1" showInputMessage="1" showErrorMessage="1" sqref="C222:D222">
      <formula1>$B$319:$B$324</formula1>
    </dataValidation>
    <dataValidation type="list" allowBlank="1" showInputMessage="1" showErrorMessage="1" sqref="B303:D305">
      <formula1>$C$328:$C$330</formula1>
    </dataValidation>
    <dataValidation type="list" allowBlank="1" showInputMessage="1" showErrorMessage="1" sqref="D67 D81:D83 D73:D78 D64:D65 D85:D94">
      <formula1>$G$60:$G$64</formula1>
    </dataValidation>
    <dataValidation type="list" allowBlank="1" showInputMessage="1" showErrorMessage="1" sqref="C15 C13 E14">
      <formula1>$H$21:$H$23</formula1>
    </dataValidation>
    <dataValidation type="list" allowBlank="1" showInputMessage="1" showErrorMessage="1" sqref="B296:D300">
      <formula1>$B$326:$B$339</formula1>
    </dataValidation>
    <dataValidation type="list" allowBlank="1" showInputMessage="1" showErrorMessage="1" sqref="E5 D135">
      <formula1>$H$22:$H$23</formula1>
    </dataValidation>
    <dataValidation type="list" allowBlank="1" showInputMessage="1" showErrorMessage="1" sqref="D125">
      <formula1>$G$62:$G$64</formula1>
    </dataValidation>
    <dataValidation type="list" allowBlank="1" showInputMessage="1" showErrorMessage="1" sqref="B312:D314 B315">
      <formula1>$C$332:$C$335</formula1>
    </dataValidation>
  </dataValidations>
  <pageMargins left="0.15748031496062992" right="0.15748031496062992" top="0.39370078740157483" bottom="0.39370078740157483" header="0" footer="0"/>
  <pageSetup scale="85" orientation="portrait" r:id="rId1"/>
  <headerFooter alignWithMargins="0"/>
  <rowBreaks count="5" manualBreakCount="5">
    <brk id="25" max="5" man="1"/>
    <brk id="57" max="5" man="1"/>
    <brk id="97" max="5" man="1"/>
    <brk id="130" max="5" man="1"/>
    <brk id="187" max="5" man="1"/>
  </rowBreaks>
  <ignoredErrors>
    <ignoredError sqref="K23 E206" unlockedFormula="1"/>
  </ignoredErrors>
  <drawing r:id="rId2"/>
  <legacyDrawing r:id="rId3"/>
  <picture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rgb="FFFFFF00"/>
  </sheetPr>
  <dimension ref="A1:BC211"/>
  <sheetViews>
    <sheetView view="pageBreakPreview" topLeftCell="D28" zoomScale="115" zoomScaleNormal="100" zoomScaleSheetLayoutView="115" workbookViewId="0">
      <selection activeCell="I42" sqref="I42"/>
    </sheetView>
  </sheetViews>
  <sheetFormatPr baseColWidth="10" defaultRowHeight="12.75" x14ac:dyDescent="0.2"/>
  <cols>
    <col min="1" max="1" width="8.5703125" customWidth="1"/>
    <col min="2" max="2" width="46" customWidth="1"/>
    <col min="3" max="3" width="14.5703125" customWidth="1"/>
    <col min="4" max="4" width="9.140625" customWidth="1"/>
    <col min="5" max="5" width="10.42578125" bestFit="1" customWidth="1"/>
    <col min="6" max="6" width="50.42578125" bestFit="1" customWidth="1"/>
    <col min="7" max="7" width="8" bestFit="1" customWidth="1"/>
    <col min="8" max="8" width="0.140625" hidden="1" customWidth="1"/>
    <col min="9" max="9" width="67.28515625" bestFit="1" customWidth="1"/>
    <col min="10" max="10" width="13.28515625" bestFit="1" customWidth="1"/>
    <col min="11" max="11" width="12.28515625" bestFit="1" customWidth="1"/>
    <col min="12" max="12" width="11.28515625" bestFit="1" customWidth="1"/>
    <col min="13" max="13" width="6.85546875" bestFit="1" customWidth="1"/>
    <col min="14" max="14" width="71.42578125" bestFit="1" customWidth="1"/>
    <col min="15" max="15" width="37.5703125" bestFit="1" customWidth="1"/>
    <col min="16" max="16" width="13.28515625" bestFit="1" customWidth="1"/>
    <col min="17" max="17" width="2" bestFit="1" customWidth="1"/>
    <col min="18" max="18" width="0.140625" hidden="1" customWidth="1"/>
    <col min="19" max="20" width="2" bestFit="1" customWidth="1"/>
    <col min="21" max="21" width="9.7109375" bestFit="1" customWidth="1"/>
    <col min="22" max="22" width="2" bestFit="1" customWidth="1"/>
    <col min="23" max="23" width="1.5703125" bestFit="1" customWidth="1"/>
    <col min="24" max="24" width="7" bestFit="1" customWidth="1"/>
    <col min="25" max="25" width="2" bestFit="1" customWidth="1"/>
    <col min="26" max="26" width="0.140625" hidden="1" customWidth="1"/>
    <col min="27" max="27" width="2" bestFit="1" customWidth="1"/>
    <col min="28" max="28" width="0.140625" hidden="1" customWidth="1"/>
    <col min="29" max="30" width="2" bestFit="1" customWidth="1"/>
    <col min="31" max="31" width="0.140625" hidden="1" customWidth="1"/>
    <col min="32" max="32" width="2" bestFit="1" customWidth="1"/>
    <col min="33" max="33" width="7.5703125" bestFit="1" customWidth="1"/>
    <col min="34" max="36" width="0.140625" hidden="1" customWidth="1"/>
    <col min="37" max="37" width="2.140625" bestFit="1" customWidth="1"/>
    <col min="38" max="46" width="0.140625" hidden="1" customWidth="1"/>
    <col min="47" max="47" width="8.140625" bestFit="1" customWidth="1"/>
    <col min="48" max="48" width="7.5703125" bestFit="1" customWidth="1"/>
    <col min="49" max="49" width="6.85546875" bestFit="1" customWidth="1"/>
    <col min="50" max="50" width="11.28515625" bestFit="1" customWidth="1"/>
    <col min="51" max="55" width="17.85546875" hidden="1" customWidth="1"/>
    <col min="56" max="162" width="17.85546875" customWidth="1"/>
    <col min="251" max="252" width="11.42578125" customWidth="1"/>
  </cols>
  <sheetData>
    <row r="1" spans="1:50" ht="20.25" customHeight="1" x14ac:dyDescent="0.2">
      <c r="A1" s="148" t="s">
        <v>191</v>
      </c>
      <c r="B1" s="74"/>
      <c r="C1" s="149" t="s">
        <v>0</v>
      </c>
      <c r="D1" s="133"/>
      <c r="E1" s="75"/>
      <c r="I1" s="1228" t="s">
        <v>3</v>
      </c>
      <c r="J1" s="1229"/>
      <c r="K1" s="145" t="s">
        <v>46</v>
      </c>
      <c r="L1" s="38">
        <f>+'DATOS PARA DEPURAR'!E28</f>
        <v>70467529</v>
      </c>
      <c r="AU1" s="47" t="e">
        <f>+#REF!/'DATOS PARA DEPURAR'!C23</f>
        <v>#REF!</v>
      </c>
    </row>
    <row r="2" spans="1:50" ht="21" customHeight="1" thickBot="1" x14ac:dyDescent="0.35">
      <c r="A2" s="49"/>
      <c r="B2" s="125" t="str">
        <f>+'DATOS PARA DEPURAR'!C7</f>
        <v>OJEDA RIOJAS DAVID MATEO</v>
      </c>
      <c r="C2" s="1230">
        <f>+'DATOS PARA DEPURAR'!C5</f>
        <v>2021</v>
      </c>
      <c r="D2" s="1231"/>
      <c r="E2" s="1232"/>
      <c r="I2" s="1233" t="s">
        <v>323</v>
      </c>
      <c r="J2" s="1234"/>
      <c r="K2" s="146" t="s">
        <v>47</v>
      </c>
      <c r="L2" s="33">
        <f>+'DATOS PARA DEPURAR'!E30</f>
        <v>35807511</v>
      </c>
      <c r="AU2" s="44">
        <v>0</v>
      </c>
      <c r="AV2" s="44">
        <f>+AU3-0.01</f>
        <v>128.95000000000002</v>
      </c>
      <c r="AW2" s="44">
        <v>0</v>
      </c>
    </row>
    <row r="3" spans="1:50" ht="22.5" customHeight="1" thickBot="1" x14ac:dyDescent="0.3">
      <c r="A3" s="76" t="s">
        <v>360</v>
      </c>
      <c r="B3" s="77">
        <f>+'DATOS PARA DEPURAR'!E7</f>
        <v>18927495</v>
      </c>
      <c r="C3" s="2283" t="s">
        <v>355</v>
      </c>
      <c r="D3" s="2284"/>
      <c r="E3" s="2285"/>
      <c r="I3" s="1233" t="s">
        <v>324</v>
      </c>
      <c r="J3" s="1234"/>
      <c r="K3" s="146" t="s">
        <v>47</v>
      </c>
      <c r="L3" s="33">
        <f>+'DATOS PARA DEPURAR'!E31</f>
        <v>0</v>
      </c>
      <c r="AU3" s="44">
        <v>128.96</v>
      </c>
      <c r="AV3" s="44">
        <f>+AU6-0.01</f>
        <v>132.35000000000002</v>
      </c>
      <c r="AW3" s="44">
        <v>0.09</v>
      </c>
      <c r="AX3" s="1">
        <f>+AW3*'DATOS PARA DEPURAR'!$C$23</f>
        <v>3267.72</v>
      </c>
    </row>
    <row r="4" spans="1:50" ht="15.75" customHeight="1" x14ac:dyDescent="0.2">
      <c r="A4" s="513">
        <v>27</v>
      </c>
      <c r="B4" s="2274" t="s">
        <v>396</v>
      </c>
      <c r="C4" s="2274"/>
      <c r="D4" s="2274"/>
      <c r="E4" s="512">
        <f>IF((E$13)&gt;0,F4,0)</f>
        <v>0</v>
      </c>
      <c r="F4">
        <f>+'PATRIMONIO BRUTO'!F91</f>
        <v>32262993</v>
      </c>
      <c r="I4" s="366" t="str">
        <f>+'DATOS PARA DEPURAR'!B29</f>
        <v>OTROS INGRESOS LABORALES - FORMATO 220</v>
      </c>
      <c r="J4" s="367"/>
      <c r="K4" s="146" t="s">
        <v>327</v>
      </c>
      <c r="L4" s="33">
        <f>+'DATOS PARA DEPURAR'!E29</f>
        <v>0</v>
      </c>
      <c r="AU4" s="44"/>
      <c r="AV4" s="44"/>
      <c r="AW4" s="44"/>
      <c r="AX4" s="1"/>
    </row>
    <row r="5" spans="1:50" ht="15.75" customHeight="1" x14ac:dyDescent="0.2">
      <c r="A5" s="395">
        <v>28</v>
      </c>
      <c r="B5" s="2275" t="s">
        <v>111</v>
      </c>
      <c r="C5" s="1219"/>
      <c r="D5" s="2276"/>
      <c r="E5" s="396">
        <f>IF((E$13)&gt;0,F5,0)</f>
        <v>0</v>
      </c>
      <c r="F5">
        <f>+'PATRIMONIO BRUTO'!F133</f>
        <v>0</v>
      </c>
      <c r="I5" s="366"/>
      <c r="J5" s="367"/>
      <c r="K5" s="146"/>
      <c r="L5" s="33"/>
      <c r="AU5" s="44"/>
      <c r="AV5" s="44"/>
      <c r="AW5" s="44"/>
      <c r="AX5" s="1"/>
    </row>
    <row r="6" spans="1:50" ht="16.5" customHeight="1" thickBot="1" x14ac:dyDescent="0.25">
      <c r="A6" s="509">
        <v>29</v>
      </c>
      <c r="B6" s="510" t="s">
        <v>397</v>
      </c>
      <c r="C6" s="511"/>
      <c r="D6" s="511"/>
      <c r="E6" s="507">
        <f>IF((E4-E5)&gt;0,(E4-E5),0)</f>
        <v>0</v>
      </c>
      <c r="F6">
        <f>IF((F4-F5)&gt;0,(F4-F5),0)</f>
        <v>32262993</v>
      </c>
      <c r="I6" s="1233" t="s">
        <v>4</v>
      </c>
      <c r="J6" s="1234"/>
      <c r="K6" s="146" t="s">
        <v>47</v>
      </c>
      <c r="L6" s="33">
        <f>+'DATOS PARA DEPURAR'!E32</f>
        <v>0</v>
      </c>
      <c r="AU6" s="44">
        <v>132.36000000000001</v>
      </c>
      <c r="AV6" s="44">
        <f>+AU7-0.01</f>
        <v>135.74</v>
      </c>
      <c r="AW6" s="44">
        <v>0.09</v>
      </c>
      <c r="AX6" s="1">
        <f>+AW6*'DATOS PARA DEPURAR'!$C$23</f>
        <v>3267.72</v>
      </c>
    </row>
    <row r="7" spans="1:50" x14ac:dyDescent="0.2">
      <c r="A7" s="140">
        <v>30</v>
      </c>
      <c r="B7" s="400" t="s">
        <v>18</v>
      </c>
      <c r="C7" s="131"/>
      <c r="D7" s="131"/>
      <c r="E7" s="136"/>
      <c r="I7" s="1221" t="s">
        <v>330</v>
      </c>
      <c r="J7" s="1222"/>
      <c r="K7" s="146" t="s">
        <v>47</v>
      </c>
      <c r="L7" s="33">
        <f>+'DATOS PARA DEPURAR'!E33</f>
        <v>0</v>
      </c>
      <c r="AU7" s="44">
        <v>135.75</v>
      </c>
      <c r="AV7" s="44">
        <f t="shared" ref="AV7:AV103" si="0">+AU8-0.01</f>
        <v>139.13</v>
      </c>
      <c r="AW7" s="44">
        <v>0.09</v>
      </c>
      <c r="AX7" s="1">
        <f>+AW7*'DATOS PARA DEPURAR'!$C$23</f>
        <v>3267.72</v>
      </c>
    </row>
    <row r="8" spans="1:50" ht="10.5" customHeight="1" x14ac:dyDescent="0.2">
      <c r="A8" s="137"/>
      <c r="B8" s="86" t="s">
        <v>40</v>
      </c>
      <c r="C8" s="108"/>
      <c r="D8" s="88"/>
      <c r="E8" s="138">
        <f>IF(E13&gt;0,(F8+F12),0)</f>
        <v>0</v>
      </c>
      <c r="F8" s="87">
        <f>IF('DATOS PARA DEPURAR'!E103="S",N8,0)</f>
        <v>0</v>
      </c>
      <c r="I8" s="2277" t="s">
        <v>26</v>
      </c>
      <c r="J8" s="2278"/>
      <c r="K8" s="146" t="s">
        <v>47</v>
      </c>
      <c r="L8" s="33">
        <f>+'DATOS PARA DEPURAR'!E38</f>
        <v>0</v>
      </c>
      <c r="N8" s="59">
        <f>IF(K1="S",L1)+IF(K2="S",L2)+IF(K3="S",L3)+IF(K6="S",L6)+IF(K7="S",L7)+IF(K8="S",L8)+IF(K9="S",L9)+IF(K10="S",L10)+IF(K11="S",L11)+IF(K12="S",L12)+IF(K13="S",L13)+IF(K4="S",L4)</f>
        <v>70467529</v>
      </c>
      <c r="AU8" s="44">
        <v>139.13999999999999</v>
      </c>
      <c r="AV8" s="44">
        <f t="shared" si="0"/>
        <v>142.53</v>
      </c>
      <c r="AW8" s="44">
        <v>0.09</v>
      </c>
      <c r="AX8" s="1">
        <f>+AW8*'DATOS PARA DEPURAR'!$C$23</f>
        <v>3267.72</v>
      </c>
    </row>
    <row r="9" spans="1:50" hidden="1" x14ac:dyDescent="0.2">
      <c r="A9" s="137"/>
      <c r="B9" s="86"/>
      <c r="C9" s="95"/>
      <c r="D9" s="88"/>
      <c r="E9" s="139"/>
      <c r="F9" s="89"/>
      <c r="I9" s="2277" t="s">
        <v>27</v>
      </c>
      <c r="J9" s="2278"/>
      <c r="K9" s="132" t="str">
        <f>+'DATOS PARA DEPURAR'!D39</f>
        <v>N</v>
      </c>
      <c r="L9" s="33">
        <f>+'DATOS PARA DEPURAR'!E39</f>
        <v>0</v>
      </c>
      <c r="AU9" s="44">
        <v>142.54</v>
      </c>
      <c r="AV9" s="44">
        <f t="shared" si="0"/>
        <v>145.92000000000002</v>
      </c>
      <c r="AW9" s="44">
        <v>0.1</v>
      </c>
      <c r="AX9" s="1">
        <f>+AW9*'DATOS PARA DEPURAR'!$C$23</f>
        <v>3630.8</v>
      </c>
    </row>
    <row r="10" spans="1:50" ht="11.25" customHeight="1" x14ac:dyDescent="0.2">
      <c r="A10" s="137"/>
      <c r="B10" s="93" t="s">
        <v>41</v>
      </c>
      <c r="C10" s="108"/>
      <c r="D10" s="94"/>
      <c r="E10" s="138">
        <f>IF(E13&gt;0,F10,0)</f>
        <v>0</v>
      </c>
      <c r="F10" s="96">
        <f>IF('DATOS PARA DEPURAR'!E103="S",N11,0)</f>
        <v>0</v>
      </c>
      <c r="I10" s="2277" t="s">
        <v>28</v>
      </c>
      <c r="J10" s="2278"/>
      <c r="K10" s="146" t="s">
        <v>47</v>
      </c>
      <c r="L10" s="33">
        <f>+'DATOS PARA DEPURAR'!E40</f>
        <v>0</v>
      </c>
      <c r="AU10" s="44">
        <v>145.93</v>
      </c>
      <c r="AV10" s="44">
        <f t="shared" si="0"/>
        <v>149.31</v>
      </c>
      <c r="AW10" s="44">
        <v>0.2</v>
      </c>
      <c r="AX10" s="1">
        <f>+AW10*'DATOS PARA DEPURAR'!$C$23</f>
        <v>7261.6</v>
      </c>
    </row>
    <row r="11" spans="1:50" ht="15.75" customHeight="1" thickBot="1" x14ac:dyDescent="0.25">
      <c r="A11" s="506">
        <v>31</v>
      </c>
      <c r="B11" s="2279" t="s">
        <v>78</v>
      </c>
      <c r="C11" s="2280"/>
      <c r="D11" s="2281"/>
      <c r="E11" s="507">
        <f>IF(E13&gt;0,F11,0)</f>
        <v>0</v>
      </c>
      <c r="F11" s="129">
        <f>IF('DATOS PARA DEPURAR'!E103="S",('DATOS PARA DEPURAR'!E95+'DATOS PARA DEPURAR'!E55-SUM('DATOS PARA DEPURAR'!E60:E68)-SUM('DATOS PARA DEPURAR'!E73:E76)+F15+F16),0)</f>
        <v>0</v>
      </c>
      <c r="I11" s="1226" t="s">
        <v>19</v>
      </c>
      <c r="J11" s="1227"/>
      <c r="K11" s="146" t="s">
        <v>47</v>
      </c>
      <c r="L11" s="33">
        <f>+'DATOS PARA DEPURAR'!E41</f>
        <v>0</v>
      </c>
      <c r="N11" s="59">
        <f>IF(K1="N",L1)+IF(K2="N",L2)+IF(K3="N",L3)+IF(K4="N",L4)+IF(K6="N",L6)+IF(K7="N",L7)+IF(K8="N",L8)+IF(K9="N",L9)+IF(K10="N",L10)+IF(K11="N",L11)+IF(K12="N",L12)+IF(K13="N",L13)+IF(K14="N",L14)+IF(K15="N",L15)</f>
        <v>45247074</v>
      </c>
      <c r="AU11" s="44">
        <v>149.32</v>
      </c>
      <c r="AV11" s="44">
        <f t="shared" si="0"/>
        <v>152.71</v>
      </c>
      <c r="AW11" s="44">
        <v>0.2</v>
      </c>
      <c r="AX11" s="1">
        <f>+AW11*'DATOS PARA DEPURAR'!$C$23</f>
        <v>7261.6</v>
      </c>
    </row>
    <row r="12" spans="1:50" s="89" customFormat="1" thickBot="1" x14ac:dyDescent="0.25">
      <c r="A12" s="488">
        <v>32</v>
      </c>
      <c r="B12" s="2267" t="s">
        <v>461</v>
      </c>
      <c r="C12" s="2267"/>
      <c r="D12" s="2267"/>
      <c r="E12" s="138">
        <f>IF(E13&gt;0,F12,0)</f>
        <v>0</v>
      </c>
      <c r="F12" s="89">
        <f>+'DATOS PARA DEPURAR'!E43</f>
        <v>0</v>
      </c>
      <c r="I12" s="1241" t="s">
        <v>44</v>
      </c>
      <c r="J12" s="1242"/>
      <c r="K12" s="144" t="s">
        <v>47</v>
      </c>
      <c r="L12" s="90">
        <f>+'DATOS PARA DEPURAR'!E34</f>
        <v>0</v>
      </c>
      <c r="M12" s="89">
        <f>IF(L12&lt;=L1*0.5,L12,L1*0.5)</f>
        <v>0</v>
      </c>
      <c r="N12" s="89">
        <f>+'DATOS PARA DEPURAR'!E24</f>
        <v>38004</v>
      </c>
      <c r="AU12" s="91">
        <v>152.72</v>
      </c>
      <c r="AV12" s="91">
        <f t="shared" si="0"/>
        <v>156.10000000000002</v>
      </c>
      <c r="AW12" s="91">
        <v>0.21</v>
      </c>
      <c r="AX12" s="87">
        <f>+AW12*'DATOS PARA DEPURAR'!$C$23</f>
        <v>7624.6799999999994</v>
      </c>
    </row>
    <row r="13" spans="1:50" s="89" customFormat="1" x14ac:dyDescent="0.2">
      <c r="A13" s="509">
        <v>33</v>
      </c>
      <c r="B13" s="2274" t="s">
        <v>101</v>
      </c>
      <c r="C13" s="2274"/>
      <c r="D13" s="2282"/>
      <c r="E13" s="508">
        <f>IF(I17=4,F14,0)</f>
        <v>0</v>
      </c>
      <c r="F13" s="2">
        <f>SUM(F8:F12)</f>
        <v>0</v>
      </c>
      <c r="I13" t="s">
        <v>45</v>
      </c>
      <c r="J13"/>
      <c r="K13" s="110" t="s">
        <v>47</v>
      </c>
      <c r="L13" s="1">
        <f>+'DATOS PARA DEPURAR'!E37</f>
        <v>0</v>
      </c>
      <c r="N13" s="92">
        <f>+'DATOS PARA DEPURAR'!D255</f>
        <v>0</v>
      </c>
      <c r="AU13" s="91">
        <v>156.11000000000001</v>
      </c>
      <c r="AV13" s="91">
        <f t="shared" si="0"/>
        <v>159.5</v>
      </c>
      <c r="AW13" s="91">
        <v>0.4</v>
      </c>
      <c r="AX13" s="87">
        <f>+AW13*'DATOS PARA DEPURAR'!$C$23</f>
        <v>14523.2</v>
      </c>
    </row>
    <row r="14" spans="1:50" s="89" customFormat="1" ht="15" customHeight="1" x14ac:dyDescent="0.2">
      <c r="A14" s="140">
        <f t="shared" ref="A14:A24" si="1">+A13+1</f>
        <v>34</v>
      </c>
      <c r="B14" s="357" t="s">
        <v>58</v>
      </c>
      <c r="C14" s="357"/>
      <c r="D14" s="357"/>
      <c r="E14" s="374">
        <f>IF(E13&gt;0,'DATOS PARA DEPURAR'!E128,0)</f>
        <v>0</v>
      </c>
      <c r="F14" s="486">
        <f>+F13-F12</f>
        <v>0</v>
      </c>
      <c r="I14" s="147" t="s">
        <v>187</v>
      </c>
      <c r="J14" s="147"/>
      <c r="K14" s="110" t="s">
        <v>47</v>
      </c>
      <c r="L14" s="1">
        <f>+'DATOS PARA DEPURAR'!E42</f>
        <v>9439563</v>
      </c>
      <c r="AU14" s="91">
        <v>159.51</v>
      </c>
      <c r="AV14" s="91">
        <f t="shared" si="0"/>
        <v>162.89000000000001</v>
      </c>
      <c r="AW14" s="91">
        <v>0.41</v>
      </c>
      <c r="AX14" s="87">
        <f>+AW14*'DATOS PARA DEPURAR'!$C$23</f>
        <v>14886.279999999999</v>
      </c>
    </row>
    <row r="15" spans="1:50" ht="12.75" customHeight="1" x14ac:dyDescent="0.2">
      <c r="A15" s="509">
        <f t="shared" si="1"/>
        <v>35</v>
      </c>
      <c r="B15" s="515" t="s">
        <v>59</v>
      </c>
      <c r="C15" s="515"/>
      <c r="D15" s="515"/>
      <c r="E15" s="507">
        <f>IF(E13&gt;0,'DATOS PARA DEPURAR'!C84,0)</f>
        <v>0</v>
      </c>
      <c r="F15">
        <f>IF(('DATOS PARA DEPURAR'!D60)="N",'DATOS PARA DEPURAR'!E60,0)</f>
        <v>0</v>
      </c>
      <c r="I15" s="1217" t="str">
        <f>IF(F6&lt;(12000*'DATOS PARA DEPURAR'!C23),"2","1")</f>
        <v>2</v>
      </c>
      <c r="J15" s="1217"/>
      <c r="K15" s="110"/>
      <c r="L15" s="1"/>
      <c r="N15" s="70">
        <f>+'DATOS PARA DEPURAR'!E227</f>
        <v>0</v>
      </c>
      <c r="AU15" s="44">
        <v>162.9</v>
      </c>
      <c r="AV15" s="44">
        <f t="shared" si="0"/>
        <v>166.28</v>
      </c>
      <c r="AW15" s="44">
        <v>0.41</v>
      </c>
      <c r="AX15" s="1">
        <f>+AW15*'DATOS PARA DEPURAR'!$C$23</f>
        <v>14886.279999999999</v>
      </c>
    </row>
    <row r="16" spans="1:50" ht="16.5" customHeight="1" x14ac:dyDescent="0.2">
      <c r="A16" s="140">
        <f t="shared" si="1"/>
        <v>36</v>
      </c>
      <c r="B16" s="357" t="s">
        <v>60</v>
      </c>
      <c r="C16" s="357"/>
      <c r="D16" s="357"/>
      <c r="E16" s="141">
        <f>IF(E13&gt;0,'DATOS PARA DEPURAR'!D255+'DATOS PARA DEPURAR'!D256+'DATOS PARA DEPURAR'!E227+'DATOS PARA DEPURAR'!E226,0)</f>
        <v>0</v>
      </c>
      <c r="F16">
        <f>IF(('DATOS PARA DEPURAR'!D62)="N",'DATOS PARA DEPURAR'!E62,0)</f>
        <v>0</v>
      </c>
      <c r="G16" s="2"/>
      <c r="I16" t="str">
        <f>IF(F13&lt;(2800*'DATOS PARA DEPURAR'!C23),"2","1")</f>
        <v>2</v>
      </c>
      <c r="AU16" s="44">
        <v>166.29</v>
      </c>
      <c r="AV16" s="44">
        <f t="shared" si="0"/>
        <v>169.68</v>
      </c>
      <c r="AW16" s="44">
        <v>0.7</v>
      </c>
      <c r="AX16" s="1">
        <f>+AW16*'DATOS PARA DEPURAR'!$C$23</f>
        <v>25415.599999999999</v>
      </c>
    </row>
    <row r="17" spans="1:50" ht="14.25" customHeight="1" x14ac:dyDescent="0.2">
      <c r="A17" s="509">
        <f t="shared" si="1"/>
        <v>37</v>
      </c>
      <c r="B17" s="515" t="s">
        <v>61</v>
      </c>
      <c r="C17" s="515"/>
      <c r="D17" s="515"/>
      <c r="E17" s="516">
        <f>IF(E13&gt;0,'DATOS PARA DEPURAR'!E262,0)</f>
        <v>0</v>
      </c>
      <c r="I17" s="2286">
        <f>+I15+I16</f>
        <v>4</v>
      </c>
      <c r="J17" s="2286"/>
      <c r="K17" s="104"/>
      <c r="AU17" s="44">
        <v>169.69</v>
      </c>
      <c r="AV17" s="44">
        <f t="shared" si="0"/>
        <v>176.46</v>
      </c>
      <c r="AW17" s="44">
        <v>0.73</v>
      </c>
      <c r="AX17" s="1">
        <f>+AW17*'DATOS PARA DEPURAR'!$C$23</f>
        <v>26504.84</v>
      </c>
    </row>
    <row r="18" spans="1:50" ht="16.5" customHeight="1" x14ac:dyDescent="0.2">
      <c r="A18" s="140">
        <f t="shared" si="1"/>
        <v>38</v>
      </c>
      <c r="B18" s="357" t="s">
        <v>69</v>
      </c>
      <c r="C18" s="357"/>
      <c r="D18" s="357"/>
      <c r="E18" s="141">
        <f>IF(E13&gt;0,'DEPURACION ORDINARIO 2017'!K14,0)</f>
        <v>0</v>
      </c>
      <c r="AU18" s="44">
        <v>176.47</v>
      </c>
      <c r="AV18" s="44">
        <f t="shared" si="0"/>
        <v>-0.01</v>
      </c>
      <c r="AW18" s="44">
        <v>1.1499999999999999</v>
      </c>
      <c r="AX18" s="1">
        <f>+AW18*'DATOS PARA DEPURAR'!$C$23</f>
        <v>41754.199999999997</v>
      </c>
    </row>
    <row r="19" spans="1:50" ht="16.5" customHeight="1" x14ac:dyDescent="0.2">
      <c r="A19" s="509">
        <f t="shared" si="1"/>
        <v>39</v>
      </c>
      <c r="B19" s="515" t="s">
        <v>62</v>
      </c>
      <c r="C19" s="515"/>
      <c r="D19" s="515"/>
      <c r="E19" s="516">
        <f>IF(E13&gt;0,'DATOS PARA DEPURAR'!E216,0)</f>
        <v>0</v>
      </c>
      <c r="AU19" s="44"/>
      <c r="AV19" s="44"/>
      <c r="AW19" s="44"/>
      <c r="AX19" s="1"/>
    </row>
    <row r="20" spans="1:50" ht="14.25" customHeight="1" x14ac:dyDescent="0.2">
      <c r="A20" s="140">
        <f t="shared" si="1"/>
        <v>40</v>
      </c>
      <c r="B20" s="357" t="s">
        <v>63</v>
      </c>
      <c r="C20" s="357"/>
      <c r="D20" s="357"/>
      <c r="E20" s="141">
        <f>IF(E13&gt;0,'DATOS PARA DEPURAR'!E217,0)</f>
        <v>0</v>
      </c>
      <c r="I20" s="85"/>
      <c r="J20" s="85"/>
      <c r="K20" s="85"/>
      <c r="L20" s="85"/>
      <c r="AU20" s="44"/>
      <c r="AV20" s="44"/>
      <c r="AW20" s="44"/>
      <c r="AX20" s="1"/>
    </row>
    <row r="21" spans="1:50" ht="14.25" customHeight="1" x14ac:dyDescent="0.2">
      <c r="A21" s="509">
        <f t="shared" si="1"/>
        <v>41</v>
      </c>
      <c r="B21" s="515" t="s">
        <v>64</v>
      </c>
      <c r="C21" s="515"/>
      <c r="D21" s="515"/>
      <c r="E21" s="516">
        <f>IF(E13&gt;0,SUM(I28:I29),0)</f>
        <v>0</v>
      </c>
      <c r="F21">
        <f>+'DATOS PARA DEPURAR'!E38</f>
        <v>0</v>
      </c>
      <c r="I21" s="34" t="s">
        <v>20</v>
      </c>
      <c r="J21" s="4"/>
      <c r="K21" s="4" t="str">
        <f>+'DATOS PARA DEPURAR'!D114</f>
        <v>S</v>
      </c>
      <c r="L21" s="12">
        <f>+'DATOS PARA DEPURAR'!E114</f>
        <v>0</v>
      </c>
      <c r="AU21" s="44"/>
      <c r="AV21" s="44"/>
      <c r="AW21" s="44"/>
      <c r="AX21" s="1"/>
    </row>
    <row r="22" spans="1:50" ht="16.5" customHeight="1" x14ac:dyDescent="0.2">
      <c r="A22" s="140">
        <f t="shared" si="1"/>
        <v>42</v>
      </c>
      <c r="B22" s="357" t="s">
        <v>65</v>
      </c>
      <c r="C22" s="357"/>
      <c r="D22" s="357"/>
      <c r="E22" s="374">
        <f>IF((E13)&gt;0,('DATOS PARA DEPURAR'!E38+'DATOS PARA DEPURAR'!E81),0)</f>
        <v>0</v>
      </c>
      <c r="I22" s="34" t="s">
        <v>4</v>
      </c>
      <c r="J22" s="12" t="b">
        <f>IF(K21=1,L21,IF(K21=2,0))</f>
        <v>0</v>
      </c>
      <c r="K22" s="12"/>
      <c r="L22" s="4"/>
      <c r="AU22" s="44"/>
      <c r="AV22" s="44"/>
      <c r="AW22" s="44"/>
      <c r="AX22" s="1"/>
    </row>
    <row r="23" spans="1:50" ht="14.25" customHeight="1" x14ac:dyDescent="0.2">
      <c r="A23" s="509">
        <f t="shared" si="1"/>
        <v>43</v>
      </c>
      <c r="B23" s="515" t="s">
        <v>66</v>
      </c>
      <c r="C23" s="515"/>
      <c r="D23" s="515"/>
      <c r="E23" s="516">
        <f>IF(E13&gt;0,'DATOS PARA DEPURAR'!E39+'DATOS PARA DEPURAR'!E40,0)</f>
        <v>0</v>
      </c>
      <c r="I23" s="1213"/>
      <c r="J23" s="1214"/>
      <c r="K23" s="1214"/>
      <c r="L23" s="1215"/>
      <c r="AU23" s="44"/>
      <c r="AV23" s="44"/>
      <c r="AW23" s="44"/>
      <c r="AX23" s="1"/>
    </row>
    <row r="24" spans="1:50" ht="16.5" customHeight="1" x14ac:dyDescent="0.2">
      <c r="A24" s="140">
        <f t="shared" si="1"/>
        <v>44</v>
      </c>
      <c r="B24" s="357" t="s">
        <v>67</v>
      </c>
      <c r="C24" s="357"/>
      <c r="D24" s="357"/>
      <c r="E24" s="141">
        <f>IF(E13&gt;0,'DATOS PARA DEPURAR'!E33,0)</f>
        <v>0</v>
      </c>
      <c r="I24" s="85"/>
      <c r="J24" s="85"/>
      <c r="K24" s="85"/>
      <c r="L24" s="85"/>
      <c r="AU24" s="44"/>
      <c r="AV24" s="44"/>
      <c r="AW24" s="44"/>
      <c r="AX24" s="1"/>
    </row>
    <row r="25" spans="1:50" ht="12" customHeight="1" x14ac:dyDescent="0.2">
      <c r="A25" s="509">
        <v>45</v>
      </c>
      <c r="B25" s="515" t="s">
        <v>68</v>
      </c>
      <c r="C25" s="515"/>
      <c r="D25" s="515"/>
      <c r="E25" s="516">
        <f>IF(E13&gt;0,'DATOS PARA DEPURAR'!E85,0)</f>
        <v>0</v>
      </c>
      <c r="I25" s="85"/>
      <c r="J25" s="85"/>
      <c r="K25" s="85"/>
      <c r="L25" s="85"/>
      <c r="AU25" s="44"/>
      <c r="AV25" s="44"/>
      <c r="AW25" s="44"/>
      <c r="AX25" s="1"/>
    </row>
    <row r="26" spans="1:50" s="51" customFormat="1" ht="16.5" customHeight="1" x14ac:dyDescent="0.2">
      <c r="A26" s="1195" t="s">
        <v>361</v>
      </c>
      <c r="B26" s="1196"/>
      <c r="C26" s="1196"/>
      <c r="D26" s="1196"/>
      <c r="E26" s="1197"/>
      <c r="I26" s="82"/>
      <c r="J26" s="83"/>
      <c r="K26" s="1207"/>
      <c r="L26" s="1207"/>
      <c r="N26" s="84"/>
      <c r="AU26" s="44"/>
      <c r="AV26" s="44"/>
      <c r="AW26" s="44"/>
      <c r="AX26" s="83"/>
    </row>
    <row r="27" spans="1:50" s="51" customFormat="1" ht="16.5" customHeight="1" x14ac:dyDescent="0.2">
      <c r="A27" s="142">
        <f>+A25+1</f>
        <v>46</v>
      </c>
      <c r="B27" s="373" t="s">
        <v>70</v>
      </c>
      <c r="C27" s="373"/>
      <c r="D27" s="373"/>
      <c r="E27" s="141">
        <f>IF((E13)&gt;0,('DATOS PARA DEPURAR'!E77),0)</f>
        <v>0</v>
      </c>
      <c r="I27" s="82"/>
      <c r="J27" s="83"/>
      <c r="K27" s="83"/>
      <c r="N27" s="84"/>
      <c r="AU27" s="44"/>
      <c r="AV27" s="44"/>
      <c r="AW27" s="44"/>
      <c r="AX27" s="83"/>
    </row>
    <row r="28" spans="1:50" s="51" customFormat="1" ht="14.25" customHeight="1" x14ac:dyDescent="0.2">
      <c r="A28" s="509">
        <f t="shared" ref="A28:A45" si="2">+A27+1</f>
        <v>47</v>
      </c>
      <c r="B28" s="515" t="s">
        <v>71</v>
      </c>
      <c r="C28" s="515"/>
      <c r="D28" s="515"/>
      <c r="E28" s="514">
        <f>E13-SUM(E14:E27)</f>
        <v>0</v>
      </c>
      <c r="I28" s="82">
        <f>IF('DATOS PARA DEPURAR'!D60="N",'DATOS PARA DEPURAR'!E166,0)</f>
        <v>0</v>
      </c>
      <c r="J28" s="83"/>
      <c r="K28" s="83"/>
      <c r="N28" s="84"/>
      <c r="AU28" s="44"/>
      <c r="AV28" s="44"/>
      <c r="AW28" s="44"/>
      <c r="AX28" s="83"/>
    </row>
    <row r="29" spans="1:50" s="51" customFormat="1" ht="16.5" customHeight="1" x14ac:dyDescent="0.2">
      <c r="A29" s="142">
        <f t="shared" si="2"/>
        <v>48</v>
      </c>
      <c r="B29" s="357" t="s">
        <v>92</v>
      </c>
      <c r="C29" s="357"/>
      <c r="D29" s="357"/>
      <c r="E29" s="143">
        <f>IF(E13&gt;0,SUM(J30:J31),0)</f>
        <v>0</v>
      </c>
      <c r="I29" s="82">
        <f>IF('DATOS PARA DEPURAR'!D62="N",'DATOS PARA DEPURAR'!E167,0)</f>
        <v>0</v>
      </c>
      <c r="J29" s="83"/>
      <c r="K29" s="83"/>
      <c r="N29" s="84"/>
      <c r="AU29" s="44"/>
      <c r="AV29" s="44"/>
      <c r="AW29" s="44"/>
      <c r="AX29" s="83"/>
    </row>
    <row r="30" spans="1:50" s="51" customFormat="1" ht="13.5" customHeight="1" x14ac:dyDescent="0.2">
      <c r="A30" s="509">
        <f t="shared" si="2"/>
        <v>49</v>
      </c>
      <c r="B30" s="515" t="s">
        <v>93</v>
      </c>
      <c r="C30" s="515"/>
      <c r="D30" s="515"/>
      <c r="E30" s="514">
        <f>IF(E13&gt;0,SUM(I40:I41),0)</f>
        <v>0</v>
      </c>
      <c r="I30" s="105" t="s">
        <v>96</v>
      </c>
      <c r="J30" s="83">
        <f>IF('DATOS PARA DEPURAR'!E64&gt;0,'DATOS PARA DEPURAR'!E64,0)</f>
        <v>0</v>
      </c>
      <c r="K30" s="134">
        <f>+J30*0.2</f>
        <v>0</v>
      </c>
      <c r="L30" s="83"/>
      <c r="N30" s="84"/>
      <c r="AU30" s="44"/>
      <c r="AV30" s="44"/>
      <c r="AW30" s="44"/>
      <c r="AX30" s="83"/>
    </row>
    <row r="31" spans="1:50" s="51" customFormat="1" ht="16.5" customHeight="1" x14ac:dyDescent="0.2">
      <c r="A31" s="142">
        <f t="shared" si="2"/>
        <v>50</v>
      </c>
      <c r="B31" s="357" t="s">
        <v>94</v>
      </c>
      <c r="C31" s="357"/>
      <c r="D31" s="357"/>
      <c r="E31" s="374">
        <f>IF(E13&gt;0,I42,0)</f>
        <v>0</v>
      </c>
      <c r="I31" s="105" t="s">
        <v>97</v>
      </c>
      <c r="J31" s="41">
        <f>SUM(I37:I38)</f>
        <v>0</v>
      </c>
      <c r="K31" s="83">
        <f>+(J31-I42-I40-I41)*0.1</f>
        <v>0</v>
      </c>
      <c r="L31" s="83"/>
      <c r="N31" s="84"/>
      <c r="AU31" s="44"/>
      <c r="AV31" s="44"/>
      <c r="AW31" s="44"/>
      <c r="AX31" s="83"/>
    </row>
    <row r="32" spans="1:50" s="51" customFormat="1" ht="15" customHeight="1" x14ac:dyDescent="0.2">
      <c r="A32" s="509">
        <f t="shared" si="2"/>
        <v>51</v>
      </c>
      <c r="B32" s="515" t="s">
        <v>95</v>
      </c>
      <c r="C32" s="515"/>
      <c r="D32" s="515"/>
      <c r="E32" s="514">
        <f>+E29-E30-E31</f>
        <v>0</v>
      </c>
      <c r="F32" s="51">
        <f>IF(E32&gt;0,SUM(K30:K31),0)</f>
        <v>0</v>
      </c>
      <c r="L32" s="83"/>
      <c r="N32" s="84"/>
      <c r="AU32" s="44"/>
      <c r="AV32" s="44"/>
      <c r="AW32" s="44"/>
      <c r="AX32" s="83"/>
    </row>
    <row r="33" spans="1:50" s="51" customFormat="1" ht="12.75" customHeight="1" x14ac:dyDescent="0.2">
      <c r="A33" s="142">
        <f>+A32+1</f>
        <v>52</v>
      </c>
      <c r="B33" s="357" t="s">
        <v>105</v>
      </c>
      <c r="C33" s="357"/>
      <c r="D33" s="357"/>
      <c r="E33" s="143">
        <f>IF(E13&gt;0,E59,0)</f>
        <v>0</v>
      </c>
      <c r="F33" s="83">
        <f>IF(E13&gt;0,E59,0)</f>
        <v>0</v>
      </c>
      <c r="I33" s="82" t="s">
        <v>21</v>
      </c>
      <c r="L33" s="83">
        <f>+'DATOS PARA DEPURAR'!E126</f>
        <v>0</v>
      </c>
      <c r="N33" s="84" t="s">
        <v>54</v>
      </c>
      <c r="AU33" s="44">
        <v>210.41</v>
      </c>
      <c r="AV33" s="44">
        <f>+AU58-0.01</f>
        <v>217.19</v>
      </c>
      <c r="AW33" s="44">
        <v>2.96</v>
      </c>
      <c r="AX33" s="83">
        <f>+AW33*'DATOS PARA DEPURAR'!$C$23</f>
        <v>107471.67999999999</v>
      </c>
    </row>
    <row r="34" spans="1:50" s="51" customFormat="1" ht="14.25" customHeight="1" x14ac:dyDescent="0.2">
      <c r="A34" s="509">
        <f>+A33+1</f>
        <v>53</v>
      </c>
      <c r="B34" s="515" t="s">
        <v>107</v>
      </c>
      <c r="C34" s="515"/>
      <c r="D34" s="515"/>
      <c r="E34" s="514">
        <f>IF(E13&gt;0,G189,0)</f>
        <v>0</v>
      </c>
      <c r="F34" s="51">
        <f>IF(E13&gt;0,SUM('DEPURACION ORDINARIO 2017'!J24:J27),0)</f>
        <v>0</v>
      </c>
      <c r="I34" s="82"/>
      <c r="L34" s="83"/>
      <c r="N34" s="84"/>
      <c r="AU34" s="44"/>
      <c r="AV34" s="44"/>
      <c r="AW34" s="44"/>
      <c r="AX34" s="83"/>
    </row>
    <row r="35" spans="1:50" s="51" customFormat="1" ht="12.75" customHeight="1" x14ac:dyDescent="0.2">
      <c r="A35" s="496">
        <f>+A34+1</f>
        <v>54</v>
      </c>
      <c r="B35" s="497" t="s">
        <v>464</v>
      </c>
      <c r="C35" s="497"/>
      <c r="D35" s="497"/>
      <c r="E35" s="498">
        <f>IF(E13&gt;0,E33-E34,0)</f>
        <v>0</v>
      </c>
      <c r="F35" s="51">
        <f>IF(E13&gt;0,F33-F34,0)</f>
        <v>0</v>
      </c>
      <c r="I35" s="79" t="s">
        <v>22</v>
      </c>
      <c r="J35" s="80"/>
      <c r="K35" s="80"/>
      <c r="L35" s="81" t="b">
        <f>IF(L33&lt;L30,L33,IF(L33&gt;L30,L30))</f>
        <v>0</v>
      </c>
      <c r="N35" s="84"/>
      <c r="AU35" s="44"/>
      <c r="AV35" s="44"/>
      <c r="AW35" s="44"/>
      <c r="AX35" s="83"/>
    </row>
    <row r="36" spans="1:50" s="51" customFormat="1" ht="14.25" customHeight="1" x14ac:dyDescent="0.2">
      <c r="A36" s="509">
        <f t="shared" si="2"/>
        <v>55</v>
      </c>
      <c r="B36" s="517" t="s">
        <v>106</v>
      </c>
      <c r="C36" s="517"/>
      <c r="D36" s="517"/>
      <c r="E36" s="514">
        <f>IF(E32&gt;0,SUM(K30:K31),0)</f>
        <v>0</v>
      </c>
      <c r="F36" s="135"/>
      <c r="I36" s="82"/>
      <c r="L36" s="83"/>
      <c r="N36" s="84"/>
      <c r="AU36" s="44"/>
      <c r="AV36" s="44"/>
      <c r="AW36" s="44"/>
      <c r="AX36" s="83"/>
    </row>
    <row r="37" spans="1:50" s="51" customFormat="1" ht="16.5" customHeight="1" x14ac:dyDescent="0.2">
      <c r="A37" s="496">
        <f t="shared" si="2"/>
        <v>56</v>
      </c>
      <c r="B37" s="497" t="s">
        <v>108</v>
      </c>
      <c r="C37" s="497"/>
      <c r="D37" s="497"/>
      <c r="E37" s="498">
        <f>IF(E13&gt;0,E35-E36,0)</f>
        <v>0</v>
      </c>
      <c r="F37" s="51">
        <f>IF('DATOS PARA DEPURAR'!E20&gt;0,'DATOS PARA DEPURAR'!E20,0)</f>
        <v>1820000</v>
      </c>
      <c r="I37" s="41">
        <f>IF('DATOS PARA DEPURAR'!D60="S",'DATOS PARA DEPURAR'!E60)+SUM('DATOS PARA DEPURAR'!E65:E68)+SUM('DATOS PARA DEPURAR'!E73:E76)</f>
        <v>0</v>
      </c>
      <c r="L37" s="83"/>
      <c r="N37" s="84"/>
      <c r="AU37" s="44"/>
      <c r="AV37" s="44"/>
      <c r="AW37" s="44"/>
      <c r="AX37" s="83"/>
    </row>
    <row r="38" spans="1:50" s="51" customFormat="1" ht="15.75" customHeight="1" x14ac:dyDescent="0.2">
      <c r="A38" s="509">
        <f t="shared" si="2"/>
        <v>57</v>
      </c>
      <c r="B38" s="515" t="s">
        <v>205</v>
      </c>
      <c r="C38" s="515"/>
      <c r="D38" s="515"/>
      <c r="E38" s="514">
        <f>IF(($E$13)&gt;0,F37,0)</f>
        <v>0</v>
      </c>
      <c r="F38" s="51">
        <f>IF('DATOS PARA DEPURAR'!C21&gt;0,'DATOS PARA DEPURAR'!C21,0)</f>
        <v>0</v>
      </c>
      <c r="I38" s="83">
        <f>IF('DATOS PARA DEPURAR'!D62="S",'DATOS PARA DEPURAR'!E62,0)</f>
        <v>0</v>
      </c>
      <c r="K38" s="135"/>
      <c r="L38" s="83"/>
      <c r="N38" s="84"/>
      <c r="AU38" s="44"/>
      <c r="AV38" s="44"/>
      <c r="AW38" s="44"/>
      <c r="AX38" s="83"/>
    </row>
    <row r="39" spans="1:50" s="51" customFormat="1" ht="14.25" customHeight="1" x14ac:dyDescent="0.2">
      <c r="A39" s="496">
        <f t="shared" si="2"/>
        <v>58</v>
      </c>
      <c r="B39" s="497" t="s">
        <v>206</v>
      </c>
      <c r="C39" s="497"/>
      <c r="D39" s="497"/>
      <c r="E39" s="498">
        <f>IF(($E$13)&gt;0,F38,0)</f>
        <v>0</v>
      </c>
      <c r="I39" s="83">
        <f>IF('DATOS PARA DEPURAR'!D62="S",'DATOS PARA DEPURAR'!E62,0)</f>
        <v>0</v>
      </c>
      <c r="L39" s="83"/>
      <c r="N39" s="84"/>
      <c r="AU39" s="44"/>
      <c r="AV39" s="44"/>
      <c r="AW39" s="44"/>
      <c r="AX39" s="83"/>
    </row>
    <row r="40" spans="1:50" s="36" customFormat="1" ht="12.75" customHeight="1" x14ac:dyDescent="0.2">
      <c r="A40" s="509">
        <f t="shared" si="2"/>
        <v>59</v>
      </c>
      <c r="B40" s="556" t="s">
        <v>484</v>
      </c>
      <c r="C40" s="515"/>
      <c r="D40" s="515"/>
      <c r="E40" s="514">
        <f>IF((E13)&gt;0,'DATOS PARA DEPURAR'!E308,0)</f>
        <v>0</v>
      </c>
      <c r="I40" s="82">
        <f>IF('DATOS PARA DEPURAR'!D60="S",'DATOS PARA DEPURAR'!E166,0)</f>
        <v>0</v>
      </c>
      <c r="L40" s="37"/>
      <c r="N40" s="106"/>
      <c r="AU40" s="107"/>
      <c r="AV40" s="107"/>
      <c r="AW40" s="107"/>
      <c r="AX40" s="37"/>
    </row>
    <row r="41" spans="1:50" s="51" customFormat="1" ht="16.5" customHeight="1" x14ac:dyDescent="0.2">
      <c r="A41" s="496">
        <f t="shared" si="2"/>
        <v>60</v>
      </c>
      <c r="B41" s="497" t="s">
        <v>207</v>
      </c>
      <c r="C41" s="497"/>
      <c r="D41" s="497"/>
      <c r="E41" s="498">
        <f>IF(L46&gt;0,L46,L43)</f>
        <v>0</v>
      </c>
      <c r="I41" s="82">
        <f>IF('DATOS PARA DEPURAR'!D62="S",'DATOS PARA DEPURAR'!E167,0)</f>
        <v>0</v>
      </c>
      <c r="L41" s="83"/>
      <c r="N41" s="84"/>
      <c r="AU41" s="44"/>
      <c r="AV41" s="44"/>
      <c r="AW41" s="44"/>
      <c r="AX41" s="83"/>
    </row>
    <row r="42" spans="1:50" s="36" customFormat="1" ht="12.75" customHeight="1" x14ac:dyDescent="0.2">
      <c r="A42" s="509">
        <f t="shared" si="2"/>
        <v>61</v>
      </c>
      <c r="B42" s="515" t="s">
        <v>180</v>
      </c>
      <c r="C42" s="515"/>
      <c r="D42" s="515"/>
      <c r="E42" s="514">
        <f>IF((E37+E41-E38-E39-E40)&gt;0,E37+E41-E38-E39-E40,0)</f>
        <v>0</v>
      </c>
      <c r="I42" s="37">
        <f>IF('DATOS PARA DEPURAR'!E285&gt;0,'DATOS PARA DEPURAR'!E285,0)</f>
        <v>0</v>
      </c>
      <c r="J42" s="37">
        <f>IF((E37-E35)&gt;0,E37-E35,0)</f>
        <v>0</v>
      </c>
      <c r="L42" s="37"/>
      <c r="N42" s="106"/>
      <c r="AU42" s="107"/>
      <c r="AV42" s="107"/>
      <c r="AW42" s="107"/>
      <c r="AX42" s="37"/>
    </row>
    <row r="43" spans="1:50" s="36" customFormat="1" ht="13.5" customHeight="1" x14ac:dyDescent="0.2">
      <c r="A43" s="496">
        <f t="shared" si="2"/>
        <v>62</v>
      </c>
      <c r="B43" s="497" t="s">
        <v>181</v>
      </c>
      <c r="C43" s="497"/>
      <c r="D43" s="497"/>
      <c r="E43" s="498">
        <f>IF(E13&gt;0,C103,0)</f>
        <v>0</v>
      </c>
      <c r="I43" s="37" t="b">
        <f>IF((E37-E35)&gt;0,((E37-E35)*J43-J46))</f>
        <v>0</v>
      </c>
      <c r="J43" s="37">
        <f>IF(((J42*K44)-'DATOS PARA DEPURAR'!E301)&gt;0,((J42*K44)-'DATOS PARA DEPURAR'!E301),0)</f>
        <v>0</v>
      </c>
      <c r="K43" s="36">
        <f>+'DATOS PARA DEPURAR'!E21</f>
        <v>3</v>
      </c>
      <c r="L43" s="37">
        <f>IF(J43&gt;0,J43,0)</f>
        <v>0</v>
      </c>
      <c r="N43" s="106"/>
      <c r="AU43" s="107"/>
      <c r="AV43" s="107"/>
      <c r="AW43" s="107"/>
      <c r="AX43" s="37"/>
    </row>
    <row r="44" spans="1:50" s="36" customFormat="1" ht="14.25" customHeight="1" x14ac:dyDescent="0.2">
      <c r="A44" s="509">
        <f t="shared" si="2"/>
        <v>63</v>
      </c>
      <c r="B44" s="515" t="s">
        <v>182</v>
      </c>
      <c r="C44" s="515"/>
      <c r="D44" s="515"/>
      <c r="E44" s="514">
        <f>IF((E37+E41+E43-E38-E39-E40)&gt;0,E37+E41+E43-E38-E39-E40,0)</f>
        <v>0</v>
      </c>
      <c r="I44" s="37"/>
      <c r="J44" s="37">
        <f>IF(J48&gt;0,(J48*K44)-'DATOS PARA DEPURAR'!E301,0)</f>
        <v>14956500</v>
      </c>
      <c r="K44" s="36">
        <f>IF(K43=1,25%,IF(K43=2,50%,IF(K43=3,75%,0)))</f>
        <v>0.75</v>
      </c>
      <c r="L44" s="37">
        <f>IF(J44&gt;0,J44,0)</f>
        <v>14956500</v>
      </c>
      <c r="N44" s="106"/>
      <c r="AU44" s="107"/>
      <c r="AV44" s="107"/>
      <c r="AW44" s="107"/>
      <c r="AX44" s="37"/>
    </row>
    <row r="45" spans="1:50" s="36" customFormat="1" ht="14.25" customHeight="1" thickBot="1" x14ac:dyDescent="0.25">
      <c r="A45" s="499">
        <f t="shared" si="2"/>
        <v>64</v>
      </c>
      <c r="B45" s="500" t="s">
        <v>183</v>
      </c>
      <c r="C45" s="500"/>
      <c r="D45" s="500"/>
      <c r="E45" s="501">
        <f>IF((E38+E39+E40-E37-E41-E43)&gt;0,E38+E39+E40-E37-E41-E43,0)</f>
        <v>0</v>
      </c>
      <c r="I45" s="37" t="str">
        <f>IF('DATOS PARA DEPURAR'!C13="S",D113,B111)</f>
        <v>YAOP</v>
      </c>
      <c r="J45" s="37"/>
      <c r="L45" s="37"/>
      <c r="N45" s="106"/>
      <c r="AU45" s="107"/>
      <c r="AV45" s="107"/>
      <c r="AW45" s="107"/>
      <c r="AX45" s="37"/>
    </row>
    <row r="46" spans="1:50" s="36" customFormat="1" ht="14.25" customHeight="1" x14ac:dyDescent="0.25">
      <c r="A46" s="2271" t="str">
        <f>IF(E13&gt;0,I45,B111)</f>
        <v>YAOP</v>
      </c>
      <c r="B46" s="2272"/>
      <c r="C46" s="2272"/>
      <c r="D46" s="2272"/>
      <c r="E46" s="2273"/>
      <c r="I46" s="37"/>
      <c r="J46" s="37"/>
      <c r="L46" s="37">
        <f>MIN(L43:L44)</f>
        <v>0</v>
      </c>
      <c r="N46" s="106"/>
      <c r="AU46" s="107"/>
      <c r="AV46" s="107"/>
      <c r="AW46" s="107"/>
      <c r="AX46" s="37"/>
    </row>
    <row r="47" spans="1:50" s="36" customFormat="1" ht="12" customHeight="1" x14ac:dyDescent="0.2">
      <c r="A47" s="2268" t="s">
        <v>368</v>
      </c>
      <c r="B47" s="2269"/>
      <c r="C47" s="2269"/>
      <c r="D47" s="2269"/>
      <c r="E47" s="2270"/>
      <c r="I47" s="37"/>
      <c r="J47" s="37"/>
      <c r="L47" s="37"/>
      <c r="N47" s="106"/>
      <c r="AU47" s="107"/>
      <c r="AV47" s="107"/>
      <c r="AW47" s="107"/>
      <c r="AX47" s="37"/>
    </row>
    <row r="48" spans="1:50" s="36" customFormat="1" ht="9" customHeight="1" x14ac:dyDescent="0.2">
      <c r="A48" s="489"/>
      <c r="B48" s="150"/>
      <c r="C48" s="150"/>
      <c r="D48" s="150"/>
      <c r="E48" s="490"/>
      <c r="I48" s="37"/>
      <c r="J48" s="36">
        <f>IF((K48)&gt;0,(K48+J42)/2,0)</f>
        <v>36070000</v>
      </c>
      <c r="K48" s="36">
        <f>+'DATOS PARA DEPURAR'!C20</f>
        <v>72140000</v>
      </c>
      <c r="L48" s="37"/>
      <c r="N48" s="106"/>
      <c r="AU48" s="107"/>
      <c r="AV48" s="107"/>
      <c r="AW48" s="107"/>
      <c r="AX48" s="37"/>
    </row>
    <row r="49" spans="1:50" s="36" customFormat="1" ht="17.25" customHeight="1" x14ac:dyDescent="0.25">
      <c r="A49" s="62" t="s">
        <v>38</v>
      </c>
      <c r="B49" s="63"/>
      <c r="C49" s="151"/>
      <c r="D49" s="151"/>
      <c r="E49" s="491"/>
      <c r="I49" s="37"/>
      <c r="L49" s="37"/>
      <c r="N49" s="106"/>
      <c r="AU49" s="107"/>
      <c r="AV49" s="107"/>
      <c r="AW49" s="107"/>
      <c r="AX49" s="37"/>
    </row>
    <row r="50" spans="1:50" s="51" customFormat="1" x14ac:dyDescent="0.2">
      <c r="A50" s="58"/>
      <c r="B50" s="64" t="s">
        <v>39</v>
      </c>
      <c r="C50" s="151"/>
      <c r="D50" s="151"/>
      <c r="E50" s="491"/>
      <c r="I50" s="82"/>
      <c r="L50" s="83"/>
      <c r="N50" s="84"/>
      <c r="AU50" s="44"/>
      <c r="AV50" s="44"/>
      <c r="AW50" s="44"/>
      <c r="AX50" s="83"/>
    </row>
    <row r="51" spans="1:50" s="51" customFormat="1" ht="13.5" thickBot="1" x14ac:dyDescent="0.25">
      <c r="A51" s="65"/>
      <c r="B51" s="66" t="s">
        <v>57</v>
      </c>
      <c r="C51" s="152"/>
      <c r="D51" s="152"/>
      <c r="E51" s="492"/>
      <c r="I51" s="82"/>
      <c r="L51" s="83"/>
      <c r="N51" s="84"/>
      <c r="AU51" s="44"/>
      <c r="AV51" s="44"/>
      <c r="AW51" s="44"/>
      <c r="AX51" s="83"/>
    </row>
    <row r="52" spans="1:50" s="51" customFormat="1" hidden="1" x14ac:dyDescent="0.2">
      <c r="I52" s="82"/>
      <c r="L52" s="83"/>
      <c r="N52" s="84"/>
      <c r="AU52" s="44"/>
      <c r="AV52" s="44"/>
      <c r="AW52" s="44"/>
      <c r="AX52" s="83"/>
    </row>
    <row r="53" spans="1:50" s="51" customFormat="1" hidden="1" x14ac:dyDescent="0.2">
      <c r="I53" s="82"/>
      <c r="L53" s="83"/>
      <c r="N53" s="84"/>
      <c r="AU53" s="44"/>
      <c r="AV53" s="44"/>
      <c r="AW53" s="44"/>
      <c r="AX53" s="83"/>
    </row>
    <row r="54" spans="1:50" s="51" customFormat="1" ht="13.5" hidden="1" thickBot="1" x14ac:dyDescent="0.25">
      <c r="I54" s="82"/>
      <c r="L54" s="83"/>
      <c r="N54" s="84"/>
      <c r="AU54" s="44"/>
      <c r="AV54" s="44"/>
      <c r="AW54" s="44"/>
      <c r="AX54" s="83"/>
    </row>
    <row r="55" spans="1:50" s="51" customFormat="1" ht="15.75" hidden="1" thickBot="1" x14ac:dyDescent="0.3">
      <c r="A55" s="121" t="s">
        <v>35</v>
      </c>
      <c r="B55" s="122"/>
      <c r="C55" s="118" t="s">
        <v>81</v>
      </c>
      <c r="D55" s="118"/>
      <c r="E55" s="97" t="s">
        <v>82</v>
      </c>
      <c r="I55" s="82"/>
      <c r="L55" s="83"/>
      <c r="N55" s="84"/>
      <c r="AU55" s="44"/>
      <c r="AV55" s="44"/>
      <c r="AW55" s="44"/>
      <c r="AX55" s="83"/>
    </row>
    <row r="56" spans="1:50" s="51" customFormat="1" hidden="1" x14ac:dyDescent="0.2">
      <c r="A56" s="123" t="s">
        <v>18</v>
      </c>
      <c r="B56" s="124"/>
      <c r="C56" s="119">
        <f>+E13/'DATOS PARA DEPURAR'!C23</f>
        <v>0</v>
      </c>
      <c r="D56" s="119"/>
      <c r="E56" s="429">
        <f>+C56*'DATOS PARA DEPURAR'!$C$23</f>
        <v>0</v>
      </c>
      <c r="I56" s="82"/>
      <c r="L56" s="83"/>
      <c r="N56" s="84"/>
      <c r="AU56" s="44"/>
      <c r="AV56" s="44"/>
      <c r="AW56" s="44"/>
      <c r="AX56" s="83"/>
    </row>
    <row r="57" spans="1:50" s="51" customFormat="1" hidden="1" x14ac:dyDescent="0.2">
      <c r="A57" s="113" t="s">
        <v>83</v>
      </c>
      <c r="B57" s="114"/>
      <c r="C57" s="120">
        <f>IF(E28&gt;0,E28/'DATOS PARA DEPURAR'!C23,0)</f>
        <v>0</v>
      </c>
      <c r="D57" s="120"/>
      <c r="E57" s="430">
        <f>+C57*'DATOS PARA DEPURAR'!C23</f>
        <v>0</v>
      </c>
      <c r="I57" s="82"/>
      <c r="L57" s="83"/>
      <c r="N57" s="84"/>
      <c r="AU57" s="44"/>
      <c r="AV57" s="44"/>
      <c r="AW57" s="44"/>
      <c r="AX57" s="83"/>
    </row>
    <row r="58" spans="1:50" hidden="1" x14ac:dyDescent="0.2">
      <c r="A58" s="113" t="s">
        <v>84</v>
      </c>
      <c r="B58" s="114"/>
      <c r="C58" s="111">
        <f>+C61</f>
        <v>0</v>
      </c>
      <c r="D58" s="112"/>
      <c r="E58" s="430">
        <f>+C58*'DATOS PARA DEPURAR'!C23</f>
        <v>0</v>
      </c>
      <c r="AU58" s="44">
        <v>217.2</v>
      </c>
      <c r="AV58" s="44">
        <f t="shared" si="0"/>
        <v>223.98000000000002</v>
      </c>
      <c r="AW58" s="44">
        <v>3.75</v>
      </c>
      <c r="AX58" s="1">
        <f>+AW58*'DATOS PARA DEPURAR'!$C$23</f>
        <v>136155</v>
      </c>
    </row>
    <row r="59" spans="1:50" ht="13.5" hidden="1" thickBot="1" x14ac:dyDescent="0.25">
      <c r="A59" s="115" t="s">
        <v>85</v>
      </c>
      <c r="B59" s="116"/>
      <c r="C59" s="117">
        <f>LOOKUP(C57,E126:F167,I126:I167)</f>
        <v>0</v>
      </c>
      <c r="D59" s="117"/>
      <c r="E59" s="431">
        <f>+C59*'DATOS PARA DEPURAR'!C23</f>
        <v>0</v>
      </c>
      <c r="AU59" s="44">
        <v>223.99</v>
      </c>
      <c r="AV59" s="44">
        <f t="shared" si="0"/>
        <v>230.76000000000002</v>
      </c>
      <c r="AW59" s="44">
        <v>3.87</v>
      </c>
      <c r="AX59" s="1">
        <f>+AW59*'DATOS PARA DEPURAR'!$C$23</f>
        <v>140511.96</v>
      </c>
    </row>
    <row r="60" spans="1:50" hidden="1" x14ac:dyDescent="0.2">
      <c r="I60" s="3" t="s">
        <v>23</v>
      </c>
      <c r="AU60" s="44">
        <v>230.77</v>
      </c>
      <c r="AV60" s="44">
        <f t="shared" si="0"/>
        <v>237.55</v>
      </c>
      <c r="AW60" s="44">
        <v>4.63</v>
      </c>
      <c r="AX60" s="1">
        <f>+AW60*'DATOS PARA DEPURAR'!$C$23</f>
        <v>168106.04</v>
      </c>
    </row>
    <row r="61" spans="1:50" hidden="1" x14ac:dyDescent="0.2">
      <c r="C61">
        <f>IF(C57&lt;=13642.99,D61,IF(C57&gt;13642.99,(C57-1622)*27%,0))</f>
        <v>0</v>
      </c>
      <c r="D61" s="39">
        <f>LOOKUP(C57,A126:B210,C126:C210)</f>
        <v>0</v>
      </c>
      <c r="I61" s="1" t="e">
        <f>IF(SUM(C19:C23)&gt;(E13-#REF!-#REF!)*30%,(E13-#REF!-#REF!)*30%,SUM(C19:C23))</f>
        <v>#REF!</v>
      </c>
      <c r="J61" s="1" t="e">
        <f>+(E13-#REF!-#REF!)*30%</f>
        <v>#REF!</v>
      </c>
      <c r="AU61" s="44">
        <v>237.56</v>
      </c>
      <c r="AV61" s="44">
        <f t="shared" si="0"/>
        <v>244.34</v>
      </c>
      <c r="AW61" s="44">
        <v>5.0599999999999996</v>
      </c>
      <c r="AX61" s="1">
        <f>+AW61*'DATOS PARA DEPURAR'!$C$23</f>
        <v>183718.47999999998</v>
      </c>
    </row>
    <row r="62" spans="1:50" hidden="1" x14ac:dyDescent="0.2">
      <c r="A62" s="52"/>
      <c r="B62" s="53"/>
      <c r="C62" s="53"/>
      <c r="D62" s="53"/>
      <c r="E62" s="54"/>
      <c r="I62" s="35" t="s">
        <v>29</v>
      </c>
      <c r="L62" s="1" t="e">
        <f>IF(J64&lt;J63,J64,J63)</f>
        <v>#REF!</v>
      </c>
      <c r="AU62" s="44">
        <v>244.35</v>
      </c>
      <c r="AV62" s="44">
        <f t="shared" si="0"/>
        <v>251.13</v>
      </c>
      <c r="AW62" s="44">
        <v>5.5</v>
      </c>
      <c r="AX62" s="1">
        <f>+AW62*'DATOS PARA DEPURAR'!$C$23</f>
        <v>199694</v>
      </c>
    </row>
    <row r="63" spans="1:50" hidden="1" x14ac:dyDescent="0.2">
      <c r="A63" s="55" t="s">
        <v>12</v>
      </c>
      <c r="B63" s="56"/>
      <c r="C63" s="56"/>
      <c r="D63" s="56"/>
      <c r="E63" s="57"/>
      <c r="I63" s="35" t="s">
        <v>24</v>
      </c>
      <c r="J63" s="1">
        <f>240*L71</f>
        <v>8713920</v>
      </c>
      <c r="AU63" s="44">
        <v>251.14</v>
      </c>
      <c r="AV63" s="44">
        <f t="shared" si="0"/>
        <v>257.91000000000003</v>
      </c>
      <c r="AW63" s="44">
        <v>5.96</v>
      </c>
      <c r="AX63" s="1">
        <f>+AW63*'DATOS PARA DEPURAR'!$C$23</f>
        <v>216395.68</v>
      </c>
    </row>
    <row r="64" spans="1:50" hidden="1" x14ac:dyDescent="0.2">
      <c r="A64" s="58"/>
      <c r="B64" s="60" t="str">
        <f>+L97</f>
        <v>CERO     PESOS  M/CTE</v>
      </c>
      <c r="C64" s="60"/>
      <c r="D64" s="60"/>
      <c r="E64" s="61"/>
      <c r="I64" s="32">
        <v>0.25</v>
      </c>
      <c r="J64" s="1" t="e">
        <f>((#REF!-SUM(#REF!)-J65)*25%)</f>
        <v>#REF!</v>
      </c>
      <c r="AU64" s="44">
        <v>257.92</v>
      </c>
      <c r="AV64" s="44">
        <f t="shared" si="0"/>
        <v>264.7</v>
      </c>
      <c r="AW64" s="44">
        <v>6.44</v>
      </c>
      <c r="AX64" s="1">
        <f>+AW64*'DATOS PARA DEPURAR'!$C$23</f>
        <v>233823.52000000002</v>
      </c>
    </row>
    <row r="65" spans="1:50" hidden="1" x14ac:dyDescent="0.2">
      <c r="A65" s="58"/>
      <c r="B65" s="56"/>
      <c r="C65" s="56"/>
      <c r="D65" s="56"/>
      <c r="E65" s="57"/>
      <c r="I65" s="40" t="s">
        <v>55</v>
      </c>
      <c r="J65" s="1" t="e">
        <f>IF(SUM(C19:C23)&gt;#REF!,#REF!,SUM(C19:C23))</f>
        <v>#REF!</v>
      </c>
      <c r="AU65" s="44">
        <v>264.70999999999998</v>
      </c>
      <c r="AV65" s="44">
        <f t="shared" si="0"/>
        <v>271.49</v>
      </c>
      <c r="AW65" s="44">
        <v>6.93</v>
      </c>
      <c r="AX65" s="1">
        <f>+AW65*'DATOS PARA DEPURAR'!$C$23</f>
        <v>251614.44</v>
      </c>
    </row>
    <row r="66" spans="1:50" hidden="1" x14ac:dyDescent="0.2">
      <c r="A66" s="58"/>
      <c r="B66" s="56"/>
      <c r="C66" s="56"/>
      <c r="D66" s="56"/>
      <c r="E66" s="57"/>
      <c r="I66" s="1198" t="s">
        <v>31</v>
      </c>
      <c r="J66" s="1198"/>
      <c r="K66" s="1198"/>
      <c r="L66" s="1">
        <f>+'DATOS PARA DEPURAR'!E22</f>
        <v>1000000</v>
      </c>
      <c r="M66">
        <f>+'DATOS PARA DEPURAR'!E38</f>
        <v>0</v>
      </c>
      <c r="N66" s="1198" t="s">
        <v>32</v>
      </c>
      <c r="O66" s="1198"/>
      <c r="P66" s="1">
        <f>+'DATOS PARA DEPURAR'!E22</f>
        <v>1000000</v>
      </c>
      <c r="Q66">
        <f>+'DATOS PARA DEPURAR'!E39</f>
        <v>0</v>
      </c>
      <c r="R66" s="1198" t="s">
        <v>33</v>
      </c>
      <c r="S66" s="1198"/>
      <c r="T66" s="1198"/>
      <c r="U66" s="1">
        <f>+'DATOS PARA DEPURAR'!E22</f>
        <v>1000000</v>
      </c>
      <c r="V66">
        <f>+'DATOS PARA DEPURAR'!E40</f>
        <v>0</v>
      </c>
      <c r="AU66" s="44">
        <v>271.5</v>
      </c>
      <c r="AV66" s="44">
        <f t="shared" si="0"/>
        <v>278.28000000000003</v>
      </c>
      <c r="AW66" s="44">
        <v>7.44</v>
      </c>
      <c r="AX66" s="1">
        <f>+AW66*'DATOS PARA DEPURAR'!$C$23</f>
        <v>270131.52</v>
      </c>
    </row>
    <row r="67" spans="1:50" ht="13.5" hidden="1" x14ac:dyDescent="0.25">
      <c r="A67" s="62"/>
      <c r="B67" s="63"/>
      <c r="C67" s="56"/>
      <c r="D67" s="56"/>
      <c r="E67" s="57"/>
      <c r="I67" s="1198"/>
      <c r="J67" s="1198"/>
      <c r="K67" s="1198"/>
      <c r="L67" s="1"/>
      <c r="N67" s="1198"/>
      <c r="O67" s="1198"/>
      <c r="P67" s="1"/>
      <c r="R67" s="1198"/>
      <c r="S67" s="1198"/>
      <c r="T67" s="1198"/>
      <c r="U67" s="1"/>
      <c r="AU67" s="44">
        <v>278.29000000000002</v>
      </c>
      <c r="AV67" s="44">
        <f t="shared" si="0"/>
        <v>285.06</v>
      </c>
      <c r="AW67" s="44">
        <v>7.96</v>
      </c>
      <c r="AX67" s="1">
        <f>+AW67*'DATOS PARA DEPURAR'!$C$23</f>
        <v>289011.68</v>
      </c>
    </row>
    <row r="68" spans="1:50" hidden="1" x14ac:dyDescent="0.2">
      <c r="A68" s="58"/>
      <c r="B68" s="64"/>
      <c r="C68" s="56"/>
      <c r="D68" s="56"/>
      <c r="E68" s="57"/>
      <c r="I68" s="1198"/>
      <c r="J68" s="1198"/>
      <c r="K68" s="1198"/>
      <c r="L68" s="1">
        <f>IF(M66&lt;=L66,M66,IF(M66&gt;L66,L66))</f>
        <v>0</v>
      </c>
      <c r="N68" s="1198"/>
      <c r="O68" s="1198"/>
      <c r="P68" s="1">
        <f>IF(Q66&lt;=P66,Q66,IF(Q66&gt;P66,P66))</f>
        <v>0</v>
      </c>
      <c r="R68" s="1198"/>
      <c r="S68" s="1198"/>
      <c r="T68" s="1198"/>
      <c r="U68" s="1">
        <f>IF(V66&lt;=U66,V66,IF(V66&gt;U66,U66))</f>
        <v>0</v>
      </c>
      <c r="AU68" s="44">
        <v>285.07</v>
      </c>
      <c r="AV68" s="44">
        <f t="shared" si="0"/>
        <v>291.85000000000002</v>
      </c>
      <c r="AW68" s="44">
        <v>8.5</v>
      </c>
      <c r="AX68" s="1">
        <f>+AW68*'DATOS PARA DEPURAR'!$C$23</f>
        <v>308618</v>
      </c>
    </row>
    <row r="69" spans="1:50" ht="13.5" hidden="1" thickBot="1" x14ac:dyDescent="0.25">
      <c r="A69" s="65"/>
      <c r="B69" s="66"/>
      <c r="C69" s="67"/>
      <c r="D69" s="68"/>
      <c r="E69" s="69"/>
      <c r="AU69" s="44">
        <v>291.86</v>
      </c>
      <c r="AV69" s="44">
        <f t="shared" si="0"/>
        <v>298.64</v>
      </c>
      <c r="AW69" s="44">
        <v>9.0500000000000007</v>
      </c>
      <c r="AX69" s="1">
        <f>+AW69*'DATOS PARA DEPURAR'!$C$23</f>
        <v>328587.40000000002</v>
      </c>
    </row>
    <row r="70" spans="1:50" hidden="1" x14ac:dyDescent="0.2">
      <c r="AU70" s="44">
        <v>298.64999999999998</v>
      </c>
      <c r="AV70" s="44">
        <f t="shared" si="0"/>
        <v>305.43</v>
      </c>
      <c r="AW70" s="44">
        <v>9.6199999999999992</v>
      </c>
      <c r="AX70" s="1">
        <f>+AW70*'DATOS PARA DEPURAR'!$C$23</f>
        <v>349282.95999999996</v>
      </c>
    </row>
    <row r="71" spans="1:50" hidden="1" x14ac:dyDescent="0.2">
      <c r="A71" s="272" t="s">
        <v>410</v>
      </c>
      <c r="B71" s="36"/>
      <c r="C71" s="36"/>
      <c r="D71" s="36"/>
      <c r="I71" s="3" t="s">
        <v>16</v>
      </c>
      <c r="L71">
        <f>+'DATOS PARA DEPURAR'!C23</f>
        <v>36308</v>
      </c>
      <c r="M71">
        <f>+'DATOS PARA DEPURAR'!E220</f>
        <v>0</v>
      </c>
      <c r="O71" s="1198" t="s">
        <v>30</v>
      </c>
      <c r="P71" s="1199">
        <f>+'DATOS PARA DEPURAR'!E24</f>
        <v>38004</v>
      </c>
      <c r="Q71" s="1199"/>
      <c r="AU71" s="44">
        <v>305.44</v>
      </c>
      <c r="AV71" s="44">
        <f t="shared" si="0"/>
        <v>312.21000000000004</v>
      </c>
      <c r="AW71" s="44">
        <v>10.210000000000001</v>
      </c>
      <c r="AX71" s="1">
        <f>+AW71*'DATOS PARA DEPURAR'!$C$23</f>
        <v>370704.68000000005</v>
      </c>
    </row>
    <row r="72" spans="1:50" hidden="1" x14ac:dyDescent="0.2">
      <c r="A72" s="272" t="s">
        <v>411</v>
      </c>
      <c r="C72" s="404">
        <f>IF(E37&gt;(0),E37*5%*'DATOS PARA DEPURAR'!E11,0)</f>
        <v>0</v>
      </c>
      <c r="D72" s="329"/>
      <c r="E72" s="329">
        <f>MIN(C72:C73)</f>
        <v>0</v>
      </c>
      <c r="O72" s="1198"/>
      <c r="P72" s="1199"/>
      <c r="Q72" s="1199"/>
      <c r="AU72" s="44">
        <v>312.22000000000003</v>
      </c>
      <c r="AV72" s="44">
        <f t="shared" si="0"/>
        <v>319</v>
      </c>
      <c r="AW72" s="44">
        <v>10.81</v>
      </c>
      <c r="AX72" s="1">
        <f>+AW72*'DATOS PARA DEPURAR'!$C$23</f>
        <v>392489.48000000004</v>
      </c>
    </row>
    <row r="73" spans="1:50" hidden="1" x14ac:dyDescent="0.2">
      <c r="A73" s="272" t="s">
        <v>24</v>
      </c>
      <c r="C73" s="278">
        <f>+E37</f>
        <v>0</v>
      </c>
      <c r="D73" s="202"/>
      <c r="E73" s="329">
        <f>MIN(C75:C77)</f>
        <v>0</v>
      </c>
      <c r="I73" s="3" t="s">
        <v>1</v>
      </c>
      <c r="L73" s="1">
        <f>IF(M71&lt;100*L71,M71,IF(M71&gt;100*L71,100*L71,0))</f>
        <v>0</v>
      </c>
      <c r="AU73" s="44">
        <v>319.01</v>
      </c>
      <c r="AV73" s="44">
        <f t="shared" si="0"/>
        <v>325.79000000000002</v>
      </c>
      <c r="AW73" s="44">
        <v>11.43</v>
      </c>
      <c r="AX73" s="1">
        <f>+AW73*'DATOS PARA DEPURAR'!$C$23</f>
        <v>415000.44</v>
      </c>
    </row>
    <row r="74" spans="1:50" hidden="1" x14ac:dyDescent="0.2">
      <c r="A74" s="272" t="s">
        <v>412</v>
      </c>
      <c r="C74" s="404">
        <f>IF(E37=0,E13*0.5%*'DATOS PARA DEPURAR'!E11,0)</f>
        <v>0</v>
      </c>
      <c r="D74" s="329"/>
      <c r="E74" s="329">
        <f>IF(C74&gt;E73,C74,E73)</f>
        <v>0</v>
      </c>
      <c r="P74">
        <f>+'DATOS PARA DEPURAR'!E23</f>
        <v>35607</v>
      </c>
      <c r="AU74" s="44">
        <v>325.8</v>
      </c>
      <c r="AV74" s="44">
        <f t="shared" si="0"/>
        <v>332.58</v>
      </c>
      <c r="AW74" s="44">
        <v>12.07</v>
      </c>
      <c r="AX74" s="1">
        <f>+AW74*'DATOS PARA DEPURAR'!$C$23</f>
        <v>438237.56</v>
      </c>
    </row>
    <row r="75" spans="1:50" hidden="1" x14ac:dyDescent="0.2">
      <c r="A75" s="272" t="s">
        <v>413</v>
      </c>
      <c r="C75" s="404">
        <f>IF(E37=0,E13*5%,0)</f>
        <v>0</v>
      </c>
      <c r="D75" s="202"/>
      <c r="E75" s="202"/>
      <c r="I75" s="2"/>
      <c r="L75" s="32"/>
      <c r="O75" s="3" t="s">
        <v>24</v>
      </c>
      <c r="P75" s="1">
        <f>4600*P74</f>
        <v>163792200</v>
      </c>
      <c r="AU75" s="44">
        <v>332.59</v>
      </c>
      <c r="AV75" s="44">
        <f t="shared" si="0"/>
        <v>339.36</v>
      </c>
      <c r="AW75" s="44">
        <v>12.71</v>
      </c>
      <c r="AX75" s="1">
        <f>+AW75*'DATOS PARA DEPURAR'!$C$23</f>
        <v>461474.68000000005</v>
      </c>
    </row>
    <row r="76" spans="1:50" hidden="1" x14ac:dyDescent="0.2">
      <c r="A76" s="272" t="s">
        <v>414</v>
      </c>
      <c r="C76" s="404">
        <f>IF(E37=0,IF(E11&gt;0,D76*2,0))</f>
        <v>0</v>
      </c>
      <c r="D76" s="434">
        <f>+E38+E39+E40-E37-E41</f>
        <v>0</v>
      </c>
      <c r="E76" s="404"/>
      <c r="I76" s="39" t="s">
        <v>56</v>
      </c>
      <c r="L76" s="1">
        <f>16*L71</f>
        <v>580928</v>
      </c>
      <c r="AU76" s="48">
        <v>339.37</v>
      </c>
      <c r="AV76" s="48">
        <f t="shared" si="0"/>
        <v>356.33</v>
      </c>
      <c r="AW76" s="44">
        <v>14.06</v>
      </c>
      <c r="AX76" s="1">
        <f>+AW76*'DATOS PARA DEPURAR'!$C$23</f>
        <v>510490.48000000004</v>
      </c>
    </row>
    <row r="77" spans="1:50" hidden="1" x14ac:dyDescent="0.2">
      <c r="A77" s="272" t="s">
        <v>415</v>
      </c>
      <c r="C77" s="404">
        <f>IF(E37&gt;=0,IF(E11&gt;0,2500*'DATOS PARA DEPURAR'!E24,0))</f>
        <v>0</v>
      </c>
      <c r="D77" s="434"/>
      <c r="E77" s="404">
        <f>MIN(C79:C81)</f>
        <v>0</v>
      </c>
      <c r="O77" s="2" t="e">
        <f>(IF(#REF!&gt;#REF!,#REF!,IF(#REF!&gt;#REF!,#REF!,0))+N15)</f>
        <v>#REF!</v>
      </c>
      <c r="AU77" s="44">
        <v>356.34</v>
      </c>
      <c r="AV77" s="44">
        <f t="shared" si="0"/>
        <v>373.3</v>
      </c>
      <c r="AW77" s="44">
        <v>15.83</v>
      </c>
      <c r="AX77" s="1">
        <f>+AW77*'DATOS PARA DEPURAR'!$C$23</f>
        <v>574755.64</v>
      </c>
    </row>
    <row r="78" spans="1:50" hidden="1" x14ac:dyDescent="0.2">
      <c r="A78" s="272" t="s">
        <v>395</v>
      </c>
      <c r="C78" s="404">
        <f>IF(E37=0,IF(E11=0,'DATOS PARA DEPURAR'!E19*1%*'DATOS PARA DEPURAR'!E11,0))</f>
        <v>3239300</v>
      </c>
      <c r="D78" s="434">
        <f>IF(C78&gt;C79,C78,IF(C78&gt;C80,C78,IF(C78&gt;C81,C78,0)))</f>
        <v>3239300</v>
      </c>
      <c r="E78" s="404">
        <f>IF(C78&gt;E77,C78,E77)</f>
        <v>3239300</v>
      </c>
      <c r="I78" t="e">
        <f>+#REF!</f>
        <v>#REF!</v>
      </c>
      <c r="L78" s="1">
        <f>32*L71</f>
        <v>1161856</v>
      </c>
      <c r="AU78" s="44">
        <v>373.31</v>
      </c>
      <c r="AV78" s="44">
        <f t="shared" si="0"/>
        <v>390.27</v>
      </c>
      <c r="AW78" s="44">
        <v>17.690000000000001</v>
      </c>
      <c r="AX78" s="1">
        <f>+AW78*'DATOS PARA DEPURAR'!$C$23</f>
        <v>642288.52</v>
      </c>
    </row>
    <row r="79" spans="1:50" ht="13.5" hidden="1" thickBot="1" x14ac:dyDescent="0.25">
      <c r="A79" s="272" t="s">
        <v>413</v>
      </c>
      <c r="C79" s="404">
        <f>IF(E37=0,IF(E11=0,'DATOS PARA DEPURAR'!E19*10%,0))</f>
        <v>32393000</v>
      </c>
      <c r="D79" s="434"/>
      <c r="E79" s="404"/>
      <c r="O79" t="e">
        <f>IF(P71&gt;P75,N15+#REF!,O77)</f>
        <v>#REF!</v>
      </c>
      <c r="AU79" s="44">
        <v>390.28</v>
      </c>
      <c r="AV79" s="44">
        <f t="shared" si="0"/>
        <v>407.24</v>
      </c>
      <c r="AW79" s="44">
        <v>19.649999999999999</v>
      </c>
      <c r="AX79" s="1">
        <f>+AW79*'DATOS PARA DEPURAR'!$C$23</f>
        <v>713452.2</v>
      </c>
    </row>
    <row r="80" spans="1:50" hidden="1" x14ac:dyDescent="0.2">
      <c r="A80" s="272" t="s">
        <v>414</v>
      </c>
      <c r="C80" s="404">
        <f>IF(E37=0,IF(E13=0,D80*2,0))</f>
        <v>0</v>
      </c>
      <c r="D80" s="434">
        <f>+E38+E39+E40-E37-E41</f>
        <v>0</v>
      </c>
      <c r="E80" s="404"/>
      <c r="I80" s="2287" t="s">
        <v>8</v>
      </c>
      <c r="J80" s="2288"/>
      <c r="L80" s="11" t="s">
        <v>10</v>
      </c>
      <c r="AU80" s="44">
        <v>407.25</v>
      </c>
      <c r="AV80" s="44">
        <f t="shared" si="0"/>
        <v>424.21000000000004</v>
      </c>
      <c r="AW80" s="44">
        <v>21.69</v>
      </c>
      <c r="AX80" s="1">
        <f>+AW80*'DATOS PARA DEPURAR'!$C$23</f>
        <v>787520.52</v>
      </c>
    </row>
    <row r="81" spans="1:50" ht="13.5" hidden="1" thickBot="1" x14ac:dyDescent="0.25">
      <c r="A81" s="272" t="s">
        <v>415</v>
      </c>
      <c r="C81" s="404">
        <f>IF(E37=0,IF(E13=0,2500*'DATOS PARA DEPURAR'!E24,0))</f>
        <v>95010000</v>
      </c>
      <c r="D81" s="404"/>
      <c r="E81" s="404"/>
      <c r="I81" s="2289" t="e">
        <f>+#REF!/'DATOS PARA DEPURAR'!C23</f>
        <v>#REF!</v>
      </c>
      <c r="J81" s="2290"/>
      <c r="L81" s="1">
        <f>+'DATOS PARA DEPURAR'!C23</f>
        <v>36308</v>
      </c>
      <c r="M81" s="2"/>
      <c r="U81">
        <v>20000</v>
      </c>
      <c r="X81">
        <v>408000</v>
      </c>
      <c r="AU81" s="44">
        <v>424.22</v>
      </c>
      <c r="AV81" s="44">
        <f t="shared" si="0"/>
        <v>441.18</v>
      </c>
      <c r="AW81" s="44">
        <v>23.84</v>
      </c>
      <c r="AX81" s="1">
        <f>+AW81*'DATOS PARA DEPURAR'!$C$23</f>
        <v>865582.72</v>
      </c>
    </row>
    <row r="82" spans="1:50" ht="13.5" hidden="1" thickBot="1" x14ac:dyDescent="0.25">
      <c r="B82" s="413" t="s">
        <v>423</v>
      </c>
      <c r="D82" s="413">
        <f>10*'DATOS PARA DEPURAR'!E24</f>
        <v>380040</v>
      </c>
      <c r="E82" s="329">
        <f>+D82</f>
        <v>380040</v>
      </c>
      <c r="U82">
        <v>20974</v>
      </c>
      <c r="X82">
        <v>433700</v>
      </c>
      <c r="AU82" s="44">
        <v>441.19</v>
      </c>
      <c r="AV82" s="44">
        <f t="shared" si="0"/>
        <v>458.15000000000003</v>
      </c>
      <c r="AW82" s="44">
        <v>26.07</v>
      </c>
      <c r="AX82" s="1">
        <f>+AW82*'DATOS PARA DEPURAR'!$C$23</f>
        <v>946549.56</v>
      </c>
    </row>
    <row r="83" spans="1:50" hidden="1" x14ac:dyDescent="0.2">
      <c r="B83" s="202"/>
      <c r="D83" s="202"/>
      <c r="E83" s="404">
        <f>MAX(E72:E82)</f>
        <v>3239300</v>
      </c>
      <c r="I83" s="5">
        <v>0</v>
      </c>
      <c r="J83" s="6">
        <v>95</v>
      </c>
      <c r="L83" s="13" t="e">
        <f>IF(I81&lt;=95,0)</f>
        <v>#REF!</v>
      </c>
      <c r="U83">
        <v>22045</v>
      </c>
      <c r="X83">
        <v>461500</v>
      </c>
      <c r="AU83" s="44">
        <v>458.16</v>
      </c>
      <c r="AV83" s="44">
        <f t="shared" si="0"/>
        <v>475.11</v>
      </c>
      <c r="AW83" s="44">
        <v>28.39</v>
      </c>
      <c r="AX83" s="1">
        <f>+AW83*'DATOS PARA DEPURAR'!$C$23</f>
        <v>1030784.12</v>
      </c>
    </row>
    <row r="84" spans="1:50" hidden="1" x14ac:dyDescent="0.2">
      <c r="B84" s="202"/>
      <c r="D84" s="202"/>
      <c r="E84" s="328">
        <f>IF('DATOS PARA DEPURAR'!C11="EXTEMPORANEA",E83,0)</f>
        <v>3239300</v>
      </c>
      <c r="I84" s="7" t="s">
        <v>9</v>
      </c>
      <c r="J84" s="8">
        <v>150</v>
      </c>
      <c r="L84" s="14" t="e">
        <f>IF(I81&gt;95,(IF(I81&lt;=150,ROUND((((+I81-95)*19%)*L81),-3),0)),FALSE)</f>
        <v>#REF!</v>
      </c>
      <c r="M84" s="1" t="e">
        <f>+L84*'DATOS PARA DEPURAR'!C23</f>
        <v>#REF!</v>
      </c>
      <c r="U84">
        <v>23763</v>
      </c>
      <c r="X84">
        <v>469600</v>
      </c>
      <c r="AU84" s="44">
        <v>475.12</v>
      </c>
      <c r="AV84" s="44">
        <f t="shared" si="0"/>
        <v>492.08</v>
      </c>
      <c r="AW84" s="44">
        <v>30.8</v>
      </c>
      <c r="AX84" s="1">
        <f>+AW84*'DATOS PARA DEPURAR'!$C$23</f>
        <v>1118286.4000000001</v>
      </c>
    </row>
    <row r="85" spans="1:50" hidden="1" x14ac:dyDescent="0.2">
      <c r="C85" s="484" t="s">
        <v>455</v>
      </c>
      <c r="D85" s="484" t="s">
        <v>458</v>
      </c>
      <c r="E85" s="50"/>
      <c r="I85" s="7" t="s">
        <v>6</v>
      </c>
      <c r="J85" s="8">
        <v>360</v>
      </c>
      <c r="L85" s="14" t="e">
        <f>IF(I81&gt;150,IF(I81&lt;=360,ROUND((((+I81-150)*28%)*L81),-3),0))+10*L81</f>
        <v>#REF!</v>
      </c>
      <c r="U85">
        <v>24555</v>
      </c>
      <c r="X85">
        <v>515000</v>
      </c>
      <c r="AU85" s="44">
        <v>492.09</v>
      </c>
      <c r="AV85" s="44">
        <f t="shared" si="0"/>
        <v>509.05</v>
      </c>
      <c r="AW85" s="44">
        <v>33.29</v>
      </c>
      <c r="AX85" s="1">
        <f>+AW85*'DATOS PARA DEPURAR'!$C$23</f>
        <v>1208693.32</v>
      </c>
    </row>
    <row r="86" spans="1:50" ht="13.5" hidden="1" thickBot="1" x14ac:dyDescent="0.25">
      <c r="B86" s="272" t="s">
        <v>429</v>
      </c>
      <c r="C86">
        <f>IF((E38+E39+E40-E37-E41)&gt;0,E38+E39+E40-E37-E41,0)</f>
        <v>0</v>
      </c>
      <c r="D86">
        <f>IF((E37+E41-E38-E39-E40)&gt;0,E37+E41-E38-E39-E40,0)</f>
        <v>0</v>
      </c>
      <c r="E86" s="50"/>
      <c r="G86" s="1"/>
      <c r="I86" s="9" t="s">
        <v>7</v>
      </c>
      <c r="J86" s="10"/>
      <c r="L86" s="15" t="e">
        <f>IF(I81&gt;360,ROUND((((+I81-360)*33%)*L81)+(69*L81),-3),0)</f>
        <v>#REF!</v>
      </c>
      <c r="U86">
        <v>25132</v>
      </c>
      <c r="X86">
        <v>535600</v>
      </c>
      <c r="AU86" s="44">
        <v>509.06</v>
      </c>
      <c r="AV86" s="44">
        <f t="shared" si="0"/>
        <v>526.02</v>
      </c>
      <c r="AW86" s="44">
        <v>35.869999999999997</v>
      </c>
      <c r="AX86" s="1">
        <f>+AW86*'DATOS PARA DEPURAR'!$C$23</f>
        <v>1302367.96</v>
      </c>
    </row>
    <row r="87" spans="1:50" ht="13.5" hidden="1" thickBot="1" x14ac:dyDescent="0.25">
      <c r="B87" s="331" t="s">
        <v>430</v>
      </c>
      <c r="C87">
        <f>IF((('DATOS PARA DEPURAR'!C14)*(-1)-C86)&gt;0,(('DATOS PARA DEPURAR'!C14)*(-1)-C86)*10%,0)</f>
        <v>46500</v>
      </c>
      <c r="D87" s="202">
        <f>IF((H61-'DATOS PARA DEPURAR'!C14)&gt;0,(H61-'DATOS PARA DEPURAR'!C14)*10%,0)</f>
        <v>46500</v>
      </c>
      <c r="E87" s="202"/>
      <c r="U87">
        <v>26049</v>
      </c>
      <c r="X87">
        <v>566700</v>
      </c>
      <c r="AU87" s="44">
        <v>526.03</v>
      </c>
      <c r="AV87" s="44">
        <f t="shared" si="0"/>
        <v>542.99</v>
      </c>
      <c r="AW87" s="44">
        <v>38.54</v>
      </c>
      <c r="AX87" s="1">
        <f>+AW87*'DATOS PARA DEPURAR'!$C$23</f>
        <v>1399310.32</v>
      </c>
    </row>
    <row r="88" spans="1:50" hidden="1" x14ac:dyDescent="0.2">
      <c r="B88" s="202"/>
      <c r="C88">
        <f>10*'DATOS PARA DEPURAR'!E24</f>
        <v>380040</v>
      </c>
      <c r="D88" s="329">
        <f>+D82</f>
        <v>380040</v>
      </c>
      <c r="E88" s="202"/>
      <c r="I88" s="1200" t="s">
        <v>11</v>
      </c>
      <c r="J88" s="1201"/>
      <c r="U88">
        <v>26841</v>
      </c>
      <c r="X88">
        <v>589500</v>
      </c>
      <c r="AU88" s="44">
        <v>543</v>
      </c>
      <c r="AV88" s="44">
        <f t="shared" si="0"/>
        <v>559.96</v>
      </c>
      <c r="AW88" s="44">
        <v>41.29</v>
      </c>
      <c r="AX88" s="1">
        <f>+AW88*'DATOS PARA DEPURAR'!$C$23</f>
        <v>1499157.32</v>
      </c>
    </row>
    <row r="89" spans="1:50" ht="13.5" hidden="1" thickBot="1" x14ac:dyDescent="0.25">
      <c r="B89" s="202"/>
      <c r="C89">
        <f>MAX(C87:C88)</f>
        <v>380040</v>
      </c>
      <c r="D89" s="433">
        <f>MAX(D87:D88)</f>
        <v>380040</v>
      </c>
      <c r="E89" s="433">
        <f>IF('DATOS PARA DEPURAR'!C13="S",E93,0)</f>
        <v>0</v>
      </c>
      <c r="I89" s="1202" t="e">
        <f>IF(L83=0,L83,IF(L84&gt;0,L84,IF(L85&gt;0,L85,IF(L86&gt;0,L86))))</f>
        <v>#REF!</v>
      </c>
      <c r="J89" s="1203"/>
      <c r="AU89" s="44">
        <v>559.97</v>
      </c>
      <c r="AV89" s="44">
        <f t="shared" si="0"/>
        <v>576.93000000000006</v>
      </c>
      <c r="AW89" s="44">
        <v>44.11</v>
      </c>
      <c r="AX89" s="1">
        <f>+AW89*'DATOS PARA DEPURAR'!$C$23</f>
        <v>1601545.88</v>
      </c>
    </row>
    <row r="90" spans="1:50" hidden="1" x14ac:dyDescent="0.2">
      <c r="B90" s="331" t="s">
        <v>431</v>
      </c>
      <c r="C90">
        <f>IF('DATOS PARA DEPURAR'!E14="S",C89*2,0)</f>
        <v>0</v>
      </c>
      <c r="D90" s="433">
        <f>IF('DATOS PARA DEPURAR'!E14="S",D87*2,0)</f>
        <v>0</v>
      </c>
      <c r="E90" s="433"/>
      <c r="AU90" s="44">
        <v>576.94000000000005</v>
      </c>
      <c r="AV90" s="44">
        <f t="shared" si="0"/>
        <v>593.89</v>
      </c>
      <c r="AW90" s="44">
        <v>47.02</v>
      </c>
      <c r="AX90" s="1">
        <f>+AW90*'DATOS PARA DEPURAR'!$C$23</f>
        <v>1707202.1600000001</v>
      </c>
    </row>
    <row r="91" spans="1:50" ht="13.5" hidden="1" thickBot="1" x14ac:dyDescent="0.25">
      <c r="C91" s="2">
        <f>+D82</f>
        <v>380040</v>
      </c>
      <c r="D91" s="433">
        <f>+D82</f>
        <v>380040</v>
      </c>
      <c r="E91" s="433"/>
      <c r="AU91" s="44">
        <v>593.9</v>
      </c>
      <c r="AV91" s="44">
        <f t="shared" si="0"/>
        <v>610.86</v>
      </c>
      <c r="AW91" s="44">
        <v>50</v>
      </c>
      <c r="AX91" s="1">
        <f>+AW91*'DATOS PARA DEPURAR'!$C$23</f>
        <v>1815400</v>
      </c>
    </row>
    <row r="92" spans="1:50" hidden="1" x14ac:dyDescent="0.2">
      <c r="C92">
        <f>MAX(C90:C91)</f>
        <v>380040</v>
      </c>
      <c r="D92" s="433">
        <f>MAX(D90:D91)</f>
        <v>380040</v>
      </c>
      <c r="E92" s="433"/>
      <c r="I92" s="16"/>
      <c r="J92" s="17"/>
      <c r="K92" s="17"/>
      <c r="L92" s="78">
        <f>IF(E58&gt;E59,E58,E59)</f>
        <v>0</v>
      </c>
      <c r="M92" s="18"/>
      <c r="N92" s="19" t="s">
        <v>13</v>
      </c>
      <c r="O92" s="20"/>
      <c r="P92" s="20"/>
      <c r="Q92" s="20"/>
      <c r="R92" s="20"/>
      <c r="S92" s="20"/>
      <c r="T92" s="17"/>
      <c r="U92" s="17"/>
      <c r="V92" s="17"/>
      <c r="W92" s="17"/>
      <c r="X92" s="17"/>
      <c r="Y92" s="17"/>
      <c r="Z92" s="17"/>
      <c r="AA92" s="17"/>
      <c r="AB92" s="17"/>
      <c r="AC92" s="17"/>
      <c r="AD92" s="17"/>
      <c r="AE92" s="17"/>
      <c r="AF92" s="17"/>
      <c r="AG92" s="17"/>
      <c r="AH92" s="17"/>
      <c r="AI92" s="17"/>
      <c r="AJ92" s="17"/>
      <c r="AK92" s="17"/>
      <c r="AL92" s="21"/>
      <c r="AU92" s="44">
        <v>610.87</v>
      </c>
      <c r="AV92" s="44">
        <f t="shared" si="0"/>
        <v>627.83000000000004</v>
      </c>
      <c r="AW92" s="44">
        <v>53.06</v>
      </c>
      <c r="AX92" s="1">
        <f>+AW92*'DATOS PARA DEPURAR'!$C$23</f>
        <v>1926502.48</v>
      </c>
    </row>
    <row r="93" spans="1:50" hidden="1" x14ac:dyDescent="0.2">
      <c r="D93" s="328">
        <f>IF(C90&gt;0,C92,C89)</f>
        <v>380040</v>
      </c>
      <c r="E93" s="328">
        <f>IF(D90&gt;0,D92,D89)</f>
        <v>380040</v>
      </c>
      <c r="I93" s="22"/>
      <c r="J93" s="23"/>
      <c r="K93" s="23"/>
      <c r="L93" s="23">
        <f>CEILING(L92,1)</f>
        <v>0</v>
      </c>
      <c r="M93" s="23"/>
      <c r="N93" s="23"/>
      <c r="O93" s="23"/>
      <c r="P93" s="23"/>
      <c r="Q93" s="23"/>
      <c r="R93" s="23"/>
      <c r="S93" s="23"/>
      <c r="T93" s="23"/>
      <c r="U93" s="23"/>
      <c r="V93" s="23"/>
      <c r="W93" s="23"/>
      <c r="X93" s="23"/>
      <c r="Y93" s="23"/>
      <c r="Z93" s="23"/>
      <c r="AA93" s="23"/>
      <c r="AB93" s="23"/>
      <c r="AC93" s="23"/>
      <c r="AD93" s="23"/>
      <c r="AE93" s="23"/>
      <c r="AF93" s="23"/>
      <c r="AG93" s="23" t="str">
        <f>FIXED(L92,2,FALSE)</f>
        <v>0,00</v>
      </c>
      <c r="AH93" s="23"/>
      <c r="AI93" s="23"/>
      <c r="AJ93" s="23"/>
      <c r="AK93" s="23"/>
      <c r="AL93" s="24"/>
      <c r="AU93" s="44">
        <v>627.84</v>
      </c>
      <c r="AV93" s="44">
        <f t="shared" si="0"/>
        <v>644.79999999999995</v>
      </c>
      <c r="AW93" s="44">
        <v>56.2</v>
      </c>
      <c r="AX93" s="1">
        <f>+AW93*'DATOS PARA DEPURAR'!$C$23</f>
        <v>2040509.6</v>
      </c>
    </row>
    <row r="94" spans="1:50" hidden="1" x14ac:dyDescent="0.2">
      <c r="A94" s="49"/>
      <c r="B94" s="51"/>
      <c r="D94" s="51"/>
      <c r="E94">
        <f>IF(D86&gt;0,E93,0)</f>
        <v>0</v>
      </c>
      <c r="I94" s="25"/>
      <c r="J94" s="26"/>
      <c r="K94" s="26"/>
      <c r="L94" s="26">
        <f>((RIGHT(L93,13))-(RIGHT(L93,12)))/1000000000000</f>
        <v>0</v>
      </c>
      <c r="M94" s="26"/>
      <c r="N94" s="27">
        <f>((RIGHT(L93,12))-(RIGHT(L93,11)))/100000000000</f>
        <v>0</v>
      </c>
      <c r="O94" s="27">
        <f>((RIGHT(L93,11))-(RIGHT(L93,10)))/10000000000</f>
        <v>0</v>
      </c>
      <c r="P94" s="27"/>
      <c r="Q94" s="27">
        <f>((RIGHT(L93,10))-(RIGHT(L93,9)))/1000000000</f>
        <v>0</v>
      </c>
      <c r="R94" s="26"/>
      <c r="S94" s="27">
        <f>((RIGHT(L93,9))-(RIGHT(L93,8)))/100000000</f>
        <v>0</v>
      </c>
      <c r="T94" s="27">
        <f>((RIGHT(L93,8))-(RIGHT(L93,7)))/10000000</f>
        <v>0</v>
      </c>
      <c r="U94" s="27"/>
      <c r="V94" s="27">
        <f>((RIGHT(L93,7))-(RIGHT(L93,6)))/1000000</f>
        <v>0</v>
      </c>
      <c r="W94" s="26"/>
      <c r="X94" s="27">
        <f>((RIGHT(L93,6))-(RIGHT(L93,5)))/100000</f>
        <v>0</v>
      </c>
      <c r="Y94" s="27">
        <f>((RIGHT(L93,5))-(RIGHT(L93,4)))/10000</f>
        <v>0</v>
      </c>
      <c r="Z94" s="27"/>
      <c r="AA94" s="27">
        <f>((RIGHT(L93,4))-(RIGHT(L93,3)))/1000</f>
        <v>0</v>
      </c>
      <c r="AB94" s="26"/>
      <c r="AC94" s="28">
        <f>((RIGHT(L93,3))-(RIGHT(L93,2)))/100</f>
        <v>0</v>
      </c>
      <c r="AD94" s="28">
        <f>((RIGHT(L93,2))-(RIGHT(L93,1)))/10</f>
        <v>0</v>
      </c>
      <c r="AE94" s="28"/>
      <c r="AF94" s="28">
        <f>+((RIGHT(L93,1))-AG94)/1</f>
        <v>0</v>
      </c>
      <c r="AG94" s="26"/>
      <c r="AH94" s="26"/>
      <c r="AI94" s="26"/>
      <c r="AJ94" s="26"/>
      <c r="AK94" s="26"/>
      <c r="AL94" s="29"/>
      <c r="AU94" s="44">
        <v>644.80999999999995</v>
      </c>
      <c r="AV94" s="44">
        <f t="shared" si="0"/>
        <v>661.77</v>
      </c>
      <c r="AW94" s="44">
        <v>59.4</v>
      </c>
      <c r="AX94" s="1">
        <f>+AW94*'DATOS PARA DEPURAR'!$C$23</f>
        <v>2156695.1999999997</v>
      </c>
    </row>
    <row r="95" spans="1:50" hidden="1" x14ac:dyDescent="0.2">
      <c r="A95" s="49"/>
      <c r="B95" s="272" t="s">
        <v>442</v>
      </c>
      <c r="C95" s="202"/>
      <c r="D95" s="202"/>
      <c r="E95">
        <f>IF(C87&gt;0,D93,E94)</f>
        <v>380040</v>
      </c>
      <c r="I95" s="22"/>
      <c r="J95" s="23"/>
      <c r="K95" s="23"/>
      <c r="L95" s="23" t="str">
        <f>IF((L94&gt;8),"NUEVE  ",IF((L94&gt;7),"OCHO   ",IF(L94&gt;6,"SIETE   ",IF(L94&gt;5,"SEIS   ",IF(L94&gt;4,"CINCO  ",IF(L94&gt;3,"CUATRO  ",IF(L94&gt;2,"TRES  ",IF(L94&gt;1,"DOS  ",""))))))))</f>
        <v/>
      </c>
      <c r="M95" s="23" t="str">
        <f>+IF((L93&gt;999999999999)*AND(L94=1)*AND(SUM(N94:AF94)&gt;0),"UN  BILLON ",+IF(L94=1,"UN  BILLON ",IF((L93&gt;999999999999)*AND(L94&gt;1),"BILLONES  ","")))</f>
        <v/>
      </c>
      <c r="N95" s="23" t="str">
        <f xml:space="preserve"> IF((N94&gt;8),"NOVECIENTOS  ",IF((N94&gt;7),"OCHOCIENTOS   ",IF(N94&gt;6,"SETECIENTOS    ",IF(N94&gt;5,"SEICIENTOS    ",IF(N94&gt;4,"QUINIENTOS  ",IF(N94&gt;3,"CUATROCIENTOS   ",IF(N94&gt;2,"TRECIENTOS  ",+IF(N94&gt;1,"DOCIENTOS",""))))))))</f>
        <v/>
      </c>
      <c r="O95" s="23" t="str">
        <f>IF((O94&gt;8),"NOVENTA  ",IF((O94&gt;7),"OCHENTA   ",IF(O94&gt;6,"SETENTA    ",IF(O94&gt;5,"SESENTA    ",IF(O94&gt;4,"CINCUENTA  ",IF(O94&gt;3,"CUARENTA   ",IF(O94&gt;2,"TREINTA  ",+IF(O94&gt;1,"VEINTI",""))))))))</f>
        <v/>
      </c>
      <c r="P95" s="23" t="str">
        <f>+IF((O94&gt;2)*AND(Q94&gt;0),"Y  ","")</f>
        <v/>
      </c>
      <c r="Q95" s="23" t="str">
        <f>IF((Q94&gt;8),"NUEVE  ",IF((Q94&gt;7),"OCHO   ",IF(Q94&gt;6,"SIETE   ",IF(Q94&gt;5,"SEIS   ",IF(Q94&gt;4,"CINCO  ",IF(Q94&gt;3,"CUATRO  ",IF(Q94&gt;2,"TRES  ",IF(Q94&gt;1,"DOS  ",""))))))))</f>
        <v/>
      </c>
      <c r="R95" s="23" t="str">
        <f>+IF((L92&gt;999999999)*AND(Q94=1)*AND(SUM(S94:V94)&gt;0),"UN  MIL ",+IF((Q94=1)*AND(SUM(N94:P94)&gt;0),"UN  MIL ",+IF((SUM(N94:Q94)&gt;1)," MIL ","")))</f>
        <v/>
      </c>
      <c r="S95" s="23" t="str">
        <f>IF((S94&gt;8),"NOVECIENTOS  ",IF((S94&gt;7),"OCHOCIENTOS   ",IF(S94&gt;6,"SETECIENTOS    ",IF(S94&gt;5,"SEICIENTOS    ",IF(S94&gt;4,"QUINIENTOS  ",IF(S94&gt;3,"CUATROCIENTOS   ",IF(S94&gt;2,"TRECIENTOS  ",+IF(S94&gt;1,"DOCIENTOS",""))))))))</f>
        <v/>
      </c>
      <c r="T95" s="23" t="str">
        <f>IF((T94&gt;8),"NOVENTA  ",IF((T94&gt;7),"OCHENTA   ",IF(T94&gt;6,"SETENTA    ",IF(T94&gt;5,"SESENTA    ",IF(T94&gt;4,"CINCUENTA  ",IF(T94&gt;3,"CUARENTA   ",IF(T94&gt;2,"TREINTA  ",+IF(T94&gt;1,"VEINTI",""))))))))</f>
        <v/>
      </c>
      <c r="U95" s="23" t="str">
        <f>+IF((T94&gt;2)*AND(V94&gt;0),"Y  ","")</f>
        <v/>
      </c>
      <c r="V95" s="23" t="str">
        <f>IF((V94&gt;8),"NUEVE  ",IF((V94&gt;7),"OCHO   ",IF(V94&gt;6,"SIETE   ",IF(V94&gt;5,"SEIS   ",IF(V94&gt;4,"CINCO  ",IF(V94&gt;3,"CUATRO  ",IF(V94&gt;2,"TRES  ",IF(V94&gt;1,"DOS  ",""))))))))</f>
        <v/>
      </c>
      <c r="W95" s="23" t="str">
        <f>+IF((L93&gt;999999)*AND(V94=1)*AND(SUM(X94:AF94)&gt;0),"UN  MILLON ",+IF((V94=1)*AND(SUM(L94:U94)&gt;0),"UN  MILLON ",+IF((SUM(N94:V94)&gt;0),"MILLONES  "," ")))</f>
        <v xml:space="preserve"> </v>
      </c>
      <c r="X95" s="23" t="str">
        <f>IF((X94&gt;8),"NOVECIENTOS  ",IF((X94&gt;7),"OCHOCIENTOS   ",IF(X94&gt;6,"SETECIENTOS    ",IF(X94&gt;5,"SEICIENTOS    ",IF(X94&gt;4,"QUINIENTOS  ",IF(X94&gt;3,"CUATROCIENTOS   ",IF(X94&gt;2,"TRECIENTOS  ",+IF(X94&gt;1,"DOCIENTOS ",""))))))))</f>
        <v/>
      </c>
      <c r="Y95" s="23" t="str">
        <f>IF((Y94&gt;8),"NOVENTA  ",IF((Y94&gt;7),"OCHENTA   ",IF(Y94&gt;6,"SETENTA    ",IF(Y94&gt;5,"SESENTA    ",IF(Y94&gt;4,"CINCUENTA  ",IF(Y94&gt;3,"CUARENTA   ",IF(Y94&gt;2,"TREINTA  ",+IF(Y94&gt;1,"VEINTI",""))))))))</f>
        <v/>
      </c>
      <c r="Z95" s="23" t="str">
        <f>+IF((Y94&gt;2)*AND(AA94&gt;0),"Y  ","")</f>
        <v/>
      </c>
      <c r="AA95" s="23" t="str">
        <f>IF((AA94&gt;8),"NUEVE  ",IF((AA94&gt;7),"OCHO   ",IF(AA94&gt;6,"SIETE   ",IF(AA94&gt;5,"SEIS   ",IF(AA94&gt;4,"CINCO  ",IF(AA94&gt;3,"CUATRO  ",IF(AA94&gt;2,"TRES  ",IF(AA94&gt;1,"DOS  ",""))))))))</f>
        <v/>
      </c>
      <c r="AB95" s="23" t="str">
        <f>+IF((L93&gt;999)*AND(AA94=1)*AND(SUM(AC94:AF94)&gt;0),"UN  MIL ",+IF((AA94=1)*AND(SUM(X94:Z94)&gt;0),"UN  MIL ",+IF((SUM(X94:AA94)&gt;1)," MIL ","")))</f>
        <v/>
      </c>
      <c r="AC95" s="23" t="str">
        <f>IF((AC94&gt;8),"NOVECIENTOS  ",IF((AC94&gt;7),"OCHOCIENTOS   ",IF(AC94&gt;6,"SETECIENTOS    ",IF(AC94&gt;5,"SEICIENTOS    ",IF(AC94&gt;4,"QUINIENTOS  ",IF(AC94&gt;3,"CUATROCIENTOS   ",IF(AC94&gt;2,"TRECIENTOS  ",+IF(AC94&gt;1,"DOCIENTOS  ",""))))))))</f>
        <v/>
      </c>
      <c r="AD95" s="23" t="str">
        <f>IF((AD94&gt;8),"NOVENTA  ",IF((AD94&gt;7),"OCHENTA   ",IF(AD94&gt;6,"SETENTA    ",IF(AD94&gt;5,"SESENTA    ",IF(AD94&gt;4,"CINCUENTA  ",IF(AD94&gt;3,"CUARENTA   ",IF(AD94&gt;2,"TREINTA  ",+IF(AD94&gt;1,"VEINTI",""))))))))</f>
        <v/>
      </c>
      <c r="AE95" s="23" t="str">
        <f>+IF((AD94&gt;2)*AND(AF94&gt;0),"Y  ","")</f>
        <v/>
      </c>
      <c r="AF95" s="23" t="str">
        <f>IF((AF94&gt;8),"NUEVE   ",IF((AF94&gt;7),"OCHO   ",IF(AF94&gt;6,"SIETE   ",IF(AF94&gt;5,"SEIS   ",IF(AF94&gt;4,"CINCO   ",IF(AF94&gt;3,"CUATRO   ",IF(AF94&gt;2,"TRES   ",IF(AF94&gt;1,"DOS   ",""))))))))</f>
        <v/>
      </c>
      <c r="AG95" s="23" t="str">
        <f>+IF((L93=1)*AND(AF94=1),"UN PESO",+IF((AF94=1)*AND(SUM(L94:AE94)&gt;0),"UN PESOS",IF((SUM(AH94:AJ94)&gt;0)*AND(AF94=0)*AND(SUM(L94:AF94)&lt;1),"CERO PESOS  ","PESOS")))</f>
        <v>PESOS</v>
      </c>
      <c r="AH95" s="23" t="str">
        <f>IF((AH94&gt;8),"NOVENTA  ",IF((AH94&gt;7),"OCHENTA   ",IF(AH94&gt;6,"SETENTA    ",IF(AH94&gt;5,"SESENTA    ",IF(AH94&gt;4,"CINCUENTA  ",IF(AH94&gt;3,"CUARENTA   ",IF(AH94&gt;2,"TREINTA  ",+IF(AH94&gt;1,"VEINTI",""))))))))</f>
        <v/>
      </c>
      <c r="AI95" s="23" t="str">
        <f>+IF((AH94&gt;2)*AND(AJ94&gt;0),"Y  ","")</f>
        <v/>
      </c>
      <c r="AJ95" s="23" t="str">
        <f>IF((AJ94&gt;8),"NUEVE   ",IF((AJ94&gt;7),"OCHO   ",IF(AJ94&gt;6,"SIETE   ",IF(AJ94&gt;5,"SEIS   ",IF(AJ94&gt;4,"CINCO   ",IF(AJ94&gt;3,"CUATRO   ",IF(AJ94&gt;2,"TRES   ",IF(AJ94&gt;1,"DOS   ",""))))))))</f>
        <v/>
      </c>
      <c r="AK95" s="23" t="str">
        <f>+IF((SUM(AH94:AJ94)=1)*AND(AJ94=1),"UN  CENTAVO",+IF((AJ94=1)*AND(AH94&gt;1),"UN  CENTAVOS",IF(AG93&lt;0,"CERO CENTAVOS",IF((SUM(AH94:AJ94)&gt;0)*AND(AG93&gt;0.01)," CENTAVOS ","  "))))</f>
        <v xml:space="preserve">  </v>
      </c>
      <c r="AL95" s="24"/>
      <c r="AU95" s="44">
        <v>661.78</v>
      </c>
      <c r="AV95" s="44">
        <f t="shared" si="0"/>
        <v>678.74</v>
      </c>
      <c r="AW95" s="44">
        <v>62.68</v>
      </c>
      <c r="AX95" s="1">
        <f>+AW95*'DATOS PARA DEPURAR'!$C$23</f>
        <v>2275785.44</v>
      </c>
    </row>
    <row r="96" spans="1:50" hidden="1" x14ac:dyDescent="0.2">
      <c r="A96" s="49"/>
      <c r="B96" s="202">
        <f>+'DATOS PARA DEPURAR'!E16</f>
        <v>44301</v>
      </c>
      <c r="C96" s="202"/>
      <c r="D96" s="202">
        <f>+D87/0.1</f>
        <v>465000</v>
      </c>
      <c r="E96" s="50"/>
      <c r="I96" s="22"/>
      <c r="J96" s="23"/>
      <c r="K96" s="23"/>
      <c r="L96" s="23"/>
      <c r="M96" s="23"/>
      <c r="N96" s="23" t="str">
        <f>+IF((N94=1)*AND(SUM(O94:Q94)&gt;0),"CIENTO",IF(N94=1,"CIEN"," "))</f>
        <v xml:space="preserve"> </v>
      </c>
      <c r="O96" s="23" t="str">
        <f>IF((O94=2)*AND(Q94=0),"VEINTE ",+IF((O94=1)*AND(Q94&gt;5),"DIECI",+IF((O94=1)*AND(Q94&gt;4),"QUINCE ",+IF((O94=1)*AND(Q94&gt;3),"CATORCE ",+IF((O94=1)*AND(Q94&gt;2),"TRECE ",+IF((O94=1)*AND(Q94&gt;1),"DOCE ",+IF((O94=1)*AND(Q94&gt;0),"ONCE ",IF(O94=1,"DIEZ ",""))))))))</f>
        <v/>
      </c>
      <c r="P96" s="23"/>
      <c r="Q96" s="23"/>
      <c r="R96" s="23"/>
      <c r="S96" s="23" t="str">
        <f>+IF((S94=1)*AND(SUM(T94:V94)&gt;0),"CIENTO  ",IF(S94=1,"CIEN"," "))</f>
        <v xml:space="preserve"> </v>
      </c>
      <c r="T96" s="23" t="str">
        <f>IF((T94=2)*AND(V94=0),"VEINTE ",+IF((T94=1)*AND(V94&gt;5),"DIECI",+IF((T94=1)*AND(V94&gt;4),"QUINCE ",+IF((T94=1)*AND(V94&gt;3),"CATORCE ",+IF((T94=1)*AND(V94&gt;2),"TRECE ",+IF((T94=1)*AND(V94&gt;1),"DOCE ",+IF((T94=1)*AND(V94&gt;0),"ONCE ",IF(T94=1,"DIEZ ",""))))))))</f>
        <v/>
      </c>
      <c r="U96" s="23"/>
      <c r="V96" s="23"/>
      <c r="W96" s="23"/>
      <c r="X96" s="23" t="str">
        <f>+IF((X94=1)*AND(SUM(Y94:AA94)&gt;0),"CIENTO",IF(X94=1,"CIEN"," "))</f>
        <v xml:space="preserve"> </v>
      </c>
      <c r="Y96" s="23" t="str">
        <f>IF((Y94=2)*AND(AA94=0),"VEINTE ",+IF((Y94=1)*AND(AA94&gt;5),"DIECI",+IF((Y94=1)*AND(AA94&gt;4),"QUINCE ",+IF((Y94=1)*AND(AA94&gt;3),"CATORCE ",+IF((Y94=1)*AND(AA94&gt;2),"TRECE ",+IF((Y94=1)*AND(AA94&gt;1),"DOCE ",+IF((Y94=1)*AND(AA94&gt;0),"ONCE ",IF(Y94=1,"DIEZ ",""))))))))</f>
        <v/>
      </c>
      <c r="Z96" s="23"/>
      <c r="AA96" s="23"/>
      <c r="AB96" s="23"/>
      <c r="AC96" s="23" t="str">
        <f>+IF((AC94=1)*AND(SUM(AD94:AF94)&gt;0),"CIENTO  ",IF(AC94=1,"CIEN"," "))</f>
        <v xml:space="preserve"> </v>
      </c>
      <c r="AD96" s="23" t="str">
        <f>IF((AD94=2)*AND(AF94=0),"VEINTE ",+IF((AD94=1)*AND(AF94&gt;5),"DIECI",+IF((AD94=1)*AND(AF94&gt;4),"QUINCE ",+IF((AD94=1)*AND(AF94&gt;3),"CATORCE ",+IF((AD94=1)*AND(AF94&gt;2),"TRECE ",+IF((AD94=1)*AND(AF94&gt;1),"DOCE ",+IF((AD94=1)*AND(AF94&gt;0),"ONCE ",IF(AD94=1,"DIEZ ",""))))))))</f>
        <v/>
      </c>
      <c r="AE96" s="23"/>
      <c r="AF96" s="23"/>
      <c r="AG96" s="23"/>
      <c r="AH96" s="23" t="str">
        <f>IF((AH94=2)*AND(AJ94=0),"VEINTE ",+IF((AH94=1)*AND(AJ94&gt;5),"DIECI",+IF((AH94=1)*AND(AJ94&gt;4),"QUINCE ",+IF((AH94=1)*AND(AJ94&gt;3),"CATORCE ",+IF((AH94=1)*AND(AJ94&gt;2),"TRECE ",+IF((AH94=1)*AND(AJ94&gt;1),"DOCE ",+IF((AH94=1)*AND(AJ94&gt;0),"ONCE ",IF(AH94=1,"DIEZ ",""))))))))</f>
        <v/>
      </c>
      <c r="AI96" s="23"/>
      <c r="AJ96" s="23"/>
      <c r="AK96" s="23"/>
      <c r="AL96" s="24"/>
      <c r="AU96" s="44">
        <v>678.75</v>
      </c>
      <c r="AV96" s="44">
        <f t="shared" si="0"/>
        <v>695.71</v>
      </c>
      <c r="AW96" s="44">
        <v>66.02</v>
      </c>
      <c r="AX96" s="1">
        <f>+AW96*'DATOS PARA DEPURAR'!$C$23</f>
        <v>2397054.1599999997</v>
      </c>
    </row>
    <row r="97" spans="1:50" ht="13.5" hidden="1" thickBot="1" x14ac:dyDescent="0.25">
      <c r="A97" s="49"/>
      <c r="B97" s="202">
        <f>+'DATOS PARA DEPURAR'!C16</f>
        <v>44421</v>
      </c>
      <c r="C97" s="202"/>
      <c r="D97" s="328">
        <f>+D96*B99*5%</f>
        <v>-93000</v>
      </c>
      <c r="E97" s="50"/>
      <c r="I97" s="30"/>
      <c r="J97" s="31"/>
      <c r="K97" s="31"/>
      <c r="L97" s="1193" t="str">
        <f>+IF(L92=0,"CERO"," ")&amp;IF((I95=""),I96,I95)&amp;IF(J96="VEINTE ","",J95)&amp;K95&amp;IF(J96="",L95,J96)&amp;IF(J96="DIECI",L95,"")&amp;M95&amp;IF((N95=""),N96,N95)&amp;IF(O96="VEINTE ","",O95)&amp;P95&amp;IF(O96="",Q95,O96)&amp;IF(O96="DIECI",Q95,"")&amp;R95&amp;IF((S95=""),S96,S95)&amp;IF(T96="VEINTE ","",T95)&amp;U95&amp;IF(T96="",V95,T96)&amp;IF(T96="DIECI",V95,"")&amp;W95&amp;IF((X95=""),X96,X95)&amp;IF(Y96="VEINTE ","",Y95)&amp;Z95&amp;IF(Y96="",AA95,Y96)&amp;IF(Y96="DIECI",AA95,"")&amp;AB95&amp;IF((AC95=""),AC96,AC95)&amp;IF(AD96="VEINTE ","",AD95)&amp;AE95&amp;IF(AD96="",AF95,AD96)&amp;IF(AD96="DIECI",AF95,"")&amp;IF((SUM(S94:V94)&gt;0)*AND(SUM(X94:AF94)&lt;1),"DE  ","")&amp;AG95&amp;IF((SUM(AH94:AJ94)&gt;0),"  CON  ","")&amp;IF(AH96="VEINTE ","",AH95)&amp;AI95&amp;IF(AH96="",AJ95,AH96)&amp;IF(AH96="DIECI",AJ95,"")&amp;AK95&amp;"M/CTE"</f>
        <v>CERO     PESOS  M/CTE</v>
      </c>
      <c r="M97" s="1193"/>
      <c r="N97" s="1193"/>
      <c r="O97" s="1193"/>
      <c r="P97" s="1193"/>
      <c r="Q97" s="1193"/>
      <c r="R97" s="1193"/>
      <c r="S97" s="1193"/>
      <c r="T97" s="1193"/>
      <c r="U97" s="1193"/>
      <c r="V97" s="1193"/>
      <c r="W97" s="1193"/>
      <c r="X97" s="1193"/>
      <c r="Y97" s="1193"/>
      <c r="Z97" s="1193"/>
      <c r="AA97" s="1193"/>
      <c r="AB97" s="1193"/>
      <c r="AC97" s="1193"/>
      <c r="AD97" s="1193"/>
      <c r="AE97" s="1193"/>
      <c r="AF97" s="1193"/>
      <c r="AG97" s="1193"/>
      <c r="AH97" s="1193"/>
      <c r="AI97" s="1193"/>
      <c r="AJ97" s="1193"/>
      <c r="AK97" s="1193"/>
      <c r="AL97" s="1194"/>
      <c r="AU97" s="44">
        <v>695.72</v>
      </c>
      <c r="AV97" s="44">
        <f t="shared" si="0"/>
        <v>712.68000000000006</v>
      </c>
      <c r="AW97" s="44">
        <v>69.430000000000007</v>
      </c>
      <c r="AX97" s="1">
        <f>+AW97*'DATOS PARA DEPURAR'!$C$23</f>
        <v>2520864.4400000004</v>
      </c>
    </row>
    <row r="98" spans="1:50" hidden="1" x14ac:dyDescent="0.2">
      <c r="A98" s="49"/>
      <c r="B98" s="202">
        <f>+B96-B97</f>
        <v>-120</v>
      </c>
      <c r="C98" s="202"/>
      <c r="D98" s="432">
        <f>IF(D97&gt;D96,D96,D97)</f>
        <v>-93000</v>
      </c>
      <c r="E98" s="50"/>
      <c r="AU98" s="44">
        <v>712.69</v>
      </c>
      <c r="AV98" s="44">
        <f t="shared" si="0"/>
        <v>729.64</v>
      </c>
      <c r="AW98" s="44">
        <v>72.900000000000006</v>
      </c>
      <c r="AX98" s="1">
        <f>+AW98*'DATOS PARA DEPURAR'!$C$23</f>
        <v>2646853.2000000002</v>
      </c>
    </row>
    <row r="99" spans="1:50" hidden="1" x14ac:dyDescent="0.2">
      <c r="A99" s="49"/>
      <c r="B99" s="202">
        <f>_xlfn.CEILING.PRECISE(B98/30,1)</f>
        <v>-4</v>
      </c>
      <c r="C99" s="202"/>
      <c r="D99" s="202"/>
      <c r="E99" s="50"/>
      <c r="AU99" s="44">
        <v>729.65</v>
      </c>
      <c r="AV99" s="44">
        <f t="shared" si="0"/>
        <v>746.61</v>
      </c>
      <c r="AW99" s="44">
        <v>76.430000000000007</v>
      </c>
      <c r="AX99" s="1">
        <f>+AW99*'DATOS PARA DEPURAR'!$C$23</f>
        <v>2775020.4400000004</v>
      </c>
    </row>
    <row r="100" spans="1:50" hidden="1" x14ac:dyDescent="0.2">
      <c r="A100" s="49"/>
      <c r="B100" s="272" t="s">
        <v>444</v>
      </c>
      <c r="C100" s="329">
        <f>+E84</f>
        <v>3239300</v>
      </c>
      <c r="D100" s="202"/>
      <c r="E100" s="50"/>
      <c r="AU100" s="44">
        <v>746.62</v>
      </c>
      <c r="AV100" s="44">
        <f t="shared" si="0"/>
        <v>763.58</v>
      </c>
      <c r="AW100" s="44">
        <v>80.03</v>
      </c>
      <c r="AX100" s="1">
        <f>+AW100*'DATOS PARA DEPURAR'!$C$23</f>
        <v>2905729.24</v>
      </c>
    </row>
    <row r="101" spans="1:50" hidden="1" x14ac:dyDescent="0.2">
      <c r="A101" s="49"/>
      <c r="B101" s="272" t="s">
        <v>429</v>
      </c>
      <c r="C101" s="329">
        <f>IF('DATOS PARA DEPURAR'!C13="S",E95,0)</f>
        <v>0</v>
      </c>
      <c r="D101" s="202"/>
      <c r="E101" s="50"/>
      <c r="AU101" s="44">
        <v>763.59</v>
      </c>
      <c r="AV101" s="44">
        <f t="shared" si="0"/>
        <v>780.55</v>
      </c>
      <c r="AW101" s="44">
        <v>83.68</v>
      </c>
      <c r="AX101" s="1">
        <f>+AW101*'DATOS PARA DEPURAR'!$C$23</f>
        <v>3038253.4400000004</v>
      </c>
    </row>
    <row r="102" spans="1:50" hidden="1" x14ac:dyDescent="0.2">
      <c r="A102" s="49"/>
      <c r="B102" s="461" t="s">
        <v>445</v>
      </c>
      <c r="C102" s="329">
        <f>IF('DATOS PARA DEPURAR'!C15="S",D98,0)</f>
        <v>0</v>
      </c>
      <c r="D102" s="202">
        <f>'DATOS PARA DEPURAR'!E15</f>
        <v>0</v>
      </c>
      <c r="E102" s="50"/>
      <c r="AU102" s="44">
        <v>780.56</v>
      </c>
      <c r="AV102" s="44">
        <f t="shared" si="0"/>
        <v>797.52</v>
      </c>
      <c r="AW102" s="44">
        <v>87.39</v>
      </c>
      <c r="AX102" s="1">
        <f>+AW102*'DATOS PARA DEPURAR'!$C$23</f>
        <v>3172956.12</v>
      </c>
    </row>
    <row r="103" spans="1:50" hidden="1" x14ac:dyDescent="0.2">
      <c r="A103" s="49"/>
      <c r="B103" s="202"/>
      <c r="C103" s="328">
        <f>IF((C100&lt;=0),C101+C102,IF(C101&lt;=0,C100,IF(SUM(C100:C101)&lt;=0,0,0)))</f>
        <v>3239300</v>
      </c>
      <c r="D103" s="202">
        <f>IF(E93&gt;0,D102,0)</f>
        <v>0</v>
      </c>
      <c r="E103" s="50"/>
      <c r="AU103" s="44">
        <v>797.53</v>
      </c>
      <c r="AV103" s="44">
        <f t="shared" si="0"/>
        <v>814.49</v>
      </c>
      <c r="AW103" s="44">
        <v>91.15</v>
      </c>
      <c r="AX103" s="1">
        <f>+AW103*'DATOS PARA DEPURAR'!$C$23</f>
        <v>3309474.2</v>
      </c>
    </row>
    <row r="104" spans="1:50" hidden="1" x14ac:dyDescent="0.2">
      <c r="A104" s="49"/>
      <c r="B104" s="51"/>
      <c r="C104" s="51"/>
      <c r="D104" s="51"/>
      <c r="E104" s="50"/>
      <c r="AU104" s="44">
        <v>814.5</v>
      </c>
      <c r="AV104" s="44">
        <f t="shared" ref="AV104:AV121" si="3">+AU105-0.01</f>
        <v>831.46</v>
      </c>
      <c r="AW104" s="44">
        <v>94.96</v>
      </c>
      <c r="AX104" s="1">
        <f>+AW104*'DATOS PARA DEPURAR'!$C$23</f>
        <v>3447807.6799999997</v>
      </c>
    </row>
    <row r="105" spans="1:50" hidden="1" x14ac:dyDescent="0.2">
      <c r="A105" s="49"/>
      <c r="B105" s="2"/>
      <c r="C105" s="51">
        <f>IF('DATOS PARA DEPURAR'!A91&gt;0,'DATOS PARA DEPURAR'!A91,0)</f>
        <v>0</v>
      </c>
      <c r="D105" s="51"/>
      <c r="E105" s="50"/>
      <c r="AU105" s="44">
        <v>831.47</v>
      </c>
      <c r="AV105" s="44">
        <f t="shared" si="3"/>
        <v>848.43000000000006</v>
      </c>
      <c r="AW105" s="44">
        <v>98.81</v>
      </c>
      <c r="AX105" s="1">
        <f>+AW105*'DATOS PARA DEPURAR'!$C$23</f>
        <v>3587593.48</v>
      </c>
    </row>
    <row r="106" spans="1:50" hidden="1" x14ac:dyDescent="0.2">
      <c r="A106" s="49"/>
      <c r="B106">
        <f>IF((E37+E41+E43-E38-E39-E40)&gt;0,E37+E41+E43-E38-E39-E40,0)</f>
        <v>0</v>
      </c>
      <c r="C106" s="51">
        <f>IF('DATOS PARA DEPURAR'!C21&gt;0,'DATOS PARA DEPURAR'!C21,0)</f>
        <v>0</v>
      </c>
      <c r="D106" s="51"/>
      <c r="E106" s="50"/>
      <c r="AU106" s="44">
        <v>848.44</v>
      </c>
      <c r="AV106" s="44">
        <f t="shared" si="3"/>
        <v>865.39</v>
      </c>
      <c r="AW106" s="44">
        <v>102.72</v>
      </c>
      <c r="AX106" s="1">
        <f>+AW106*'DATOS PARA DEPURAR'!$C$23</f>
        <v>3729557.76</v>
      </c>
    </row>
    <row r="107" spans="1:50" hidden="1" x14ac:dyDescent="0.2">
      <c r="A107" s="49"/>
      <c r="C107" s="51"/>
      <c r="D107" s="51"/>
      <c r="E107" s="50"/>
      <c r="AU107" s="44">
        <v>865.4</v>
      </c>
      <c r="AV107" s="44">
        <f t="shared" si="3"/>
        <v>882.36</v>
      </c>
      <c r="AW107" s="44">
        <v>106.67</v>
      </c>
      <c r="AX107" s="1">
        <f>+AW107*'DATOS PARA DEPURAR'!$C$23</f>
        <v>3872974.36</v>
      </c>
    </row>
    <row r="108" spans="1:50" hidden="1" x14ac:dyDescent="0.2">
      <c r="A108" s="49"/>
      <c r="B108" s="2">
        <f>+E45</f>
        <v>0</v>
      </c>
      <c r="C108" s="36">
        <f>+D108*-1</f>
        <v>465000</v>
      </c>
      <c r="D108" s="36">
        <f>IF('DATOS PARA DEPURAR'!C14&lt;=0,'DATOS PARA DEPURAR'!C14,0)</f>
        <v>-465000</v>
      </c>
      <c r="E108" s="50"/>
      <c r="AU108" s="44">
        <v>882.37</v>
      </c>
      <c r="AV108" s="44">
        <f t="shared" si="3"/>
        <v>899.33</v>
      </c>
      <c r="AW108" s="44">
        <v>110.65</v>
      </c>
      <c r="AX108" s="1">
        <f>+AW108*'DATOS PARA DEPURAR'!$C$23</f>
        <v>4017480.2</v>
      </c>
    </row>
    <row r="109" spans="1:50" hidden="1" x14ac:dyDescent="0.2">
      <c r="A109" s="49"/>
      <c r="B109" s="2">
        <f>IF((E37+E41+E43-E38-E39-E40)&gt;0,E37+E41+E43-E38-E39-E40,0)</f>
        <v>0</v>
      </c>
      <c r="C109" s="36">
        <f>IF('DATOS PARA DEPURAR'!C14&gt;0,'DATOS PARA DEPURAR'!C14,0)</f>
        <v>0</v>
      </c>
      <c r="D109" s="51"/>
      <c r="E109" s="50"/>
      <c r="AU109" s="44">
        <v>899.34</v>
      </c>
      <c r="AV109" s="44">
        <f t="shared" si="3"/>
        <v>916.3</v>
      </c>
      <c r="AW109" s="44">
        <v>114.68</v>
      </c>
      <c r="AX109" s="1">
        <f>+AW109*'DATOS PARA DEPURAR'!$C$23</f>
        <v>4163801.4400000004</v>
      </c>
    </row>
    <row r="110" spans="1:50" hidden="1" x14ac:dyDescent="0.2">
      <c r="A110" s="49"/>
      <c r="B110" s="2265" t="s">
        <v>459</v>
      </c>
      <c r="C110" s="2266"/>
      <c r="D110" s="36"/>
      <c r="E110" s="50"/>
      <c r="AU110" s="44">
        <v>916.31</v>
      </c>
      <c r="AV110" s="44">
        <f t="shared" si="3"/>
        <v>933.27</v>
      </c>
      <c r="AW110" s="44">
        <v>118.74</v>
      </c>
      <c r="AX110" s="1">
        <f>+AW110*'DATOS PARA DEPURAR'!$C$23</f>
        <v>4311211.92</v>
      </c>
    </row>
    <row r="111" spans="1:50" hidden="1" x14ac:dyDescent="0.2">
      <c r="A111" s="49"/>
      <c r="B111" s="39" t="s">
        <v>460</v>
      </c>
      <c r="C111" s="36"/>
      <c r="D111" s="36"/>
      <c r="E111" s="50"/>
      <c r="AU111" s="44">
        <v>933.28</v>
      </c>
      <c r="AV111" s="44">
        <f t="shared" si="3"/>
        <v>950.24</v>
      </c>
      <c r="AW111" s="44">
        <v>122.84</v>
      </c>
      <c r="AX111" s="1">
        <f>+AW111*'DATOS PARA DEPURAR'!$C$23</f>
        <v>4460074.72</v>
      </c>
    </row>
    <row r="112" spans="1:50" hidden="1" x14ac:dyDescent="0.2">
      <c r="A112" s="49"/>
      <c r="B112" t="str">
        <f>IF(B108&gt;C108,B110,B111)</f>
        <v>YAOP</v>
      </c>
      <c r="C112" s="36"/>
      <c r="D112" s="36"/>
      <c r="E112" s="50"/>
      <c r="AU112" s="44">
        <v>950.25</v>
      </c>
      <c r="AV112" s="44">
        <f t="shared" si="3"/>
        <v>967.21</v>
      </c>
      <c r="AW112" s="44">
        <v>126.96</v>
      </c>
      <c r="AX112" s="1">
        <f>+AW112*'DATOS PARA DEPURAR'!$C$23</f>
        <v>4609663.68</v>
      </c>
    </row>
    <row r="113" spans="1:50" hidden="1" x14ac:dyDescent="0.2">
      <c r="A113" s="49"/>
      <c r="B113" t="str">
        <f>IF(B109&gt;C109,B110,B111)</f>
        <v>YAOP</v>
      </c>
      <c r="C113" s="36"/>
      <c r="D113" s="36" t="str">
        <f>IF(B108&gt;=0,IF(C109&gt;=0,B114,IF(B108&gt;=0,IF(C108&gt;=0,B112,IF(B109&gt;=0,IF(C109&gt;=0,B113,0))))))</f>
        <v>ESTA DECLARACION DEBE REALIZARSE SEGÚN ART 589 E.T.</v>
      </c>
      <c r="E113" s="50"/>
      <c r="AU113" s="44">
        <v>967.22</v>
      </c>
      <c r="AV113" s="44">
        <f t="shared" si="3"/>
        <v>984.18000000000006</v>
      </c>
      <c r="AW113" s="44">
        <v>131.11000000000001</v>
      </c>
      <c r="AX113" s="1">
        <f>+AW113*'DATOS PARA DEPURAR'!$C$23</f>
        <v>4760341.8800000008</v>
      </c>
    </row>
    <row r="114" spans="1:50" hidden="1" x14ac:dyDescent="0.2">
      <c r="A114" s="49"/>
      <c r="B114" t="str">
        <f>IF(B108&gt;=0,IF(C109&gt;=0,B110,B111))</f>
        <v>ESTA DECLARACION DEBE REALIZARSE SEGÚN ART 589 E.T.</v>
      </c>
      <c r="C114" s="36"/>
      <c r="D114" s="36"/>
      <c r="E114" s="50"/>
      <c r="AU114" s="44">
        <v>984.19</v>
      </c>
      <c r="AV114" s="44">
        <f t="shared" si="3"/>
        <v>1001.14</v>
      </c>
      <c r="AW114" s="44">
        <v>135.29</v>
      </c>
      <c r="AX114" s="1">
        <f>+AW114*'DATOS PARA DEPURAR'!$C$23</f>
        <v>4912109.3199999994</v>
      </c>
    </row>
    <row r="115" spans="1:50" hidden="1" x14ac:dyDescent="0.2">
      <c r="A115" s="49"/>
      <c r="C115" s="36"/>
      <c r="D115" s="36"/>
      <c r="E115" s="50"/>
      <c r="AU115" s="45">
        <v>1001.15</v>
      </c>
      <c r="AV115" s="44">
        <f t="shared" si="3"/>
        <v>1018.11</v>
      </c>
      <c r="AW115" s="44">
        <v>139.49</v>
      </c>
      <c r="AX115" s="1">
        <f>+AW115*'DATOS PARA DEPURAR'!$C$23</f>
        <v>5064602.92</v>
      </c>
    </row>
    <row r="116" spans="1:50" hidden="1" x14ac:dyDescent="0.2">
      <c r="A116" s="49"/>
      <c r="B116" s="272" t="s">
        <v>410</v>
      </c>
      <c r="C116" s="36"/>
      <c r="D116" s="36"/>
      <c r="E116" s="50"/>
      <c r="AU116" s="45">
        <v>1018.12</v>
      </c>
      <c r="AV116" s="44">
        <f t="shared" si="3"/>
        <v>1035.08</v>
      </c>
      <c r="AW116" s="44">
        <v>143.71</v>
      </c>
      <c r="AX116" s="1">
        <f>+AW116*'DATOS PARA DEPURAR'!$C$23</f>
        <v>5217822.6800000006</v>
      </c>
    </row>
    <row r="117" spans="1:50" hidden="1" x14ac:dyDescent="0.2">
      <c r="A117" s="49"/>
      <c r="B117" s="51"/>
      <c r="C117" s="51"/>
      <c r="D117" s="51"/>
      <c r="E117" s="50"/>
      <c r="AU117" s="45">
        <v>1035.0899999999999</v>
      </c>
      <c r="AV117" s="44">
        <f t="shared" si="3"/>
        <v>1052.05</v>
      </c>
      <c r="AW117" s="44">
        <v>147.94</v>
      </c>
      <c r="AX117" s="1">
        <f>+AW117*'DATOS PARA DEPURAR'!$C$23</f>
        <v>5371405.5199999996</v>
      </c>
    </row>
    <row r="118" spans="1:50" hidden="1" x14ac:dyDescent="0.2">
      <c r="A118" s="49"/>
      <c r="B118" s="51"/>
      <c r="C118" s="51"/>
      <c r="D118" s="51"/>
      <c r="E118" s="50"/>
      <c r="AU118" s="45">
        <v>1052.06</v>
      </c>
      <c r="AV118" s="44">
        <f t="shared" si="3"/>
        <v>1069.02</v>
      </c>
      <c r="AW118" s="44">
        <v>152.19</v>
      </c>
      <c r="AX118" s="1">
        <f>+AW118*'DATOS PARA DEPURAR'!$C$23</f>
        <v>5525714.5199999996</v>
      </c>
    </row>
    <row r="119" spans="1:50" hidden="1" x14ac:dyDescent="0.2">
      <c r="A119" s="49"/>
      <c r="B119" s="51"/>
      <c r="C119" s="51"/>
      <c r="D119" s="51"/>
      <c r="E119" s="50"/>
      <c r="AU119" s="45">
        <v>1069.03</v>
      </c>
      <c r="AV119" s="44">
        <f t="shared" si="3"/>
        <v>1085.99</v>
      </c>
      <c r="AW119" s="44">
        <v>156.44999999999999</v>
      </c>
      <c r="AX119" s="1">
        <f>+AW119*'DATOS PARA DEPURAR'!$C$23</f>
        <v>5680386.5999999996</v>
      </c>
    </row>
    <row r="120" spans="1:50" hidden="1" x14ac:dyDescent="0.2">
      <c r="A120" s="49"/>
      <c r="B120" s="51"/>
      <c r="C120" s="51"/>
      <c r="D120" s="51"/>
      <c r="E120" s="50"/>
      <c r="AU120" s="45">
        <v>1086</v>
      </c>
      <c r="AV120" s="44">
        <f t="shared" si="3"/>
        <v>1102.96</v>
      </c>
      <c r="AW120" s="44">
        <v>160.72</v>
      </c>
      <c r="AX120" s="1">
        <f>+AW120*'DATOS PARA DEPURAR'!$C$23</f>
        <v>5835421.7599999998</v>
      </c>
    </row>
    <row r="121" spans="1:50" hidden="1" x14ac:dyDescent="0.2">
      <c r="A121" s="49"/>
      <c r="B121" s="51"/>
      <c r="C121" s="51"/>
      <c r="D121" s="51"/>
      <c r="E121" s="50"/>
      <c r="AU121" s="45">
        <v>1102.97</v>
      </c>
      <c r="AV121" s="44">
        <f t="shared" si="3"/>
        <v>1119.92</v>
      </c>
      <c r="AW121" s="44">
        <v>164.99</v>
      </c>
      <c r="AX121" s="1">
        <f>+AW121*'DATOS PARA DEPURAR'!$C$23</f>
        <v>5990456.9199999999</v>
      </c>
    </row>
    <row r="122" spans="1:50" hidden="1" x14ac:dyDescent="0.2">
      <c r="A122" s="49"/>
      <c r="B122" s="51"/>
      <c r="C122" s="51"/>
      <c r="D122" s="51"/>
      <c r="E122" s="50"/>
      <c r="AU122" s="45">
        <v>1119.93</v>
      </c>
      <c r="AV122" s="44">
        <f>1136.92-0.01</f>
        <v>1136.9100000000001</v>
      </c>
      <c r="AW122" s="44">
        <v>169.26</v>
      </c>
      <c r="AX122" s="1">
        <f>+AW122*'DATOS PARA DEPURAR'!$C$23</f>
        <v>6145492.0800000001</v>
      </c>
    </row>
    <row r="123" spans="1:50" hidden="1" x14ac:dyDescent="0.2">
      <c r="A123" s="49"/>
      <c r="B123" s="51"/>
      <c r="C123" s="51"/>
      <c r="D123" s="51"/>
      <c r="E123" s="50"/>
      <c r="AU123" s="45">
        <v>1136.92</v>
      </c>
      <c r="AV123" s="44"/>
      <c r="AW123" s="44" t="e">
        <f>27%*AU1-135.17</f>
        <v>#REF!</v>
      </c>
      <c r="AX123" s="1" t="e">
        <f>+AW123*'DATOS PARA DEPURAR'!$C$23</f>
        <v>#REF!</v>
      </c>
    </row>
    <row r="124" spans="1:50" ht="13.5" hidden="1" thickBot="1" x14ac:dyDescent="0.25">
      <c r="A124" s="71"/>
      <c r="B124" s="72"/>
      <c r="C124" s="72"/>
      <c r="D124" s="72"/>
      <c r="E124" s="73"/>
    </row>
    <row r="125" spans="1:50" hidden="1" x14ac:dyDescent="0.2">
      <c r="AU125" s="42"/>
      <c r="AV125" s="46"/>
      <c r="AW125" s="43"/>
    </row>
    <row r="126" spans="1:50" ht="15" hidden="1" x14ac:dyDescent="0.25">
      <c r="A126" s="98">
        <v>0</v>
      </c>
      <c r="B126" s="99">
        <v>1547.99</v>
      </c>
      <c r="C126" s="100">
        <v>0</v>
      </c>
      <c r="E126">
        <v>0</v>
      </c>
      <c r="F126" s="103">
        <f t="shared" ref="F126:F166" si="4">+E127-0.01</f>
        <v>1547.99</v>
      </c>
      <c r="I126">
        <v>0</v>
      </c>
    </row>
    <row r="127" spans="1:50" ht="15" hidden="1" x14ac:dyDescent="0.25">
      <c r="A127" s="98">
        <v>1548</v>
      </c>
      <c r="B127" s="101">
        <f>+A128-0.01</f>
        <v>1587.99</v>
      </c>
      <c r="C127" s="100">
        <v>1.05</v>
      </c>
      <c r="E127" s="98">
        <v>1548</v>
      </c>
      <c r="F127" s="103">
        <f t="shared" si="4"/>
        <v>1587.99</v>
      </c>
      <c r="I127" s="100">
        <v>1.08</v>
      </c>
    </row>
    <row r="128" spans="1:50" ht="15" hidden="1" x14ac:dyDescent="0.25">
      <c r="A128" s="98">
        <v>1588</v>
      </c>
      <c r="B128" s="101">
        <f t="shared" ref="B128:B191" si="5">+A129-0.01</f>
        <v>1628.99</v>
      </c>
      <c r="C128" s="100">
        <v>1.08</v>
      </c>
      <c r="E128" s="98">
        <v>1588</v>
      </c>
      <c r="F128" s="103">
        <f t="shared" si="4"/>
        <v>1628.99</v>
      </c>
      <c r="I128" s="100">
        <v>1.1000000000000001</v>
      </c>
    </row>
    <row r="129" spans="1:9" ht="15" hidden="1" x14ac:dyDescent="0.25">
      <c r="A129" s="98">
        <v>1629</v>
      </c>
      <c r="B129" s="101">
        <f t="shared" si="5"/>
        <v>1669.99</v>
      </c>
      <c r="C129" s="100">
        <v>1.1100000000000001</v>
      </c>
      <c r="E129" s="98">
        <v>1629</v>
      </c>
      <c r="F129" s="103">
        <f t="shared" si="4"/>
        <v>1669.99</v>
      </c>
      <c r="I129" s="100">
        <v>1.1299999999999999</v>
      </c>
    </row>
    <row r="130" spans="1:9" ht="15" hidden="1" x14ac:dyDescent="0.25">
      <c r="A130" s="98">
        <v>1670</v>
      </c>
      <c r="B130" s="101">
        <f t="shared" si="5"/>
        <v>1709.99</v>
      </c>
      <c r="C130" s="100">
        <v>1.1399999999999999</v>
      </c>
      <c r="E130" s="98">
        <v>1670</v>
      </c>
      <c r="F130" s="103">
        <f t="shared" si="4"/>
        <v>1709.99</v>
      </c>
      <c r="I130" s="100">
        <v>1.1599999999999999</v>
      </c>
    </row>
    <row r="131" spans="1:9" ht="15" hidden="1" x14ac:dyDescent="0.25">
      <c r="A131" s="98">
        <v>1710</v>
      </c>
      <c r="B131" s="101">
        <f t="shared" si="5"/>
        <v>1750.99</v>
      </c>
      <c r="C131" s="100">
        <v>1.1599999999999999</v>
      </c>
      <c r="E131" s="98">
        <v>1710</v>
      </c>
      <c r="F131" s="103">
        <f t="shared" si="4"/>
        <v>1750.99</v>
      </c>
      <c r="I131" s="100">
        <v>1.19</v>
      </c>
    </row>
    <row r="132" spans="1:9" ht="15" hidden="1" x14ac:dyDescent="0.25">
      <c r="A132" s="98">
        <v>1751</v>
      </c>
      <c r="B132" s="101">
        <f t="shared" si="5"/>
        <v>1791.99</v>
      </c>
      <c r="C132" s="100">
        <v>2.38</v>
      </c>
      <c r="E132" s="98">
        <v>1751</v>
      </c>
      <c r="F132" s="103">
        <f t="shared" si="4"/>
        <v>1791.99</v>
      </c>
      <c r="I132" s="100">
        <v>2.4300000000000002</v>
      </c>
    </row>
    <row r="133" spans="1:9" ht="15" hidden="1" x14ac:dyDescent="0.25">
      <c r="A133" s="98">
        <v>1792</v>
      </c>
      <c r="B133" s="101">
        <f t="shared" si="5"/>
        <v>1832.99</v>
      </c>
      <c r="C133" s="100">
        <v>2.4300000000000002</v>
      </c>
      <c r="E133" s="98">
        <v>1792</v>
      </c>
      <c r="F133" s="103">
        <f t="shared" si="4"/>
        <v>1832.99</v>
      </c>
      <c r="I133" s="100">
        <v>2.48</v>
      </c>
    </row>
    <row r="134" spans="1:9" ht="15" hidden="1" x14ac:dyDescent="0.25">
      <c r="A134" s="98">
        <v>1833</v>
      </c>
      <c r="B134" s="101">
        <f t="shared" si="5"/>
        <v>1872.99</v>
      </c>
      <c r="C134" s="100">
        <v>2.4900000000000002</v>
      </c>
      <c r="E134" s="98">
        <v>1833</v>
      </c>
      <c r="F134" s="103">
        <f t="shared" si="4"/>
        <v>1872.99</v>
      </c>
      <c r="I134" s="100">
        <v>2.54</v>
      </c>
    </row>
    <row r="135" spans="1:9" ht="15" hidden="1" x14ac:dyDescent="0.25">
      <c r="A135" s="98">
        <v>1873</v>
      </c>
      <c r="B135" s="101">
        <f t="shared" si="5"/>
        <v>1913.99</v>
      </c>
      <c r="C135" s="100">
        <v>4.76</v>
      </c>
      <c r="E135" s="98">
        <v>1873</v>
      </c>
      <c r="F135" s="103">
        <f t="shared" si="4"/>
        <v>1913.99</v>
      </c>
      <c r="I135" s="100">
        <v>4.8499999999999996</v>
      </c>
    </row>
    <row r="136" spans="1:9" ht="15" hidden="1" x14ac:dyDescent="0.25">
      <c r="A136" s="98">
        <v>1914</v>
      </c>
      <c r="B136" s="101">
        <f t="shared" si="5"/>
        <v>1954.99</v>
      </c>
      <c r="C136" s="100">
        <v>4.8600000000000003</v>
      </c>
      <c r="E136" s="98">
        <v>1914</v>
      </c>
      <c r="F136" s="103">
        <f t="shared" si="4"/>
        <v>1954.99</v>
      </c>
      <c r="I136" s="100">
        <v>4.96</v>
      </c>
    </row>
    <row r="137" spans="1:9" ht="15" hidden="1" x14ac:dyDescent="0.25">
      <c r="A137" s="98">
        <v>1955</v>
      </c>
      <c r="B137" s="101">
        <f t="shared" si="5"/>
        <v>1995.99</v>
      </c>
      <c r="C137" s="100">
        <v>4.96</v>
      </c>
      <c r="E137" s="98">
        <v>1955</v>
      </c>
      <c r="F137" s="103">
        <f t="shared" si="4"/>
        <v>1995.99</v>
      </c>
      <c r="I137" s="100">
        <v>5.0599999999999996</v>
      </c>
    </row>
    <row r="138" spans="1:9" ht="15" hidden="1" x14ac:dyDescent="0.25">
      <c r="A138" s="98">
        <v>1996</v>
      </c>
      <c r="B138" s="101">
        <f t="shared" si="5"/>
        <v>2035.99</v>
      </c>
      <c r="C138" s="100">
        <v>8.43</v>
      </c>
      <c r="E138" s="98">
        <v>1996</v>
      </c>
      <c r="F138" s="103">
        <f t="shared" si="4"/>
        <v>2035.99</v>
      </c>
      <c r="I138" s="100">
        <v>8.6</v>
      </c>
    </row>
    <row r="139" spans="1:9" ht="15" hidden="1" x14ac:dyDescent="0.25">
      <c r="A139" s="98">
        <v>2036</v>
      </c>
      <c r="B139" s="101">
        <f t="shared" si="5"/>
        <v>2117.9899999999998</v>
      </c>
      <c r="C139" s="100">
        <v>8.7100000000000009</v>
      </c>
      <c r="E139" s="98">
        <v>2036</v>
      </c>
      <c r="F139" s="103">
        <f t="shared" si="4"/>
        <v>2117.9899999999998</v>
      </c>
      <c r="I139" s="100">
        <v>8.89</v>
      </c>
    </row>
    <row r="140" spans="1:9" ht="15" hidden="1" x14ac:dyDescent="0.25">
      <c r="A140" s="98">
        <v>2118</v>
      </c>
      <c r="B140" s="101">
        <f t="shared" si="5"/>
        <v>2198.9899999999998</v>
      </c>
      <c r="C140" s="100">
        <v>13.74</v>
      </c>
      <c r="E140" s="98">
        <v>2118</v>
      </c>
      <c r="F140" s="103">
        <f t="shared" si="4"/>
        <v>2198.9899999999998</v>
      </c>
      <c r="I140" s="100">
        <v>14.02</v>
      </c>
    </row>
    <row r="141" spans="1:9" ht="15" hidden="1" x14ac:dyDescent="0.25">
      <c r="A141" s="98">
        <v>2199</v>
      </c>
      <c r="B141" s="101">
        <f t="shared" si="5"/>
        <v>2280.9899999999998</v>
      </c>
      <c r="C141" s="100">
        <v>14.26</v>
      </c>
      <c r="E141" s="98">
        <v>2199</v>
      </c>
      <c r="F141" s="103">
        <f t="shared" si="4"/>
        <v>2280.9899999999998</v>
      </c>
      <c r="I141" s="100">
        <v>20.92</v>
      </c>
    </row>
    <row r="142" spans="1:9" ht="15" hidden="1" x14ac:dyDescent="0.25">
      <c r="A142" s="98">
        <v>2281</v>
      </c>
      <c r="B142" s="101">
        <f t="shared" si="5"/>
        <v>2361.9899999999998</v>
      </c>
      <c r="C142" s="100">
        <v>19.809999999999999</v>
      </c>
      <c r="E142" s="98">
        <v>2281</v>
      </c>
      <c r="F142" s="103">
        <f t="shared" si="4"/>
        <v>2361.9899999999998</v>
      </c>
      <c r="I142" s="100">
        <v>29.98</v>
      </c>
    </row>
    <row r="143" spans="1:9" ht="15" hidden="1" x14ac:dyDescent="0.25">
      <c r="A143" s="98">
        <v>2362</v>
      </c>
      <c r="B143" s="101">
        <f t="shared" si="5"/>
        <v>2442.9899999999998</v>
      </c>
      <c r="C143" s="100">
        <v>25.7</v>
      </c>
      <c r="E143" s="98">
        <v>2362</v>
      </c>
      <c r="F143" s="103">
        <f t="shared" si="4"/>
        <v>2442.9899999999998</v>
      </c>
      <c r="I143" s="100">
        <v>39.03</v>
      </c>
    </row>
    <row r="144" spans="1:9" ht="15" hidden="1" x14ac:dyDescent="0.25">
      <c r="A144" s="98">
        <v>2443</v>
      </c>
      <c r="B144" s="101">
        <f t="shared" si="5"/>
        <v>2524.9899999999998</v>
      </c>
      <c r="C144" s="100">
        <v>26.57</v>
      </c>
      <c r="E144" s="98">
        <v>2443</v>
      </c>
      <c r="F144" s="103">
        <f t="shared" si="4"/>
        <v>2524.9899999999998</v>
      </c>
      <c r="I144" s="100">
        <v>48.08</v>
      </c>
    </row>
    <row r="145" spans="1:9" ht="15" hidden="1" x14ac:dyDescent="0.25">
      <c r="A145" s="98">
        <v>2525</v>
      </c>
      <c r="B145" s="101">
        <f t="shared" si="5"/>
        <v>2605.9899999999998</v>
      </c>
      <c r="C145" s="100">
        <v>35.56</v>
      </c>
      <c r="E145" s="98">
        <v>2525</v>
      </c>
      <c r="F145" s="103">
        <f t="shared" si="4"/>
        <v>2605.9899999999998</v>
      </c>
      <c r="I145" s="100">
        <v>57.14</v>
      </c>
    </row>
    <row r="146" spans="1:9" ht="15" hidden="1" x14ac:dyDescent="0.25">
      <c r="A146" s="98">
        <v>2606</v>
      </c>
      <c r="B146" s="101">
        <f t="shared" si="5"/>
        <v>2687.99</v>
      </c>
      <c r="C146" s="100">
        <v>45.05</v>
      </c>
      <c r="E146" s="98">
        <v>2606</v>
      </c>
      <c r="F146" s="103">
        <f t="shared" si="4"/>
        <v>2687.99</v>
      </c>
      <c r="I146" s="100">
        <v>66.19</v>
      </c>
    </row>
    <row r="147" spans="1:9" ht="15" hidden="1" x14ac:dyDescent="0.25">
      <c r="A147" s="98">
        <v>2688</v>
      </c>
      <c r="B147" s="101">
        <f t="shared" si="5"/>
        <v>2768.99</v>
      </c>
      <c r="C147" s="100">
        <v>46.43</v>
      </c>
      <c r="E147" s="98">
        <v>2688</v>
      </c>
      <c r="F147" s="103">
        <f t="shared" si="4"/>
        <v>2768.99</v>
      </c>
      <c r="I147" s="100">
        <v>75.239999999999995</v>
      </c>
    </row>
    <row r="148" spans="1:9" ht="15" hidden="1" x14ac:dyDescent="0.25">
      <c r="A148" s="98">
        <v>2769</v>
      </c>
      <c r="B148" s="101">
        <f t="shared" si="5"/>
        <v>2850.99</v>
      </c>
      <c r="C148" s="100">
        <v>55.58</v>
      </c>
      <c r="E148" s="98">
        <v>2769</v>
      </c>
      <c r="F148" s="103">
        <f t="shared" si="4"/>
        <v>2850.99</v>
      </c>
      <c r="I148" s="100">
        <v>84.3</v>
      </c>
    </row>
    <row r="149" spans="1:9" ht="15" hidden="1" x14ac:dyDescent="0.25">
      <c r="A149" s="98">
        <v>2851</v>
      </c>
      <c r="B149" s="101">
        <f t="shared" si="5"/>
        <v>2931.99</v>
      </c>
      <c r="C149" s="100">
        <v>60.7</v>
      </c>
      <c r="E149" s="98">
        <v>2851</v>
      </c>
      <c r="F149" s="103">
        <f t="shared" si="4"/>
        <v>2931.99</v>
      </c>
      <c r="I149" s="100">
        <v>93.35</v>
      </c>
    </row>
    <row r="150" spans="1:9" ht="15" hidden="1" x14ac:dyDescent="0.25">
      <c r="A150" s="98">
        <v>2932</v>
      </c>
      <c r="B150" s="101">
        <f t="shared" si="5"/>
        <v>3013.99</v>
      </c>
      <c r="C150" s="100">
        <v>66.02</v>
      </c>
      <c r="E150" s="98">
        <v>2932</v>
      </c>
      <c r="F150" s="103">
        <f t="shared" si="4"/>
        <v>3013.99</v>
      </c>
      <c r="I150" s="100">
        <v>102.4</v>
      </c>
    </row>
    <row r="151" spans="1:9" ht="15" hidden="1" x14ac:dyDescent="0.25">
      <c r="A151" s="98">
        <v>3014</v>
      </c>
      <c r="B151" s="101">
        <f t="shared" si="5"/>
        <v>3094.99</v>
      </c>
      <c r="C151" s="100">
        <v>71.540000000000006</v>
      </c>
      <c r="E151" s="98">
        <v>3014</v>
      </c>
      <c r="F151" s="103">
        <f t="shared" si="4"/>
        <v>3094.99</v>
      </c>
      <c r="I151" s="100">
        <v>111.46</v>
      </c>
    </row>
    <row r="152" spans="1:9" ht="15" hidden="1" x14ac:dyDescent="0.25">
      <c r="A152" s="98">
        <v>3095</v>
      </c>
      <c r="B152" s="101">
        <f t="shared" si="5"/>
        <v>3176.99</v>
      </c>
      <c r="C152" s="100">
        <v>77.239999999999995</v>
      </c>
      <c r="E152" s="98">
        <v>3095</v>
      </c>
      <c r="F152" s="103">
        <f t="shared" si="4"/>
        <v>3176.99</v>
      </c>
      <c r="I152" s="100">
        <v>122.79</v>
      </c>
    </row>
    <row r="153" spans="1:9" ht="15" hidden="1" x14ac:dyDescent="0.25">
      <c r="A153" s="98">
        <v>3177</v>
      </c>
      <c r="B153" s="101">
        <f t="shared" si="5"/>
        <v>3257.99</v>
      </c>
      <c r="C153" s="100">
        <v>83.14</v>
      </c>
      <c r="E153" s="98">
        <v>3177</v>
      </c>
      <c r="F153" s="103">
        <f t="shared" si="4"/>
        <v>3257.99</v>
      </c>
      <c r="I153" s="100">
        <v>136.13</v>
      </c>
    </row>
    <row r="154" spans="1:9" ht="15" hidden="1" x14ac:dyDescent="0.25">
      <c r="A154" s="98">
        <v>3258</v>
      </c>
      <c r="B154" s="101">
        <f t="shared" si="5"/>
        <v>3338.99</v>
      </c>
      <c r="C154" s="100">
        <v>89.23</v>
      </c>
      <c r="E154" s="98">
        <v>3258</v>
      </c>
      <c r="F154" s="103">
        <f t="shared" si="4"/>
        <v>3338.99</v>
      </c>
      <c r="I154" s="100">
        <v>149.47</v>
      </c>
    </row>
    <row r="155" spans="1:9" ht="15" hidden="1" x14ac:dyDescent="0.25">
      <c r="A155" s="98">
        <v>3339</v>
      </c>
      <c r="B155" s="101">
        <f t="shared" si="5"/>
        <v>3420.99</v>
      </c>
      <c r="C155" s="100">
        <v>95.51</v>
      </c>
      <c r="E155" s="98">
        <v>3339</v>
      </c>
      <c r="F155" s="103">
        <f t="shared" si="4"/>
        <v>3420.99</v>
      </c>
      <c r="I155" s="100">
        <v>162.82</v>
      </c>
    </row>
    <row r="156" spans="1:9" ht="15" hidden="1" x14ac:dyDescent="0.25">
      <c r="A156" s="98">
        <v>3421</v>
      </c>
      <c r="B156" s="101">
        <f t="shared" si="5"/>
        <v>3501.99</v>
      </c>
      <c r="C156" s="100">
        <v>101.98</v>
      </c>
      <c r="E156" s="98">
        <v>3421</v>
      </c>
      <c r="F156" s="103">
        <f t="shared" si="4"/>
        <v>3501.99</v>
      </c>
      <c r="I156" s="100">
        <v>176.16</v>
      </c>
    </row>
    <row r="157" spans="1:9" ht="15" hidden="1" x14ac:dyDescent="0.25">
      <c r="A157" s="98">
        <v>3502</v>
      </c>
      <c r="B157" s="101">
        <f t="shared" si="5"/>
        <v>3583.99</v>
      </c>
      <c r="C157" s="100">
        <v>108.64</v>
      </c>
      <c r="E157" s="98">
        <v>3502</v>
      </c>
      <c r="F157" s="103">
        <f t="shared" si="4"/>
        <v>3583.99</v>
      </c>
      <c r="I157" s="100">
        <v>189.5</v>
      </c>
    </row>
    <row r="158" spans="1:9" ht="15" hidden="1" x14ac:dyDescent="0.25">
      <c r="A158" s="98">
        <v>3584</v>
      </c>
      <c r="B158" s="101">
        <f t="shared" si="5"/>
        <v>3664.99</v>
      </c>
      <c r="C158" s="100">
        <v>115.49</v>
      </c>
      <c r="E158" s="98">
        <v>3584</v>
      </c>
      <c r="F158" s="103">
        <f t="shared" si="4"/>
        <v>3664.99</v>
      </c>
      <c r="I158" s="100">
        <v>202.84</v>
      </c>
    </row>
    <row r="159" spans="1:9" ht="15" hidden="1" x14ac:dyDescent="0.25">
      <c r="A159" s="98">
        <v>3665</v>
      </c>
      <c r="B159" s="101">
        <f t="shared" si="5"/>
        <v>3746.99</v>
      </c>
      <c r="C159" s="100">
        <v>122.54</v>
      </c>
      <c r="E159" s="98">
        <v>3665</v>
      </c>
      <c r="F159" s="103">
        <f t="shared" si="4"/>
        <v>3746.99</v>
      </c>
      <c r="I159" s="100">
        <v>216.18</v>
      </c>
    </row>
    <row r="160" spans="1:9" ht="15" hidden="1" x14ac:dyDescent="0.25">
      <c r="A160" s="98">
        <v>3747</v>
      </c>
      <c r="B160" s="101">
        <f t="shared" si="5"/>
        <v>3827.99</v>
      </c>
      <c r="C160" s="100">
        <v>129.76</v>
      </c>
      <c r="E160" s="98">
        <v>3747</v>
      </c>
      <c r="F160" s="103">
        <f t="shared" si="4"/>
        <v>3827.99</v>
      </c>
      <c r="I160" s="100">
        <v>229.52</v>
      </c>
    </row>
    <row r="161" spans="1:10" ht="15" hidden="1" x14ac:dyDescent="0.25">
      <c r="A161" s="98">
        <v>3828</v>
      </c>
      <c r="B161" s="101">
        <f t="shared" si="5"/>
        <v>3909.99</v>
      </c>
      <c r="C161" s="100">
        <v>137.18</v>
      </c>
      <c r="E161" s="98">
        <v>3828</v>
      </c>
      <c r="F161" s="103">
        <f t="shared" si="4"/>
        <v>3909.99</v>
      </c>
      <c r="I161" s="100">
        <v>242.86</v>
      </c>
    </row>
    <row r="162" spans="1:10" ht="15" hidden="1" x14ac:dyDescent="0.25">
      <c r="A162" s="98">
        <v>3910</v>
      </c>
      <c r="B162" s="101">
        <f t="shared" si="5"/>
        <v>3990.99</v>
      </c>
      <c r="C162" s="100">
        <v>144.78</v>
      </c>
      <c r="E162" s="98">
        <v>3910</v>
      </c>
      <c r="F162" s="103">
        <f t="shared" si="4"/>
        <v>3990.99</v>
      </c>
      <c r="I162" s="100">
        <v>256.20999999999998</v>
      </c>
    </row>
    <row r="163" spans="1:10" ht="15" hidden="1" x14ac:dyDescent="0.25">
      <c r="A163" s="98">
        <v>3991</v>
      </c>
      <c r="B163" s="101">
        <f t="shared" si="5"/>
        <v>4071.99</v>
      </c>
      <c r="C163" s="100">
        <v>152.58000000000001</v>
      </c>
      <c r="E163" s="98">
        <v>3991</v>
      </c>
      <c r="F163" s="103">
        <f t="shared" si="4"/>
        <v>4071.99</v>
      </c>
      <c r="I163" s="100">
        <v>269.55</v>
      </c>
    </row>
    <row r="164" spans="1:10" ht="15" hidden="1" x14ac:dyDescent="0.25">
      <c r="A164" s="98">
        <v>4072</v>
      </c>
      <c r="B164" s="101">
        <f t="shared" si="5"/>
        <v>4275.99</v>
      </c>
      <c r="C164" s="100">
        <v>168.71</v>
      </c>
      <c r="E164" s="98">
        <v>4072</v>
      </c>
      <c r="F164" s="103">
        <f t="shared" si="4"/>
        <v>4275.99</v>
      </c>
      <c r="I164" s="100">
        <v>282.89</v>
      </c>
    </row>
    <row r="165" spans="1:10" ht="15" hidden="1" x14ac:dyDescent="0.25">
      <c r="A165" s="98">
        <v>4276</v>
      </c>
      <c r="B165" s="101">
        <f t="shared" si="5"/>
        <v>4479.99</v>
      </c>
      <c r="C165" s="100">
        <v>189.92</v>
      </c>
      <c r="E165" s="98">
        <v>4276</v>
      </c>
      <c r="F165" s="103">
        <f t="shared" si="4"/>
        <v>4479.99</v>
      </c>
      <c r="I165" s="100">
        <v>316.24</v>
      </c>
      <c r="J165">
        <f>+I165*26841</f>
        <v>8488197.8399999999</v>
      </c>
    </row>
    <row r="166" spans="1:10" ht="15" hidden="1" x14ac:dyDescent="0.25">
      <c r="A166" s="98">
        <v>4480</v>
      </c>
      <c r="B166" s="101">
        <f t="shared" si="5"/>
        <v>4682.99</v>
      </c>
      <c r="C166" s="100">
        <v>212.27</v>
      </c>
      <c r="E166" s="98">
        <v>4480</v>
      </c>
      <c r="F166" s="103">
        <f t="shared" si="4"/>
        <v>4682.99</v>
      </c>
      <c r="I166" s="100">
        <v>349.6</v>
      </c>
    </row>
    <row r="167" spans="1:10" ht="15" hidden="1" x14ac:dyDescent="0.25">
      <c r="A167" s="98">
        <v>4683</v>
      </c>
      <c r="B167" s="101">
        <f t="shared" si="5"/>
        <v>4886.99</v>
      </c>
      <c r="C167" s="100">
        <v>235.75</v>
      </c>
      <c r="E167" s="98">
        <v>4683</v>
      </c>
      <c r="F167" s="103">
        <v>4700</v>
      </c>
      <c r="I167" s="100">
        <v>382.95</v>
      </c>
    </row>
    <row r="168" spans="1:10" ht="15" hidden="1" x14ac:dyDescent="0.25">
      <c r="A168" s="98">
        <v>4887</v>
      </c>
      <c r="B168" s="101">
        <f t="shared" si="5"/>
        <v>5090.99</v>
      </c>
      <c r="C168" s="100">
        <v>260.33999999999997</v>
      </c>
    </row>
    <row r="169" spans="1:10" ht="15" hidden="1" x14ac:dyDescent="0.25">
      <c r="A169" s="98">
        <v>5091</v>
      </c>
      <c r="B169" s="101">
        <f t="shared" si="5"/>
        <v>5293.99</v>
      </c>
      <c r="C169" s="100">
        <v>286.02999999999997</v>
      </c>
    </row>
    <row r="170" spans="1:10" ht="15" hidden="1" x14ac:dyDescent="0.25">
      <c r="A170" s="98">
        <v>5294</v>
      </c>
      <c r="B170" s="101">
        <f t="shared" si="5"/>
        <v>5497.99</v>
      </c>
      <c r="C170" s="100">
        <v>312.81</v>
      </c>
    </row>
    <row r="171" spans="1:10" ht="15" hidden="1" x14ac:dyDescent="0.25">
      <c r="A171" s="98">
        <v>5498</v>
      </c>
      <c r="B171" s="101">
        <f t="shared" si="5"/>
        <v>5700.99</v>
      </c>
      <c r="C171" s="100">
        <v>340.66</v>
      </c>
    </row>
    <row r="172" spans="1:10" ht="15" hidden="1" x14ac:dyDescent="0.25">
      <c r="A172" s="98">
        <v>5701</v>
      </c>
      <c r="B172" s="101">
        <f t="shared" si="5"/>
        <v>5904.99</v>
      </c>
      <c r="C172" s="100">
        <v>369.57</v>
      </c>
      <c r="F172" s="521" t="s">
        <v>482</v>
      </c>
      <c r="G172" s="521"/>
      <c r="H172" s="521"/>
      <c r="I172" s="521"/>
      <c r="J172" s="521"/>
    </row>
    <row r="173" spans="1:10" ht="15" hidden="1" x14ac:dyDescent="0.25">
      <c r="A173" s="98">
        <v>5905</v>
      </c>
      <c r="B173" s="101">
        <f t="shared" si="5"/>
        <v>6108.99</v>
      </c>
      <c r="C173" s="100">
        <v>399.52</v>
      </c>
      <c r="F173" s="521"/>
      <c r="G173" s="521"/>
      <c r="H173" s="521"/>
      <c r="I173" s="521"/>
      <c r="J173" s="521"/>
    </row>
    <row r="174" spans="1:10" ht="15.75" hidden="1" thickBot="1" x14ac:dyDescent="0.3">
      <c r="A174" s="98">
        <v>6109</v>
      </c>
      <c r="B174" s="101">
        <f t="shared" si="5"/>
        <v>6311.99</v>
      </c>
      <c r="C174" s="100">
        <v>430.49</v>
      </c>
      <c r="F174" s="521"/>
      <c r="G174" s="521"/>
      <c r="H174" s="521"/>
      <c r="I174" s="521"/>
      <c r="J174" s="521"/>
    </row>
    <row r="175" spans="1:10" ht="15" hidden="1" x14ac:dyDescent="0.25">
      <c r="A175" s="98">
        <v>6312</v>
      </c>
      <c r="B175" s="101">
        <f t="shared" si="5"/>
        <v>6515.99</v>
      </c>
      <c r="C175" s="100">
        <v>462.46</v>
      </c>
      <c r="F175" s="522" t="s">
        <v>8</v>
      </c>
      <c r="G175" s="523"/>
      <c r="H175" s="521"/>
      <c r="I175" s="524" t="s">
        <v>10</v>
      </c>
      <c r="J175" s="521"/>
    </row>
    <row r="176" spans="1:10" ht="15.75" hidden="1" thickBot="1" x14ac:dyDescent="0.3">
      <c r="A176" s="98">
        <v>6516</v>
      </c>
      <c r="B176" s="101">
        <f t="shared" si="5"/>
        <v>6719.99</v>
      </c>
      <c r="C176" s="100">
        <v>495.43</v>
      </c>
      <c r="F176" s="1288">
        <f>+'DEPURACION ORDINARIO 2017'!E32/'DEPURACION POR IMAS EMPLEADO'!I176</f>
        <v>241.94567560595789</v>
      </c>
      <c r="G176" s="1289"/>
      <c r="H176" s="521"/>
      <c r="I176" s="525">
        <f>+'DATOS PARA DEPURAR'!C23</f>
        <v>36308</v>
      </c>
      <c r="J176" s="521"/>
    </row>
    <row r="177" spans="1:10" ht="15.75" hidden="1" thickBot="1" x14ac:dyDescent="0.3">
      <c r="A177" s="98">
        <v>6720</v>
      </c>
      <c r="B177" s="101">
        <f t="shared" si="5"/>
        <v>6922.99</v>
      </c>
      <c r="C177" s="100">
        <v>529.36</v>
      </c>
      <c r="F177" s="521"/>
      <c r="G177" s="521"/>
      <c r="H177" s="521"/>
      <c r="I177" s="521"/>
      <c r="J177" s="521"/>
    </row>
    <row r="178" spans="1:10" ht="15" hidden="1" x14ac:dyDescent="0.25">
      <c r="A178" s="98">
        <v>6923</v>
      </c>
      <c r="B178" s="101">
        <f t="shared" si="5"/>
        <v>7126.99</v>
      </c>
      <c r="C178" s="100">
        <v>564.23</v>
      </c>
      <c r="F178" s="526">
        <v>0</v>
      </c>
      <c r="G178" s="527">
        <v>1090</v>
      </c>
      <c r="H178" s="521"/>
      <c r="I178" s="528">
        <f>IF(F176&lt;=1090,0)</f>
        <v>0</v>
      </c>
      <c r="J178" s="521"/>
    </row>
    <row r="179" spans="1:10" ht="15" hidden="1" x14ac:dyDescent="0.25">
      <c r="A179" s="98">
        <v>7127</v>
      </c>
      <c r="B179" s="101">
        <f t="shared" si="5"/>
        <v>7329.99</v>
      </c>
      <c r="C179" s="100">
        <v>600.04</v>
      </c>
      <c r="F179" s="529" t="s">
        <v>176</v>
      </c>
      <c r="G179" s="530">
        <v>1700</v>
      </c>
      <c r="H179" s="521"/>
      <c r="I179" s="531" t="b">
        <f>IF(F176&gt;1090,(IF(F176&lt;=1700,ROUND((((+F176-1090)*19%)*I176),-3),0)),FALSE)</f>
        <v>0</v>
      </c>
      <c r="J179" s="521"/>
    </row>
    <row r="180" spans="1:10" ht="15" hidden="1" x14ac:dyDescent="0.25">
      <c r="A180" s="98">
        <v>7330</v>
      </c>
      <c r="B180" s="101">
        <f t="shared" si="5"/>
        <v>7533.99</v>
      </c>
      <c r="C180" s="100">
        <v>636.75</v>
      </c>
      <c r="F180" s="529" t="s">
        <v>177</v>
      </c>
      <c r="G180" s="530">
        <v>4100</v>
      </c>
      <c r="H180" s="521"/>
      <c r="I180" s="531" t="b">
        <f>IF(F176&gt;1700,IF(F176&lt;=4100,ROUND((((+F176-1700)*28%+116)*I176),-3),0))</f>
        <v>0</v>
      </c>
      <c r="J180" s="521"/>
    </row>
    <row r="181" spans="1:10" ht="15.75" hidden="1" thickBot="1" x14ac:dyDescent="0.3">
      <c r="A181" s="98">
        <v>7534</v>
      </c>
      <c r="B181" s="101">
        <f t="shared" si="5"/>
        <v>7737.99</v>
      </c>
      <c r="C181" s="100">
        <v>674.35</v>
      </c>
      <c r="F181" s="532" t="s">
        <v>178</v>
      </c>
      <c r="G181" s="533"/>
      <c r="H181" s="521"/>
      <c r="I181" s="534">
        <f>IF(F176&gt;4100,ROUND((((+F176-4100)*33%)*I176)+(788*I176),-3),0)</f>
        <v>0</v>
      </c>
      <c r="J181" s="521"/>
    </row>
    <row r="182" spans="1:10" ht="15" hidden="1" x14ac:dyDescent="0.25">
      <c r="A182" s="98">
        <v>7738</v>
      </c>
      <c r="B182" s="101">
        <f t="shared" si="5"/>
        <v>7940.99</v>
      </c>
      <c r="C182" s="100">
        <v>712.8</v>
      </c>
      <c r="F182" s="535"/>
      <c r="G182" s="536"/>
      <c r="H182" s="521"/>
      <c r="I182" s="537"/>
      <c r="J182" s="521"/>
    </row>
    <row r="183" spans="1:10" ht="15.75" hidden="1" thickBot="1" x14ac:dyDescent="0.3">
      <c r="A183" s="98">
        <v>7941</v>
      </c>
      <c r="B183" s="101">
        <f t="shared" si="5"/>
        <v>8144.99</v>
      </c>
      <c r="C183" s="100">
        <v>752.1</v>
      </c>
      <c r="F183" s="535"/>
      <c r="G183" s="536"/>
      <c r="H183" s="521"/>
      <c r="I183" s="537"/>
      <c r="J183" s="521"/>
    </row>
    <row r="184" spans="1:10" ht="15" hidden="1" x14ac:dyDescent="0.25">
      <c r="A184" s="98">
        <v>8145</v>
      </c>
      <c r="B184" s="101">
        <f t="shared" si="5"/>
        <v>8348.99</v>
      </c>
      <c r="C184" s="100">
        <v>792.22</v>
      </c>
      <c r="F184" s="521"/>
      <c r="G184" s="521"/>
      <c r="H184" s="521"/>
      <c r="I184" s="1290" t="s">
        <v>179</v>
      </c>
      <c r="J184" s="1291"/>
    </row>
    <row r="185" spans="1:10" ht="15.75" hidden="1" thickBot="1" x14ac:dyDescent="0.3">
      <c r="A185" s="98">
        <v>8349</v>
      </c>
      <c r="B185" s="101">
        <f t="shared" si="5"/>
        <v>8551.99</v>
      </c>
      <c r="C185" s="100">
        <v>833.12</v>
      </c>
      <c r="F185" s="521"/>
      <c r="G185" s="521"/>
      <c r="H185" s="521"/>
      <c r="I185" s="1292">
        <f>IF(I178=0,I178,IF(I179&gt;0,I179,IF(I180&gt;0,I180,IF(I181&gt;0,I181))))</f>
        <v>0</v>
      </c>
      <c r="J185" s="1293"/>
    </row>
    <row r="186" spans="1:10" ht="15" hidden="1" x14ac:dyDescent="0.25">
      <c r="A186" s="98">
        <v>8552</v>
      </c>
      <c r="B186" s="101">
        <f t="shared" si="5"/>
        <v>8755.99</v>
      </c>
      <c r="C186" s="100">
        <v>874.79</v>
      </c>
      <c r="F186" s="521"/>
      <c r="G186" s="521"/>
      <c r="H186" s="521"/>
      <c r="I186" s="521"/>
      <c r="J186" s="521"/>
    </row>
    <row r="187" spans="1:10" ht="15" hidden="1" x14ac:dyDescent="0.25">
      <c r="A187" s="98">
        <v>8756</v>
      </c>
      <c r="B187" s="101">
        <f t="shared" si="5"/>
        <v>8958.99</v>
      </c>
      <c r="C187" s="100">
        <v>917.21</v>
      </c>
      <c r="F187" s="521" t="s">
        <v>413</v>
      </c>
      <c r="G187" s="521">
        <f>IF('DATOS PARA DEPURAR'!E317&gt;'DEPURACION POR IMAS EMPLEADO'!E33,'DEPURACION POR IMAS EMPLEADO'!E33,'DATOS PARA DEPURAR'!E317)</f>
        <v>0</v>
      </c>
      <c r="H187" s="521"/>
      <c r="I187" s="521"/>
      <c r="J187" s="521"/>
    </row>
    <row r="188" spans="1:10" ht="15" hidden="1" x14ac:dyDescent="0.25">
      <c r="A188" s="98">
        <v>8959</v>
      </c>
      <c r="B188" s="101">
        <f t="shared" si="5"/>
        <v>9162.99</v>
      </c>
      <c r="C188" s="100">
        <v>960.34</v>
      </c>
      <c r="F188" s="521" t="s">
        <v>414</v>
      </c>
      <c r="G188" s="521">
        <f>IF(I185&gt;0,I185*0.75,0)</f>
        <v>0</v>
      </c>
      <c r="H188" s="521"/>
      <c r="I188" s="521"/>
      <c r="J188" s="521"/>
    </row>
    <row r="189" spans="1:10" ht="15" hidden="1" x14ac:dyDescent="0.25">
      <c r="A189" s="98">
        <v>9163</v>
      </c>
      <c r="B189" s="101">
        <f t="shared" si="5"/>
        <v>9366.99</v>
      </c>
      <c r="C189" s="102">
        <v>1004.16</v>
      </c>
      <c r="F189" s="521" t="s">
        <v>415</v>
      </c>
      <c r="G189" s="521">
        <f>IF(G187&lt;G188,G187,0)</f>
        <v>0</v>
      </c>
      <c r="H189" s="521"/>
      <c r="I189" s="521"/>
      <c r="J189" s="521"/>
    </row>
    <row r="190" spans="1:10" ht="15" hidden="1" x14ac:dyDescent="0.25">
      <c r="A190" s="98">
        <v>9367</v>
      </c>
      <c r="B190" s="101">
        <f t="shared" si="5"/>
        <v>9569.99</v>
      </c>
      <c r="C190" s="102">
        <v>1048.6400000000001</v>
      </c>
    </row>
    <row r="191" spans="1:10" ht="15" hidden="1" x14ac:dyDescent="0.25">
      <c r="A191" s="98">
        <v>9570</v>
      </c>
      <c r="B191" s="101">
        <f t="shared" si="5"/>
        <v>9773.99</v>
      </c>
      <c r="C191" s="102">
        <v>1093.75</v>
      </c>
    </row>
    <row r="192" spans="1:10" ht="15" hidden="1" x14ac:dyDescent="0.25">
      <c r="A192" s="98">
        <v>9774</v>
      </c>
      <c r="B192" s="101">
        <f t="shared" ref="B192:B209" si="6">+A193-0.01</f>
        <v>9977.99</v>
      </c>
      <c r="C192" s="102">
        <v>1139.48</v>
      </c>
    </row>
    <row r="193" spans="1:3" ht="15" hidden="1" x14ac:dyDescent="0.25">
      <c r="A193" s="98">
        <v>9978</v>
      </c>
      <c r="B193" s="101">
        <f t="shared" si="6"/>
        <v>10180.99</v>
      </c>
      <c r="C193" s="102">
        <v>1185.78</v>
      </c>
    </row>
    <row r="194" spans="1:3" ht="15" hidden="1" x14ac:dyDescent="0.25">
      <c r="A194" s="98">
        <v>10181</v>
      </c>
      <c r="B194" s="101">
        <f t="shared" si="6"/>
        <v>10384.99</v>
      </c>
      <c r="C194" s="102">
        <v>1232.6199999999999</v>
      </c>
    </row>
    <row r="195" spans="1:3" ht="15" hidden="1" x14ac:dyDescent="0.25">
      <c r="A195" s="98">
        <v>10385</v>
      </c>
      <c r="B195" s="101">
        <f t="shared" si="6"/>
        <v>10587.99</v>
      </c>
      <c r="C195" s="102">
        <v>1279.99</v>
      </c>
    </row>
    <row r="196" spans="1:3" ht="15" hidden="1" x14ac:dyDescent="0.25">
      <c r="A196" s="98">
        <v>10588</v>
      </c>
      <c r="B196" s="101">
        <f t="shared" si="6"/>
        <v>10791.99</v>
      </c>
      <c r="C196" s="102">
        <v>1327.85</v>
      </c>
    </row>
    <row r="197" spans="1:3" ht="15" hidden="1" x14ac:dyDescent="0.25">
      <c r="A197" s="98">
        <v>10792</v>
      </c>
      <c r="B197" s="101">
        <f t="shared" si="6"/>
        <v>10995.99</v>
      </c>
      <c r="C197" s="102">
        <v>1376.16</v>
      </c>
    </row>
    <row r="198" spans="1:3" ht="15" hidden="1" x14ac:dyDescent="0.25">
      <c r="A198" s="98">
        <v>10996</v>
      </c>
      <c r="B198" s="101">
        <f t="shared" si="6"/>
        <v>11198.99</v>
      </c>
      <c r="C198" s="102">
        <v>1424.9</v>
      </c>
    </row>
    <row r="199" spans="1:3" ht="15" hidden="1" x14ac:dyDescent="0.25">
      <c r="A199" s="98">
        <v>11199</v>
      </c>
      <c r="B199" s="101">
        <f t="shared" si="6"/>
        <v>11402.99</v>
      </c>
      <c r="C199" s="102">
        <v>1474.04</v>
      </c>
    </row>
    <row r="200" spans="1:3" ht="15" hidden="1" x14ac:dyDescent="0.25">
      <c r="A200" s="98">
        <v>11403</v>
      </c>
      <c r="B200" s="101">
        <f t="shared" si="6"/>
        <v>11606.99</v>
      </c>
      <c r="C200" s="102">
        <v>1523.54</v>
      </c>
    </row>
    <row r="201" spans="1:3" ht="15" hidden="1" x14ac:dyDescent="0.25">
      <c r="A201" s="98">
        <v>11607</v>
      </c>
      <c r="B201" s="101">
        <f t="shared" si="6"/>
        <v>11809.99</v>
      </c>
      <c r="C201" s="102">
        <v>1573.37</v>
      </c>
    </row>
    <row r="202" spans="1:3" ht="15" hidden="1" x14ac:dyDescent="0.25">
      <c r="A202" s="98">
        <v>11810</v>
      </c>
      <c r="B202" s="101">
        <f t="shared" si="6"/>
        <v>12013.99</v>
      </c>
      <c r="C202" s="102">
        <v>1623.49</v>
      </c>
    </row>
    <row r="203" spans="1:3" ht="15" hidden="1" x14ac:dyDescent="0.25">
      <c r="A203" s="98">
        <v>12014</v>
      </c>
      <c r="B203" s="101">
        <f t="shared" si="6"/>
        <v>12216.99</v>
      </c>
      <c r="C203" s="102">
        <v>1673.89</v>
      </c>
    </row>
    <row r="204" spans="1:3" ht="15" hidden="1" x14ac:dyDescent="0.25">
      <c r="A204" s="98">
        <v>12217</v>
      </c>
      <c r="B204" s="101">
        <f t="shared" si="6"/>
        <v>12420.99</v>
      </c>
      <c r="C204" s="102">
        <v>1724.51</v>
      </c>
    </row>
    <row r="205" spans="1:3" ht="15" hidden="1" x14ac:dyDescent="0.25">
      <c r="A205" s="98">
        <v>12421</v>
      </c>
      <c r="B205" s="101">
        <f t="shared" si="6"/>
        <v>12624.99</v>
      </c>
      <c r="C205" s="102">
        <v>1775.33</v>
      </c>
    </row>
    <row r="206" spans="1:3" ht="15" hidden="1" x14ac:dyDescent="0.25">
      <c r="A206" s="98">
        <v>12625</v>
      </c>
      <c r="B206" s="101">
        <f t="shared" si="6"/>
        <v>12827.99</v>
      </c>
      <c r="C206" s="102">
        <v>1826.31</v>
      </c>
    </row>
    <row r="207" spans="1:3" ht="15" hidden="1" x14ac:dyDescent="0.25">
      <c r="A207" s="98">
        <v>12828</v>
      </c>
      <c r="B207" s="101">
        <f t="shared" si="6"/>
        <v>13031.99</v>
      </c>
      <c r="C207" s="102">
        <v>1877.42</v>
      </c>
    </row>
    <row r="208" spans="1:3" ht="15" hidden="1" x14ac:dyDescent="0.25">
      <c r="A208" s="98">
        <v>13032</v>
      </c>
      <c r="B208" s="101">
        <f t="shared" si="6"/>
        <v>13235.99</v>
      </c>
      <c r="C208" s="102">
        <v>1928.63</v>
      </c>
    </row>
    <row r="209" spans="1:3" ht="15" hidden="1" x14ac:dyDescent="0.25">
      <c r="A209" s="98">
        <v>13236</v>
      </c>
      <c r="B209" s="101">
        <f t="shared" si="6"/>
        <v>13438.99</v>
      </c>
      <c r="C209" s="102">
        <v>1979.89</v>
      </c>
    </row>
    <row r="210" spans="1:3" ht="15" hidden="1" x14ac:dyDescent="0.25">
      <c r="A210" s="98">
        <v>13439</v>
      </c>
      <c r="B210" s="101">
        <f>13643-0.01</f>
        <v>13642.99</v>
      </c>
      <c r="C210" s="102">
        <v>2031.18</v>
      </c>
    </row>
    <row r="211" spans="1:3" ht="25.5" hidden="1" x14ac:dyDescent="0.25">
      <c r="A211" s="100" t="s">
        <v>86</v>
      </c>
      <c r="B211" s="99"/>
      <c r="C211" s="100" t="s">
        <v>87</v>
      </c>
    </row>
  </sheetData>
  <protectedRanges>
    <protectedRange sqref="L92" name="Rango1"/>
  </protectedRanges>
  <mergeCells count="38">
    <mergeCell ref="I184:J184"/>
    <mergeCell ref="I185:J185"/>
    <mergeCell ref="I66:K68"/>
    <mergeCell ref="N66:O68"/>
    <mergeCell ref="R66:T68"/>
    <mergeCell ref="F176:G176"/>
    <mergeCell ref="L97:AL97"/>
    <mergeCell ref="O71:O72"/>
    <mergeCell ref="P71:Q72"/>
    <mergeCell ref="I80:J80"/>
    <mergeCell ref="I81:J81"/>
    <mergeCell ref="I88:J88"/>
    <mergeCell ref="I89:J89"/>
    <mergeCell ref="K26:L26"/>
    <mergeCell ref="I15:J15"/>
    <mergeCell ref="I17:J17"/>
    <mergeCell ref="I1:J1"/>
    <mergeCell ref="I2:J2"/>
    <mergeCell ref="I3:J3"/>
    <mergeCell ref="I11:J11"/>
    <mergeCell ref="I12:J12"/>
    <mergeCell ref="I6:J6"/>
    <mergeCell ref="I7:J7"/>
    <mergeCell ref="I9:J9"/>
    <mergeCell ref="I10:J10"/>
    <mergeCell ref="C2:E2"/>
    <mergeCell ref="B4:D4"/>
    <mergeCell ref="B5:D5"/>
    <mergeCell ref="I23:L23"/>
    <mergeCell ref="I8:J8"/>
    <mergeCell ref="B11:D11"/>
    <mergeCell ref="B13:D13"/>
    <mergeCell ref="C3:E3"/>
    <mergeCell ref="B110:C110"/>
    <mergeCell ref="B12:D12"/>
    <mergeCell ref="A47:E47"/>
    <mergeCell ref="A26:E26"/>
    <mergeCell ref="A46:E46"/>
  </mergeCells>
  <hyperlinks>
    <hyperlink ref="B51" r:id="rId1"/>
  </hyperlinks>
  <pageMargins left="0.51181102362204722" right="0.51181102362204722" top="0.35433070866141736" bottom="0.35433070866141736" header="0.31496062992125984" footer="0.31496062992125984"/>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view="pageBreakPreview" topLeftCell="A2" zoomScale="160" zoomScaleNormal="100" zoomScaleSheetLayoutView="160" workbookViewId="0">
      <selection activeCell="C26" sqref="C26"/>
    </sheetView>
  </sheetViews>
  <sheetFormatPr baseColWidth="10" defaultRowHeight="12.75" x14ac:dyDescent="0.2"/>
  <cols>
    <col min="3" max="3" width="33.5703125" customWidth="1"/>
    <col min="4" max="4" width="18.28515625" customWidth="1"/>
    <col min="5" max="5" width="7.85546875" customWidth="1"/>
    <col min="6" max="6" width="13.28515625" customWidth="1"/>
    <col min="7" max="7" width="0.140625" customWidth="1"/>
    <col min="8" max="8" width="11.42578125" hidden="1" customWidth="1"/>
    <col min="9" max="9" width="0" hidden="1" customWidth="1"/>
  </cols>
  <sheetData>
    <row r="1" spans="1:7" ht="26.25" customHeight="1" x14ac:dyDescent="0.2">
      <c r="A1" s="1328" t="s">
        <v>802</v>
      </c>
      <c r="B1" s="1329"/>
      <c r="C1" s="1329"/>
      <c r="D1" s="1329"/>
      <c r="E1" s="1329"/>
      <c r="F1" s="1329"/>
    </row>
    <row r="2" spans="1:7" ht="26.25" customHeight="1" x14ac:dyDescent="0.2">
      <c r="A2" s="1330" t="s">
        <v>511</v>
      </c>
      <c r="B2" s="1330"/>
      <c r="C2" s="571" t="str">
        <f>+'DATOS PARA DEPURAR'!C7</f>
        <v>OJEDA RIOJAS DAVID MATEO</v>
      </c>
      <c r="D2" s="570" t="s">
        <v>360</v>
      </c>
      <c r="E2" s="1331">
        <f>+'DATOS PARA DEPURAR'!E7</f>
        <v>18927495</v>
      </c>
      <c r="F2" s="1331"/>
    </row>
    <row r="3" spans="1:7" ht="24" customHeight="1" x14ac:dyDescent="0.2">
      <c r="A3" s="1332" t="s">
        <v>599</v>
      </c>
      <c r="B3" s="1324"/>
      <c r="C3" s="1324"/>
      <c r="D3" s="1324"/>
      <c r="E3" s="1327">
        <f>+'RENTA CEDULAR DIVIDENDOS'!F11</f>
        <v>20000000</v>
      </c>
      <c r="F3" s="1327"/>
    </row>
    <row r="4" spans="1:7" ht="22.5" customHeight="1" x14ac:dyDescent="0.2">
      <c r="A4" s="1320" t="s">
        <v>573</v>
      </c>
      <c r="B4" s="1321"/>
      <c r="C4" s="1321"/>
      <c r="D4" s="1321"/>
      <c r="E4" s="1327">
        <f>SUM(E3:E3)</f>
        <v>20000000</v>
      </c>
      <c r="F4" s="1327"/>
    </row>
    <row r="5" spans="1:7" ht="18.75" customHeight="1" x14ac:dyDescent="0.2">
      <c r="A5" s="1320" t="s">
        <v>803</v>
      </c>
      <c r="B5" s="1321"/>
      <c r="C5" s="1321"/>
      <c r="D5" s="1321"/>
      <c r="E5" s="1322">
        <f>+C16</f>
        <v>932000</v>
      </c>
      <c r="F5" s="1321"/>
    </row>
    <row r="6" spans="1:7" ht="15.75" hidden="1" customHeight="1" x14ac:dyDescent="0.2">
      <c r="A6" s="1323"/>
      <c r="B6" s="1323"/>
      <c r="C6" s="1323"/>
      <c r="D6" s="1323"/>
      <c r="E6" s="1323"/>
      <c r="F6" s="1323"/>
    </row>
    <row r="7" spans="1:7" ht="11.25" hidden="1" customHeight="1" x14ac:dyDescent="0.2"/>
    <row r="8" spans="1:7" ht="11.25" hidden="1" customHeight="1" thickBot="1" x14ac:dyDescent="0.25"/>
    <row r="9" spans="1:7" ht="11.25" hidden="1" customHeight="1" x14ac:dyDescent="0.2">
      <c r="C9" s="608" t="s">
        <v>8</v>
      </c>
      <c r="D9" s="609"/>
      <c r="E9" s="610"/>
      <c r="F9" s="611" t="s">
        <v>10</v>
      </c>
      <c r="G9" s="153"/>
    </row>
    <row r="10" spans="1:7" ht="12" hidden="1" customHeight="1" thickBot="1" x14ac:dyDescent="0.3">
      <c r="C10" s="1313">
        <f>+E4/F10</f>
        <v>561.68730867526051</v>
      </c>
      <c r="D10" s="1314"/>
      <c r="E10" s="610"/>
      <c r="F10" s="612">
        <v>35607</v>
      </c>
      <c r="G10" s="153"/>
    </row>
    <row r="11" spans="1:7" ht="11.25" hidden="1" customHeight="1" thickBot="1" x14ac:dyDescent="0.25">
      <c r="C11" s="610"/>
      <c r="D11" s="610"/>
      <c r="E11" s="610"/>
      <c r="F11" s="610"/>
      <c r="G11" s="153"/>
    </row>
    <row r="12" spans="1:7" ht="11.25" hidden="1" customHeight="1" x14ac:dyDescent="0.2">
      <c r="C12" s="613">
        <v>0</v>
      </c>
      <c r="D12" s="614">
        <v>300</v>
      </c>
      <c r="E12" s="610"/>
      <c r="F12" s="615" t="b">
        <f>IF(C10&lt;=300,0)</f>
        <v>0</v>
      </c>
      <c r="G12" s="153" t="s">
        <v>576</v>
      </c>
    </row>
    <row r="13" spans="1:7" ht="11.25" hidden="1" customHeight="1" thickBot="1" x14ac:dyDescent="0.3">
      <c r="C13" s="619" t="s">
        <v>804</v>
      </c>
      <c r="D13" s="620"/>
      <c r="E13" s="610"/>
      <c r="F13" s="621">
        <f>IF(C10&gt;300,ROUND((((+C10-300)*10%)*F10),-3),0)</f>
        <v>932000</v>
      </c>
      <c r="G13" s="706" t="s">
        <v>577</v>
      </c>
    </row>
    <row r="14" spans="1:7" ht="11.25" hidden="1" customHeight="1" thickBot="1" x14ac:dyDescent="0.25">
      <c r="C14" s="610"/>
      <c r="D14" s="610"/>
      <c r="E14" s="610"/>
      <c r="F14" s="610"/>
      <c r="G14" s="153"/>
    </row>
    <row r="15" spans="1:7" ht="11.25" hidden="1" customHeight="1" x14ac:dyDescent="0.2">
      <c r="C15" s="1309" t="s">
        <v>179</v>
      </c>
      <c r="D15" s="1310"/>
      <c r="E15" s="610"/>
      <c r="F15" s="610"/>
      <c r="G15" s="153"/>
    </row>
    <row r="16" spans="1:7" ht="11.25" hidden="1" customHeight="1" thickBot="1" x14ac:dyDescent="0.3">
      <c r="C16" s="1311">
        <f>IF(F12=0,F12,IF(F13&gt;0,F13))</f>
        <v>932000</v>
      </c>
      <c r="D16" s="1312"/>
      <c r="E16" s="610"/>
      <c r="F16" s="610"/>
      <c r="G16" s="153"/>
    </row>
    <row r="17" spans="1:6" ht="11.25" hidden="1" customHeight="1" x14ac:dyDescent="0.2">
      <c r="A17" s="1315"/>
      <c r="B17" s="1316"/>
      <c r="C17" s="1316"/>
      <c r="D17" s="1316"/>
      <c r="E17" s="1317"/>
      <c r="F17" s="1317"/>
    </row>
    <row r="18" spans="1:6" ht="11.25" hidden="1" customHeight="1" x14ac:dyDescent="0.2"/>
    <row r="19" spans="1:6" ht="11.25" customHeight="1" x14ac:dyDescent="0.2"/>
    <row r="20" spans="1:6" ht="11.25" customHeight="1" x14ac:dyDescent="0.2"/>
  </sheetData>
  <mergeCells count="15">
    <mergeCell ref="C10:D10"/>
    <mergeCell ref="C15:D15"/>
    <mergeCell ref="C16:D16"/>
    <mergeCell ref="A17:D17"/>
    <mergeCell ref="E17:F17"/>
    <mergeCell ref="A5:D5"/>
    <mergeCell ref="E5:F5"/>
    <mergeCell ref="A6:F6"/>
    <mergeCell ref="A1:F1"/>
    <mergeCell ref="A2:B2"/>
    <mergeCell ref="E2:F2"/>
    <mergeCell ref="A3:D3"/>
    <mergeCell ref="E3:F3"/>
    <mergeCell ref="A4:D4"/>
    <mergeCell ref="E4:F4"/>
  </mergeCells>
  <pageMargins left="0.51181102362204722" right="0.51181102362204722" top="0.74803149606299213" bottom="0.74803149606299213" header="0.31496062992125984" footer="0.31496062992125984"/>
  <pageSetup orientation="portrait" horizontalDpi="4294967293" verticalDpi="4294967293"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G49"/>
  <sheetViews>
    <sheetView showGridLines="0" view="pageBreakPreview" zoomScale="110" zoomScaleNormal="100" zoomScaleSheetLayoutView="110" workbookViewId="0">
      <selection activeCell="F13" sqref="F13:F25"/>
    </sheetView>
  </sheetViews>
  <sheetFormatPr baseColWidth="10" defaultRowHeight="12.75" x14ac:dyDescent="0.2"/>
  <cols>
    <col min="1" max="1" width="5.28515625" customWidth="1"/>
    <col min="2" max="2" width="9.140625" customWidth="1"/>
    <col min="3" max="3" width="42.5703125" customWidth="1"/>
    <col min="4" max="4" width="21.140625" customWidth="1"/>
    <col min="5" max="5" width="5.28515625" customWidth="1"/>
    <col min="6" max="6" width="19.7109375" customWidth="1"/>
    <col min="7" max="7" width="23.28515625" customWidth="1"/>
  </cols>
  <sheetData>
    <row r="1" spans="1:7" ht="24.75" customHeight="1" x14ac:dyDescent="0.2">
      <c r="A1" s="2291" t="s">
        <v>518</v>
      </c>
      <c r="B1" s="2292"/>
      <c r="C1" s="2292"/>
      <c r="D1" s="2292"/>
      <c r="E1" s="2292"/>
      <c r="F1" s="2293"/>
    </row>
    <row r="2" spans="1:7" ht="22.5" customHeight="1" x14ac:dyDescent="0.2">
      <c r="A2" s="2331" t="s">
        <v>511</v>
      </c>
      <c r="B2" s="2331"/>
      <c r="C2" s="705" t="str">
        <f>+'DATOS PARA DEPURAR'!C7</f>
        <v>OJEDA RIOJAS DAVID MATEO</v>
      </c>
      <c r="D2" s="810" t="s">
        <v>360</v>
      </c>
      <c r="E2" s="2295">
        <f>+'DATOS PARA DEPURAR'!E7</f>
        <v>18927495</v>
      </c>
      <c r="F2" s="2296"/>
    </row>
    <row r="3" spans="1:7" x14ac:dyDescent="0.2">
      <c r="A3" s="2297"/>
      <c r="B3" s="2297"/>
      <c r="C3" s="2297"/>
      <c r="D3" s="2297"/>
      <c r="E3" s="2297"/>
      <c r="F3" s="2297"/>
    </row>
    <row r="4" spans="1:7" ht="17.25" customHeight="1" x14ac:dyDescent="0.25">
      <c r="A4" s="2332" t="s">
        <v>529</v>
      </c>
      <c r="B4" s="2299" t="s">
        <v>522</v>
      </c>
      <c r="C4" s="2299"/>
      <c r="D4" s="2299"/>
      <c r="E4" s="862">
        <v>58</v>
      </c>
      <c r="F4" s="955">
        <f>IF(SUM(D5:D7)&gt;0,SUM(D5:D7),0)</f>
        <v>0</v>
      </c>
    </row>
    <row r="5" spans="1:7" ht="15" customHeight="1" x14ac:dyDescent="0.2">
      <c r="A5" s="2332"/>
      <c r="C5" s="690" t="s">
        <v>136</v>
      </c>
      <c r="D5" s="807">
        <f>+'DATOS PARA DEPURAR'!E82</f>
        <v>0</v>
      </c>
    </row>
    <row r="6" spans="1:7" ht="15" customHeight="1" x14ac:dyDescent="0.2">
      <c r="A6" s="2332"/>
      <c r="C6" s="680" t="s">
        <v>403</v>
      </c>
      <c r="D6" s="785">
        <f>+'DATOS PARA DEPURAR'!E86</f>
        <v>0</v>
      </c>
    </row>
    <row r="7" spans="1:7" ht="15" customHeight="1" x14ac:dyDescent="0.2">
      <c r="A7" s="2332"/>
      <c r="C7" s="680" t="s">
        <v>523</v>
      </c>
      <c r="D7" s="785">
        <f>+'DATOS PARA DEPURAR'!E93</f>
        <v>0</v>
      </c>
    </row>
    <row r="8" spans="1:7" ht="14.25" customHeight="1" x14ac:dyDescent="0.25">
      <c r="A8" s="2332"/>
      <c r="B8" s="947" t="s">
        <v>488</v>
      </c>
      <c r="C8" s="947"/>
      <c r="D8" s="947"/>
      <c r="E8" s="862">
        <v>59</v>
      </c>
      <c r="F8" s="955">
        <f>IF(SUM(D9:D11)&gt;0,SUM(D9:D11),0)</f>
        <v>0</v>
      </c>
    </row>
    <row r="9" spans="1:7" ht="15.75" customHeight="1" x14ac:dyDescent="0.25">
      <c r="A9" s="2332"/>
      <c r="B9" s="581"/>
      <c r="C9" s="582" t="s">
        <v>524</v>
      </c>
      <c r="D9" s="804">
        <f>+'DATOS PARA DEPURAR'!$E$127</f>
        <v>0</v>
      </c>
      <c r="E9" s="282"/>
      <c r="F9" s="385"/>
      <c r="G9" s="385"/>
    </row>
    <row r="10" spans="1:7" ht="15.75" customHeight="1" x14ac:dyDescent="0.2">
      <c r="A10" s="2332"/>
      <c r="B10" s="2333"/>
      <c r="C10" s="560" t="s">
        <v>489</v>
      </c>
      <c r="D10" s="780">
        <f>+'DATOS PARA DEPURAR'!C116</f>
        <v>0</v>
      </c>
      <c r="E10" s="2335"/>
      <c r="F10" s="2335"/>
    </row>
    <row r="11" spans="1:7" ht="15.75" customHeight="1" x14ac:dyDescent="0.2">
      <c r="A11" s="2332"/>
      <c r="B11" s="2333"/>
      <c r="C11" s="560" t="s">
        <v>490</v>
      </c>
      <c r="D11" s="780">
        <f>+'DATOS PARA DEPURAR'!C119</f>
        <v>0</v>
      </c>
      <c r="E11" s="2335"/>
      <c r="F11" s="2335"/>
    </row>
    <row r="12" spans="1:7" ht="20.25" customHeight="1" x14ac:dyDescent="0.25">
      <c r="A12" s="2332"/>
      <c r="B12" s="947" t="s">
        <v>527</v>
      </c>
      <c r="C12" s="947"/>
      <c r="D12" s="947"/>
      <c r="E12" s="862">
        <v>60</v>
      </c>
      <c r="F12" s="955">
        <f>IF(SUM(D14:D24)&gt;0,SUM(D14:D24),0)</f>
        <v>0</v>
      </c>
    </row>
    <row r="13" spans="1:7" ht="22.5" customHeight="1" x14ac:dyDescent="0.2">
      <c r="A13" s="2332"/>
      <c r="C13" s="582" t="s">
        <v>193</v>
      </c>
      <c r="D13" s="805"/>
      <c r="E13" s="2339" t="s">
        <v>553</v>
      </c>
      <c r="F13" s="1317"/>
    </row>
    <row r="14" spans="1:7" ht="22.5" customHeight="1" thickBot="1" x14ac:dyDescent="0.25">
      <c r="A14" s="2332"/>
      <c r="C14" s="604" t="s">
        <v>528</v>
      </c>
      <c r="D14" s="806">
        <f>+'DATOS PARA DEPURAR'!E180</f>
        <v>0</v>
      </c>
      <c r="E14" s="2339"/>
      <c r="F14" s="1317"/>
    </row>
    <row r="15" spans="1:7" ht="9.75" customHeight="1" x14ac:dyDescent="0.2">
      <c r="A15" s="2332"/>
      <c r="D15" s="805"/>
      <c r="E15" s="2339"/>
      <c r="F15" s="1317"/>
    </row>
    <row r="16" spans="1:7" ht="15" customHeight="1" x14ac:dyDescent="0.2">
      <c r="A16" s="2332"/>
      <c r="C16" s="377" t="s">
        <v>537</v>
      </c>
      <c r="D16" s="805"/>
      <c r="E16" s="2339"/>
      <c r="F16" s="1317"/>
    </row>
    <row r="17" spans="1:6" ht="22.5" customHeight="1" x14ac:dyDescent="0.2">
      <c r="A17" s="2332"/>
      <c r="C17" s="691" t="s">
        <v>543</v>
      </c>
      <c r="D17" s="776">
        <f>+'DATOS PARA DEPURAR'!C208</f>
        <v>0</v>
      </c>
      <c r="E17" s="2339"/>
      <c r="F17" s="1317"/>
    </row>
    <row r="18" spans="1:6" ht="22.5" customHeight="1" x14ac:dyDescent="0.2">
      <c r="A18" s="2332"/>
      <c r="C18" s="691" t="s">
        <v>572</v>
      </c>
      <c r="D18" s="776">
        <f>IF('DATOS PARA DEPURAR'!C218&gt;0,'DATOS PARA DEPURAR'!E218,0)</f>
        <v>0</v>
      </c>
      <c r="E18" s="2339"/>
      <c r="F18" s="1317"/>
    </row>
    <row r="19" spans="1:6" ht="22.5" customHeight="1" x14ac:dyDescent="0.2">
      <c r="A19" s="2332"/>
      <c r="C19" s="691" t="s">
        <v>541</v>
      </c>
      <c r="D19" s="776">
        <f>+'DATOS PARA DEPURAR'!C207</f>
        <v>0</v>
      </c>
      <c r="E19" s="2339"/>
      <c r="F19" s="1317"/>
    </row>
    <row r="20" spans="1:6" ht="15" customHeight="1" x14ac:dyDescent="0.2">
      <c r="A20" s="2332"/>
      <c r="C20" s="688" t="s">
        <v>545</v>
      </c>
      <c r="D20" s="776">
        <f>+'DATOS PARA DEPURAR'!C209</f>
        <v>0</v>
      </c>
      <c r="E20" s="2339"/>
      <c r="F20" s="1317"/>
    </row>
    <row r="21" spans="1:6" ht="15" customHeight="1" x14ac:dyDescent="0.25">
      <c r="A21" s="2332"/>
      <c r="B21" s="569"/>
      <c r="C21" s="689" t="s">
        <v>544</v>
      </c>
      <c r="D21" s="776">
        <f>+'DATOS PARA DEPURAR'!C210</f>
        <v>0</v>
      </c>
      <c r="E21" s="2339"/>
      <c r="F21" s="1317"/>
    </row>
    <row r="22" spans="1:6" ht="15" customHeight="1" x14ac:dyDescent="0.25">
      <c r="A22" s="2332"/>
      <c r="B22" s="577"/>
      <c r="C22" s="689" t="s">
        <v>487</v>
      </c>
      <c r="D22" s="776">
        <f>+'DATOS PARA DEPURAR'!C211</f>
        <v>0</v>
      </c>
      <c r="E22" s="2339"/>
      <c r="F22" s="1317"/>
    </row>
    <row r="23" spans="1:6" ht="15" customHeight="1" x14ac:dyDescent="0.2">
      <c r="A23" s="2332"/>
      <c r="C23" s="688" t="s">
        <v>546</v>
      </c>
      <c r="D23" s="776">
        <f>+'DATOS PARA DEPURAR'!C212</f>
        <v>0</v>
      </c>
      <c r="E23" s="2339"/>
      <c r="F23" s="1317"/>
    </row>
    <row r="24" spans="1:6" ht="15" customHeight="1" thickBot="1" x14ac:dyDescent="0.25">
      <c r="A24" s="2332"/>
      <c r="C24" s="688" t="s">
        <v>438</v>
      </c>
      <c r="D24" s="797">
        <f>+'DATOS PARA DEPURAR'!C213</f>
        <v>0</v>
      </c>
      <c r="E24" s="2339"/>
      <c r="F24" s="1317"/>
    </row>
    <row r="25" spans="1:6" ht="15" customHeight="1" x14ac:dyDescent="0.2">
      <c r="A25" s="2332"/>
      <c r="E25" s="2339"/>
      <c r="F25" s="1317"/>
    </row>
    <row r="26" spans="1:6" ht="17.25" customHeight="1" x14ac:dyDescent="0.25">
      <c r="A26" s="2332"/>
      <c r="B26" s="947" t="s">
        <v>793</v>
      </c>
      <c r="C26" s="947"/>
      <c r="D26" s="947"/>
      <c r="E26" s="862">
        <v>61</v>
      </c>
      <c r="F26" s="955">
        <f>IF((F4-F8-F12)&gt;0,F4-F8-F12,0)</f>
        <v>0</v>
      </c>
    </row>
    <row r="27" spans="1:6" ht="17.25" customHeight="1" x14ac:dyDescent="0.25">
      <c r="A27" s="2332"/>
      <c r="B27" s="581"/>
      <c r="C27" s="581"/>
      <c r="D27" s="581"/>
      <c r="E27" s="592"/>
      <c r="F27" s="590"/>
    </row>
    <row r="28" spans="1:6" ht="17.25" customHeight="1" x14ac:dyDescent="0.25">
      <c r="A28" s="2332"/>
      <c r="B28" s="947" t="s">
        <v>547</v>
      </c>
      <c r="C28" s="947"/>
      <c r="D28" s="947"/>
      <c r="E28" s="862">
        <v>62</v>
      </c>
      <c r="F28" s="955">
        <v>0</v>
      </c>
    </row>
    <row r="29" spans="1:6" ht="17.25" customHeight="1" x14ac:dyDescent="0.25">
      <c r="A29" s="2332"/>
      <c r="B29" s="581"/>
      <c r="C29" s="581"/>
      <c r="D29" s="581"/>
      <c r="E29" s="592"/>
      <c r="F29" s="590"/>
    </row>
    <row r="30" spans="1:6" ht="15.75" customHeight="1" x14ac:dyDescent="0.25">
      <c r="A30" s="2332"/>
      <c r="B30" s="2304" t="s">
        <v>492</v>
      </c>
      <c r="C30" s="2304"/>
      <c r="D30" s="2304"/>
      <c r="E30" s="862"/>
      <c r="F30" s="956">
        <f>+D31+D36</f>
        <v>0</v>
      </c>
    </row>
    <row r="31" spans="1:6" ht="18" customHeight="1" x14ac:dyDescent="0.25">
      <c r="A31" s="2332"/>
      <c r="C31" s="559" t="s">
        <v>493</v>
      </c>
      <c r="D31" s="807">
        <f>SUM(D32:D35)</f>
        <v>0</v>
      </c>
      <c r="E31" s="2340" t="s">
        <v>554</v>
      </c>
      <c r="F31" s="1317"/>
    </row>
    <row r="32" spans="1:6" ht="19.5" customHeight="1" x14ac:dyDescent="0.2">
      <c r="A32" s="2332"/>
      <c r="B32" s="2336" t="s">
        <v>500</v>
      </c>
      <c r="C32" s="808" t="s">
        <v>525</v>
      </c>
      <c r="D32" s="785">
        <f>IF('DATOS PARA DEPURAR'!C221&lt;=1200*'DATOS PARA DEPURAR'!C23,'DATOS PARA DEPURAR'!C221,1200*'DATOS PARA DEPURAR'!C23)</f>
        <v>0</v>
      </c>
      <c r="E32" s="2340"/>
      <c r="F32" s="1317"/>
    </row>
    <row r="33" spans="1:6" ht="13.5" customHeight="1" x14ac:dyDescent="0.2">
      <c r="A33" s="2332"/>
      <c r="B33" s="2336"/>
      <c r="C33" s="808" t="s">
        <v>526</v>
      </c>
      <c r="D33" s="785"/>
      <c r="E33" s="2340"/>
      <c r="F33" s="1317"/>
    </row>
    <row r="34" spans="1:6" ht="9" customHeight="1" x14ac:dyDescent="0.2">
      <c r="A34" s="2332"/>
      <c r="B34" s="2336"/>
      <c r="C34" s="562"/>
      <c r="D34" s="789"/>
      <c r="E34" s="2340"/>
      <c r="F34" s="1317"/>
    </row>
    <row r="35" spans="1:6" ht="13.5" customHeight="1" x14ac:dyDescent="0.2">
      <c r="A35" s="2332"/>
      <c r="B35" s="564" t="s">
        <v>501</v>
      </c>
      <c r="C35" s="562" t="s">
        <v>499</v>
      </c>
      <c r="D35" s="803">
        <f>IF('DATOS PARA DEPURAR'!C224&gt;0,'DATOS PARA DEPURAR'!C224*0.5,0)</f>
        <v>0</v>
      </c>
      <c r="E35" s="2340"/>
      <c r="F35" s="1317"/>
    </row>
    <row r="36" spans="1:6" ht="16.5" customHeight="1" x14ac:dyDescent="0.25">
      <c r="A36" s="2332"/>
      <c r="C36" s="559" t="s">
        <v>552</v>
      </c>
      <c r="D36" s="565">
        <f>SUM(D37:D38)</f>
        <v>0</v>
      </c>
      <c r="E36" s="2340"/>
      <c r="F36" s="1317"/>
    </row>
    <row r="37" spans="1:6" x14ac:dyDescent="0.2">
      <c r="A37" s="2332"/>
      <c r="B37" s="564" t="s">
        <v>502</v>
      </c>
      <c r="C37" s="566" t="s">
        <v>497</v>
      </c>
      <c r="D37" s="807">
        <f>IF(F4&gt;0,'DATOS PARA DEPURAR'!C258,0)</f>
        <v>0</v>
      </c>
      <c r="E37" s="2340"/>
      <c r="F37" s="1317"/>
    </row>
    <row r="38" spans="1:6" x14ac:dyDescent="0.2">
      <c r="A38" s="2332"/>
      <c r="B38" s="564" t="s">
        <v>503</v>
      </c>
      <c r="C38" s="566" t="s">
        <v>498</v>
      </c>
      <c r="D38" s="785">
        <f>IF(F4&gt;0,'DATOS PARA DEPURAR'!C261,0)</f>
        <v>0</v>
      </c>
      <c r="E38" s="2340"/>
      <c r="F38" s="1317"/>
    </row>
    <row r="39" spans="1:6" ht="14.25" customHeight="1" x14ac:dyDescent="0.2">
      <c r="A39" s="2332"/>
      <c r="B39" s="484"/>
      <c r="C39" s="568"/>
      <c r="D39" s="575"/>
      <c r="E39" s="2340"/>
      <c r="F39" s="1317"/>
    </row>
    <row r="40" spans="1:6" ht="32.25" customHeight="1" x14ac:dyDescent="0.2">
      <c r="A40" s="2332"/>
      <c r="B40" s="2337" t="s">
        <v>506</v>
      </c>
      <c r="C40" s="2337"/>
      <c r="D40" s="965"/>
      <c r="E40" s="950">
        <v>69</v>
      </c>
      <c r="F40" s="956">
        <f>MIN(D41,D42,D43)</f>
        <v>0</v>
      </c>
    </row>
    <row r="41" spans="1:6" ht="24.75" customHeight="1" x14ac:dyDescent="0.2">
      <c r="A41" s="2332"/>
      <c r="B41" s="573"/>
      <c r="C41" s="574" t="s">
        <v>513</v>
      </c>
      <c r="D41" s="809">
        <f>+F30</f>
        <v>0</v>
      </c>
      <c r="E41" s="2341"/>
      <c r="F41" s="2341"/>
    </row>
    <row r="42" spans="1:6" ht="15.75" customHeight="1" x14ac:dyDescent="0.2">
      <c r="A42" s="2332"/>
      <c r="B42" s="567"/>
      <c r="C42" s="567" t="s">
        <v>508</v>
      </c>
      <c r="D42" s="801">
        <f>IF((F4-F8-F12)&gt;0,(F4-F8-F12)*40%,0)</f>
        <v>0</v>
      </c>
      <c r="E42" s="2341"/>
      <c r="F42" s="2341"/>
    </row>
    <row r="43" spans="1:6" ht="15" customHeight="1" x14ac:dyDescent="0.2">
      <c r="A43" s="2332"/>
      <c r="B43" s="567"/>
      <c r="C43" s="567" t="s">
        <v>509</v>
      </c>
      <c r="D43" s="802">
        <f>IF((F4-F8)&gt;0,5040*'DATOS PARA DEPURAR'!C23,0)</f>
        <v>0</v>
      </c>
      <c r="E43" s="2341"/>
      <c r="F43" s="2341"/>
    </row>
    <row r="44" spans="1:6" ht="12.75" customHeight="1" x14ac:dyDescent="0.2">
      <c r="A44" s="2332"/>
      <c r="B44" s="567"/>
      <c r="C44" s="567"/>
      <c r="D44" s="591"/>
      <c r="E44" s="2341"/>
      <c r="F44" s="2341"/>
    </row>
    <row r="45" spans="1:6" ht="15" customHeight="1" x14ac:dyDescent="0.2">
      <c r="A45" s="2332"/>
      <c r="B45" s="2337" t="s">
        <v>795</v>
      </c>
      <c r="C45" s="2337"/>
      <c r="D45" s="2337"/>
      <c r="E45" s="862">
        <v>70</v>
      </c>
      <c r="F45" s="966">
        <f>IF((F4+F28-F8-F12-F40)&gt;0,(F4+F28-F8-F12-F40),0)</f>
        <v>0</v>
      </c>
    </row>
    <row r="46" spans="1:6" ht="15" customHeight="1" x14ac:dyDescent="0.2">
      <c r="A46" s="2332"/>
      <c r="B46" s="2337" t="s">
        <v>796</v>
      </c>
      <c r="C46" s="2337"/>
      <c r="D46" s="2337"/>
      <c r="E46" s="862">
        <v>71</v>
      </c>
      <c r="F46" s="862">
        <f>IF((F8+F12+F40-F28-F4)&gt;0,F8+F12+F40-F28-F4,0)</f>
        <v>0</v>
      </c>
    </row>
    <row r="47" spans="1:6" ht="15" customHeight="1" x14ac:dyDescent="0.2">
      <c r="A47" s="2332"/>
      <c r="B47" s="2338" t="s">
        <v>722</v>
      </c>
      <c r="C47" s="2338"/>
      <c r="D47" s="2338"/>
      <c r="E47" s="862">
        <v>72</v>
      </c>
      <c r="F47" s="862">
        <f>+'DATOS PARA DEPURAR'!E289</f>
        <v>0</v>
      </c>
    </row>
    <row r="48" spans="1:6" ht="19.5" customHeight="1" x14ac:dyDescent="0.25">
      <c r="A48" s="2332"/>
      <c r="B48" s="2334" t="s">
        <v>794</v>
      </c>
      <c r="C48" s="2334"/>
      <c r="D48" s="2334"/>
      <c r="E48" s="950">
        <v>73</v>
      </c>
      <c r="F48" s="955">
        <f>IF((F45-F47)&gt;0,F45-F47,0)</f>
        <v>0</v>
      </c>
    </row>
    <row r="49" ht="16.5" customHeight="1" x14ac:dyDescent="0.2"/>
  </sheetData>
  <sheetProtection algorithmName="SHA-512" hashValue="us3Nsakl63E/a7RMYU4ykiSSwo0nJheiXudBzEs5nYFW0pdzqFd1SsUQ0Vgmb1vICMeUBiTAQOqwjUlPlgt2Lw==" saltValue="Vhk3x28ELkwpklzKfIMTYQ==" spinCount="100000" sheet="1" objects="1" scenarios="1"/>
  <mergeCells count="20">
    <mergeCell ref="F13:F25"/>
    <mergeCell ref="E31:E39"/>
    <mergeCell ref="F31:F39"/>
    <mergeCell ref="E41:F44"/>
    <mergeCell ref="A1:F1"/>
    <mergeCell ref="A2:B2"/>
    <mergeCell ref="E2:F2"/>
    <mergeCell ref="A3:F3"/>
    <mergeCell ref="A4:A48"/>
    <mergeCell ref="B4:D4"/>
    <mergeCell ref="B10:B11"/>
    <mergeCell ref="B48:D48"/>
    <mergeCell ref="E10:F11"/>
    <mergeCell ref="B30:D30"/>
    <mergeCell ref="B32:B34"/>
    <mergeCell ref="B40:C40"/>
    <mergeCell ref="B45:D45"/>
    <mergeCell ref="B46:D46"/>
    <mergeCell ref="B47:D47"/>
    <mergeCell ref="E13:E25"/>
  </mergeCells>
  <pageMargins left="0.11811023622047245" right="0.11811023622047245" top="0.15748031496062992" bottom="0.15748031496062992" header="0.31496062992125984" footer="0.31496062992125984"/>
  <pageSetup scale="95"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F15"/>
  <sheetViews>
    <sheetView view="pageBreakPreview" zoomScaleNormal="100" zoomScaleSheetLayoutView="100" workbookViewId="0">
      <selection activeCell="F12" sqref="F12"/>
    </sheetView>
  </sheetViews>
  <sheetFormatPr baseColWidth="10" defaultRowHeight="12.75" x14ac:dyDescent="0.2"/>
  <cols>
    <col min="1" max="1" width="5.28515625" customWidth="1"/>
    <col min="2" max="2" width="9.140625" customWidth="1"/>
    <col min="3" max="3" width="42.5703125" customWidth="1"/>
    <col min="4" max="4" width="21.140625" customWidth="1"/>
    <col min="5" max="5" width="5.28515625" customWidth="1"/>
    <col min="6" max="6" width="19.7109375" customWidth="1"/>
    <col min="7" max="7" width="23.28515625" customWidth="1"/>
  </cols>
  <sheetData>
    <row r="1" spans="1:6" ht="23.25" customHeight="1" x14ac:dyDescent="0.2">
      <c r="A1" s="2291" t="s">
        <v>630</v>
      </c>
      <c r="B1" s="2292"/>
      <c r="C1" s="2292"/>
      <c r="D1" s="2292"/>
      <c r="E1" s="2292"/>
      <c r="F1" s="2293"/>
    </row>
    <row r="2" spans="1:6" ht="23.25" customHeight="1" x14ac:dyDescent="0.2">
      <c r="A2" s="2294" t="s">
        <v>511</v>
      </c>
      <c r="B2" s="2294"/>
      <c r="C2" s="705" t="str">
        <f>+'DATOS PARA DEPURAR'!C7</f>
        <v>OJEDA RIOJAS DAVID MATEO</v>
      </c>
      <c r="D2" s="810" t="s">
        <v>360</v>
      </c>
      <c r="E2" s="2295">
        <f>+'DATOS PARA DEPURAR'!E7</f>
        <v>18927495</v>
      </c>
      <c r="F2" s="2296"/>
    </row>
    <row r="3" spans="1:6" x14ac:dyDescent="0.2">
      <c r="A3" s="2297"/>
      <c r="B3" s="2297"/>
      <c r="C3" s="2297"/>
      <c r="D3" s="2297"/>
      <c r="E3" s="2297"/>
      <c r="F3" s="2297"/>
    </row>
    <row r="4" spans="1:6" ht="37.5" customHeight="1" x14ac:dyDescent="0.25">
      <c r="A4" s="2298" t="s">
        <v>629</v>
      </c>
      <c r="B4" s="2299" t="s">
        <v>597</v>
      </c>
      <c r="C4" s="2299"/>
      <c r="D4" s="2299"/>
      <c r="E4" s="862">
        <v>74</v>
      </c>
      <c r="F4" s="955">
        <f>IF(SUM(D5:D6)&gt;0,SUM(D5:D6),0)</f>
        <v>0</v>
      </c>
    </row>
    <row r="5" spans="1:6" ht="42" customHeight="1" x14ac:dyDescent="0.2">
      <c r="A5" s="2298"/>
      <c r="B5" s="2300"/>
      <c r="C5" s="692" t="s">
        <v>632</v>
      </c>
      <c r="D5" s="565">
        <f>+'DATOS PARA DEPURAR'!B80</f>
        <v>0</v>
      </c>
      <c r="E5" s="2301"/>
    </row>
    <row r="6" spans="1:6" ht="26.25" customHeight="1" x14ac:dyDescent="0.2">
      <c r="A6" s="2298"/>
      <c r="B6" s="2300"/>
      <c r="C6" s="580"/>
      <c r="D6" s="575"/>
      <c r="E6" s="2301"/>
    </row>
    <row r="7" spans="1:6" ht="17.25" customHeight="1" x14ac:dyDescent="0.25">
      <c r="A7" s="2298"/>
      <c r="B7" s="957" t="s">
        <v>488</v>
      </c>
      <c r="C7" s="957"/>
      <c r="D7" s="957"/>
      <c r="E7" s="862">
        <v>75</v>
      </c>
      <c r="F7" s="955">
        <f>IF(SUM(D8:D9)&gt;0,SUM(D8:D9),0)</f>
        <v>0</v>
      </c>
    </row>
    <row r="8" spans="1:6" ht="27" customHeight="1" x14ac:dyDescent="0.2">
      <c r="A8" s="2298"/>
      <c r="B8" s="2302"/>
      <c r="C8" s="693" t="s">
        <v>633</v>
      </c>
      <c r="D8" s="586">
        <f>+'DATOS PARA DEPURAR'!B129</f>
        <v>0</v>
      </c>
      <c r="E8" s="2303"/>
      <c r="F8" s="2303"/>
    </row>
    <row r="9" spans="1:6" ht="17.25" customHeight="1" x14ac:dyDescent="0.2">
      <c r="A9" s="2298"/>
      <c r="B9" s="2302"/>
      <c r="C9" s="579"/>
      <c r="D9" s="585"/>
      <c r="E9" s="2303"/>
      <c r="F9" s="2303"/>
    </row>
    <row r="10" spans="1:6" ht="29.25" customHeight="1" x14ac:dyDescent="0.25">
      <c r="A10" s="2298"/>
      <c r="B10" s="957" t="s">
        <v>736</v>
      </c>
      <c r="C10" s="957"/>
      <c r="D10" s="957"/>
      <c r="E10" s="862">
        <v>76</v>
      </c>
      <c r="F10" s="955">
        <f>IF((F4-F7)&gt;0,F4-F7,0)</f>
        <v>0</v>
      </c>
    </row>
    <row r="11" spans="1:6" ht="29.25" customHeight="1" x14ac:dyDescent="0.25">
      <c r="A11" s="2298"/>
      <c r="B11" s="2304" t="s">
        <v>599</v>
      </c>
      <c r="C11" s="2304"/>
      <c r="D11" s="2304"/>
      <c r="E11" s="862">
        <v>77</v>
      </c>
      <c r="F11" s="956">
        <f>+'DATOS PARA DEPURAR'!C80-'DATOS PARA DEPURAR'!C129</f>
        <v>20000000</v>
      </c>
    </row>
    <row r="12" spans="1:6" ht="29.25" customHeight="1" x14ac:dyDescent="0.25">
      <c r="A12" s="2298"/>
      <c r="B12" s="2304" t="s">
        <v>631</v>
      </c>
      <c r="C12" s="2304"/>
      <c r="D12" s="2304"/>
      <c r="E12" s="862">
        <v>78</v>
      </c>
      <c r="F12" s="956">
        <f>+'DATOS PARA DEPURAR'!D80-'DATOS PARA DEPURAR'!D129</f>
        <v>0</v>
      </c>
    </row>
    <row r="13" spans="1:6" ht="35.25" customHeight="1" x14ac:dyDescent="0.25">
      <c r="A13" s="2298"/>
      <c r="B13" s="2304" t="s">
        <v>601</v>
      </c>
      <c r="C13" s="2304"/>
      <c r="D13" s="2304"/>
      <c r="E13" s="862">
        <v>79</v>
      </c>
      <c r="F13" s="956">
        <v>0</v>
      </c>
    </row>
    <row r="14" spans="1:6" ht="34.5" customHeight="1" x14ac:dyDescent="0.2">
      <c r="A14" s="2298"/>
      <c r="B14" s="2305" t="s">
        <v>680</v>
      </c>
      <c r="C14" s="2305"/>
      <c r="D14" s="2305"/>
      <c r="E14" s="862">
        <v>80</v>
      </c>
      <c r="F14" s="955">
        <f>+F13</f>
        <v>0</v>
      </c>
    </row>
    <row r="15" spans="1:6" ht="16.5" customHeight="1" x14ac:dyDescent="0.2"/>
  </sheetData>
  <sheetProtection algorithmName="SHA-512" hashValue="gdM0cS3FikvnKCJg5slHuBGLVMMzWNtsAJRUAB360UQIvnaVntmelwQsfdqBRlrpRELEx1bBBwvrO3GSflrWUw==" saltValue="vJKrmPoyRueJ2+l4L97GIA==" spinCount="100000" sheet="1" objects="1" scenarios="1"/>
  <mergeCells count="14">
    <mergeCell ref="A1:F1"/>
    <mergeCell ref="A2:B2"/>
    <mergeCell ref="E2:F2"/>
    <mergeCell ref="A3:F3"/>
    <mergeCell ref="A4:A14"/>
    <mergeCell ref="B4:D4"/>
    <mergeCell ref="B5:B6"/>
    <mergeCell ref="E5:E6"/>
    <mergeCell ref="B8:B9"/>
    <mergeCell ref="E8:F9"/>
    <mergeCell ref="B11:D11"/>
    <mergeCell ref="B14:D14"/>
    <mergeCell ref="B12:D12"/>
    <mergeCell ref="B13:D13"/>
  </mergeCells>
  <pageMargins left="0.11811023622047245" right="0.11811023622047245" top="0.15748031496062992" bottom="0.15748031496062992" header="0.31496062992125984" footer="0.31496062992125984"/>
  <pageSetup scale="95"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H54"/>
  <sheetViews>
    <sheetView showGridLines="0" view="pageBreakPreview" zoomScale="115" zoomScaleNormal="100" zoomScaleSheetLayoutView="115" workbookViewId="0">
      <selection activeCell="D14" sqref="D14"/>
    </sheetView>
  </sheetViews>
  <sheetFormatPr baseColWidth="10" defaultRowHeight="12.75" x14ac:dyDescent="0.2"/>
  <cols>
    <col min="1" max="1" width="5.28515625" customWidth="1"/>
    <col min="2" max="2" width="9.140625" customWidth="1"/>
    <col min="3" max="3" width="42.5703125" customWidth="1"/>
    <col min="4" max="4" width="21.140625" customWidth="1"/>
    <col min="5" max="5" width="5.28515625" customWidth="1"/>
    <col min="6" max="6" width="14.85546875" customWidth="1"/>
    <col min="7" max="7" width="23.28515625" hidden="1" customWidth="1"/>
    <col min="8" max="8" width="16.28515625" hidden="1" customWidth="1"/>
    <col min="9" max="9" width="0" hidden="1" customWidth="1"/>
  </cols>
  <sheetData>
    <row r="1" spans="1:7" ht="17.25" customHeight="1" x14ac:dyDescent="0.25">
      <c r="A1" s="2306" t="s">
        <v>768</v>
      </c>
      <c r="B1" s="2307"/>
      <c r="C1" s="2307"/>
      <c r="D1" s="2307"/>
      <c r="E1" s="2307"/>
      <c r="F1" s="2308"/>
    </row>
    <row r="2" spans="1:7" x14ac:dyDescent="0.2">
      <c r="A2" s="2309" t="s">
        <v>511</v>
      </c>
      <c r="B2" s="1330"/>
      <c r="C2" s="571" t="str">
        <f>+'DATOS PARA DEPURAR'!C7</f>
        <v>OJEDA RIOJAS DAVID MATEO</v>
      </c>
      <c r="D2" s="570" t="s">
        <v>360</v>
      </c>
      <c r="E2" s="2310">
        <f>+'DATOS PARA DEPURAR'!E7</f>
        <v>18927495</v>
      </c>
      <c r="F2" s="2311"/>
    </row>
    <row r="3" spans="1:7" x14ac:dyDescent="0.2">
      <c r="A3" s="2312"/>
      <c r="B3" s="2297"/>
      <c r="C3" s="2297"/>
      <c r="D3" s="2297"/>
      <c r="E3" s="2297"/>
      <c r="F3" s="2313"/>
    </row>
    <row r="4" spans="1:7" ht="17.25" customHeight="1" x14ac:dyDescent="0.25">
      <c r="A4" s="2315" t="s">
        <v>510</v>
      </c>
      <c r="B4" s="2299" t="s">
        <v>486</v>
      </c>
      <c r="C4" s="2299"/>
      <c r="D4" s="2299"/>
      <c r="E4" s="862">
        <v>32</v>
      </c>
      <c r="F4" s="948">
        <f>IF(SUM(D5:D11)+SUM(D14:D22)&gt;0,SUM(D5:D11)+SUM(D14:D22),0)</f>
        <v>115714603</v>
      </c>
    </row>
    <row r="5" spans="1:7" ht="12.75" customHeight="1" x14ac:dyDescent="0.2">
      <c r="A5" s="2315"/>
      <c r="B5" s="2300"/>
      <c r="C5" s="593" t="s">
        <v>376</v>
      </c>
      <c r="D5" s="775">
        <f>+'DATOS PARA DEPURAR'!E28</f>
        <v>70467529</v>
      </c>
      <c r="E5" s="2314" t="s">
        <v>512</v>
      </c>
      <c r="F5" s="2322"/>
    </row>
    <row r="6" spans="1:7" ht="14.25" customHeight="1" x14ac:dyDescent="0.2">
      <c r="A6" s="2315"/>
      <c r="B6" s="2300"/>
      <c r="C6" s="680" t="s">
        <v>427</v>
      </c>
      <c r="D6" s="776">
        <f>+'DATOS PARA DEPURAR'!E29</f>
        <v>0</v>
      </c>
      <c r="E6" s="2314"/>
      <c r="F6" s="2322"/>
    </row>
    <row r="7" spans="1:7" ht="14.25" customHeight="1" x14ac:dyDescent="0.2">
      <c r="A7" s="2315"/>
      <c r="B7" s="2300"/>
      <c r="C7" s="680" t="s">
        <v>323</v>
      </c>
      <c r="D7" s="776">
        <f>+'DATOS PARA DEPURAR'!E30</f>
        <v>35807511</v>
      </c>
      <c r="E7" s="2314"/>
      <c r="F7" s="2322"/>
    </row>
    <row r="8" spans="1:7" ht="14.25" customHeight="1" x14ac:dyDescent="0.2">
      <c r="A8" s="2315"/>
      <c r="B8" s="2300"/>
      <c r="C8" s="680" t="s">
        <v>324</v>
      </c>
      <c r="D8" s="776">
        <f>+'DATOS PARA DEPURAR'!E31</f>
        <v>0</v>
      </c>
      <c r="E8" s="2314"/>
      <c r="F8" s="2322"/>
    </row>
    <row r="9" spans="1:7" ht="14.25" customHeight="1" x14ac:dyDescent="0.2">
      <c r="A9" s="2315"/>
      <c r="B9" s="2300"/>
      <c r="C9" s="680" t="s">
        <v>4</v>
      </c>
      <c r="D9" s="776">
        <f>+'DATOS PARA DEPURAR'!E32</f>
        <v>0</v>
      </c>
      <c r="E9" s="2314"/>
      <c r="F9" s="2322"/>
    </row>
    <row r="10" spans="1:7" ht="26.25" customHeight="1" x14ac:dyDescent="0.2">
      <c r="A10" s="2315"/>
      <c r="B10" s="2300"/>
      <c r="C10" s="749" t="s">
        <v>330</v>
      </c>
      <c r="D10" s="776">
        <f>+'DATOS PARA DEPURAR'!E33</f>
        <v>0</v>
      </c>
      <c r="E10" s="2314"/>
      <c r="F10" s="2322"/>
      <c r="G10" s="385"/>
    </row>
    <row r="11" spans="1:7" ht="17.25" customHeight="1" x14ac:dyDescent="0.2">
      <c r="A11" s="2315"/>
      <c r="B11" s="2300"/>
      <c r="C11" s="594" t="s">
        <v>44</v>
      </c>
      <c r="D11" s="795">
        <f>+'DATOS PARA DEPURAR'!E34</f>
        <v>0</v>
      </c>
      <c r="E11" s="2314"/>
      <c r="F11" s="2322"/>
    </row>
    <row r="12" spans="1:7" ht="24.75" customHeight="1" x14ac:dyDescent="0.2">
      <c r="A12" s="2315"/>
      <c r="B12" s="2300"/>
      <c r="C12" s="701">
        <f>+'DATOS PARA DEPURAR'!B35</f>
        <v>0</v>
      </c>
      <c r="D12" s="584" t="s">
        <v>530</v>
      </c>
      <c r="E12" s="2314"/>
      <c r="F12" s="2322"/>
    </row>
    <row r="13" spans="1:7" ht="24.75" customHeight="1" x14ac:dyDescent="0.2">
      <c r="A13" s="2315"/>
      <c r="B13" s="2300"/>
      <c r="C13" s="210"/>
      <c r="D13" s="584" t="s">
        <v>639</v>
      </c>
      <c r="E13" s="2314"/>
      <c r="F13" s="2322"/>
    </row>
    <row r="14" spans="1:7" ht="23.25" customHeight="1" x14ac:dyDescent="0.2">
      <c r="A14" s="2315"/>
      <c r="B14" s="2300"/>
      <c r="C14" s="595" t="s">
        <v>45</v>
      </c>
      <c r="D14" s="796">
        <f>+'DATOS PARA DEPURAR'!E37</f>
        <v>0</v>
      </c>
      <c r="E14" s="2314"/>
      <c r="F14" s="2322"/>
    </row>
    <row r="15" spans="1:7" ht="16.5" customHeight="1" x14ac:dyDescent="0.2">
      <c r="A15" s="2315"/>
      <c r="B15" s="2300"/>
      <c r="C15" s="682" t="s">
        <v>329</v>
      </c>
      <c r="D15" s="776">
        <f>+'DATOS PARA DEPURAR'!E38</f>
        <v>0</v>
      </c>
      <c r="E15" s="2314"/>
      <c r="F15" s="2322"/>
    </row>
    <row r="16" spans="1:7" ht="13.5" customHeight="1" x14ac:dyDescent="0.2">
      <c r="A16" s="2315"/>
      <c r="B16" s="2300"/>
      <c r="C16" s="749" t="s">
        <v>27</v>
      </c>
      <c r="D16" s="776">
        <f>+'DATOS PARA DEPURAR'!E39</f>
        <v>0</v>
      </c>
      <c r="E16" s="2314"/>
      <c r="F16" s="2322"/>
    </row>
    <row r="17" spans="1:6" ht="13.5" customHeight="1" x14ac:dyDescent="0.2">
      <c r="A17" s="2315"/>
      <c r="B17" s="2300"/>
      <c r="C17" s="682" t="s">
        <v>28</v>
      </c>
      <c r="D17" s="776">
        <f>+'DATOS PARA DEPURAR'!E40</f>
        <v>0</v>
      </c>
      <c r="E17" s="2314"/>
      <c r="F17" s="2322"/>
    </row>
    <row r="18" spans="1:6" ht="15" customHeight="1" x14ac:dyDescent="0.2">
      <c r="A18" s="2315"/>
      <c r="B18" s="2300"/>
      <c r="C18" s="682" t="s">
        <v>19</v>
      </c>
      <c r="D18" s="776">
        <f>+'DATOS PARA DEPURAR'!E41</f>
        <v>0</v>
      </c>
      <c r="E18" s="2314"/>
      <c r="F18" s="2322"/>
    </row>
    <row r="19" spans="1:6" ht="17.25" customHeight="1" x14ac:dyDescent="0.2">
      <c r="A19" s="2315"/>
      <c r="B19" s="2300"/>
      <c r="C19" s="594" t="s">
        <v>737</v>
      </c>
      <c r="D19" s="980">
        <f>+'DATOS PARA DEPURAR'!E44</f>
        <v>0</v>
      </c>
      <c r="E19" s="2314"/>
      <c r="F19" s="2322"/>
    </row>
    <row r="20" spans="1:6" ht="18.75" customHeight="1" thickBot="1" x14ac:dyDescent="0.25">
      <c r="A20" s="2315"/>
      <c r="B20" s="2300"/>
      <c r="C20" s="594" t="s">
        <v>463</v>
      </c>
      <c r="D20" s="797">
        <f>+'DATOS PARA DEPURAR'!E42</f>
        <v>9439563</v>
      </c>
      <c r="E20" s="2314"/>
      <c r="F20" s="2322"/>
    </row>
    <row r="21" spans="1:6" ht="17.25" customHeight="1" x14ac:dyDescent="0.25">
      <c r="A21" s="2315"/>
      <c r="B21" s="2319" t="s">
        <v>628</v>
      </c>
      <c r="C21" s="2319"/>
      <c r="D21" s="2319"/>
      <c r="E21" s="2314"/>
      <c r="F21" s="2322"/>
    </row>
    <row r="22" spans="1:6" ht="20.25" customHeight="1" x14ac:dyDescent="0.25">
      <c r="A22" s="2315"/>
      <c r="B22" s="589"/>
      <c r="C22" s="679" t="s">
        <v>622</v>
      </c>
      <c r="D22" s="971">
        <f>+'DATOS PARA DEPURAR'!E50+'DATOS PARA DEPURAR'!E52</f>
        <v>0</v>
      </c>
      <c r="E22" s="2314"/>
      <c r="F22" s="2322"/>
    </row>
    <row r="23" spans="1:6" ht="18.75" customHeight="1" x14ac:dyDescent="0.2">
      <c r="A23" s="2315"/>
      <c r="B23" s="2325" t="s">
        <v>488</v>
      </c>
      <c r="C23" s="2325"/>
      <c r="D23" s="2325"/>
      <c r="E23" s="862">
        <v>33</v>
      </c>
      <c r="F23" s="948">
        <f>IF(SUM(D25:D27)&gt;0,SUM(D25:D27),0)</f>
        <v>11213070</v>
      </c>
    </row>
    <row r="24" spans="1:6" ht="24" customHeight="1" x14ac:dyDescent="0.2">
      <c r="A24" s="2315"/>
      <c r="B24" s="2302"/>
      <c r="C24" s="851" t="s">
        <v>667</v>
      </c>
      <c r="E24" s="2303"/>
      <c r="F24" s="2326"/>
    </row>
    <row r="25" spans="1:6" ht="15" customHeight="1" x14ac:dyDescent="0.2">
      <c r="A25" s="2315"/>
      <c r="B25" s="2302"/>
      <c r="C25" s="579" t="s">
        <v>489</v>
      </c>
      <c r="D25" s="850">
        <f>+'DATOS PARA DEPURAR'!C115</f>
        <v>4978735</v>
      </c>
      <c r="E25" s="2303"/>
      <c r="F25" s="2326"/>
    </row>
    <row r="26" spans="1:6" ht="15" customHeight="1" x14ac:dyDescent="0.25">
      <c r="A26" s="2315"/>
      <c r="B26" s="844"/>
      <c r="C26" s="579" t="s">
        <v>490</v>
      </c>
      <c r="D26" s="850">
        <f>+'DATOS PARA DEPURAR'!C118</f>
        <v>6234335</v>
      </c>
      <c r="E26" s="845"/>
      <c r="F26" s="846"/>
    </row>
    <row r="27" spans="1:6" ht="15" customHeight="1" x14ac:dyDescent="0.25">
      <c r="A27" s="2315"/>
      <c r="B27" s="916"/>
      <c r="C27" s="970" t="s">
        <v>727</v>
      </c>
      <c r="D27" s="850">
        <f>+'DATOS PARA DEPURAR'!E114</f>
        <v>0</v>
      </c>
      <c r="E27" s="917"/>
      <c r="F27" s="918"/>
    </row>
    <row r="28" spans="1:6" ht="17.25" customHeight="1" x14ac:dyDescent="0.25">
      <c r="A28" s="2315"/>
      <c r="B28" s="947" t="s">
        <v>718</v>
      </c>
      <c r="C28" s="947"/>
      <c r="D28" s="947"/>
      <c r="E28" s="862">
        <v>34</v>
      </c>
      <c r="F28" s="948">
        <f>IF((F4-F23)&gt;0,F4-F23,0)</f>
        <v>104501533</v>
      </c>
    </row>
    <row r="29" spans="1:6" ht="15.75" customHeight="1" x14ac:dyDescent="0.25">
      <c r="A29" s="2315"/>
      <c r="B29" s="2304" t="s">
        <v>492</v>
      </c>
      <c r="C29" s="2304"/>
      <c r="D29" s="2304"/>
      <c r="E29" s="862">
        <v>40</v>
      </c>
      <c r="F29" s="949">
        <f>+D30+D35</f>
        <v>33347029</v>
      </c>
    </row>
    <row r="30" spans="1:6" ht="18" customHeight="1" x14ac:dyDescent="0.25">
      <c r="A30" s="2315"/>
      <c r="B30" s="51"/>
      <c r="C30" s="596" t="s">
        <v>493</v>
      </c>
      <c r="D30" s="785">
        <f>SUM(D31:D34)</f>
        <v>189298</v>
      </c>
      <c r="E30" s="2323"/>
      <c r="F30" s="2324"/>
    </row>
    <row r="31" spans="1:6" ht="19.5" customHeight="1" x14ac:dyDescent="0.2">
      <c r="A31" s="2315"/>
      <c r="B31" s="2318" t="s">
        <v>500</v>
      </c>
      <c r="C31" s="561" t="s">
        <v>525</v>
      </c>
      <c r="D31" s="785">
        <f>IF('DATOS PARA DEPURAR'!C220&lt;=1200*'DATOS PARA DEPURAR'!C23,'DATOS PARA DEPURAR'!C220,1200*'DATOS PARA DEPURAR'!C23)</f>
        <v>0</v>
      </c>
      <c r="E31" s="2323"/>
      <c r="F31" s="2324"/>
    </row>
    <row r="32" spans="1:6" ht="13.5" customHeight="1" x14ac:dyDescent="0.2">
      <c r="A32" s="2315"/>
      <c r="B32" s="2318"/>
      <c r="C32" s="597" t="s">
        <v>494</v>
      </c>
      <c r="D32" s="785">
        <f>+'DEPURACION ORDINARIO 2017'!E23</f>
        <v>0</v>
      </c>
      <c r="E32" s="2323"/>
      <c r="F32" s="2324"/>
    </row>
    <row r="33" spans="1:8" ht="13.5" customHeight="1" x14ac:dyDescent="0.2">
      <c r="A33" s="2315"/>
      <c r="B33" s="2318"/>
      <c r="C33" s="597" t="s">
        <v>495</v>
      </c>
      <c r="D33" s="785">
        <f>+'DATOS PARA DEPURAR'!D225</f>
        <v>0</v>
      </c>
      <c r="E33" s="2323"/>
      <c r="F33" s="2324"/>
    </row>
    <row r="34" spans="1:8" ht="13.5" customHeight="1" x14ac:dyDescent="0.2">
      <c r="A34" s="2315"/>
      <c r="B34" s="598" t="s">
        <v>501</v>
      </c>
      <c r="C34" s="597" t="s">
        <v>499</v>
      </c>
      <c r="D34" s="803">
        <f>IF('DATOS PARA DEPURAR'!C223&gt;0,'DATOS PARA DEPURAR'!C223*0.5,0)</f>
        <v>189298</v>
      </c>
      <c r="E34" s="2323"/>
      <c r="F34" s="2324"/>
    </row>
    <row r="35" spans="1:8" ht="14.25" customHeight="1" x14ac:dyDescent="0.25">
      <c r="A35" s="2315"/>
      <c r="B35" s="51"/>
      <c r="C35" s="596" t="s">
        <v>496</v>
      </c>
      <c r="D35" s="787">
        <f>MIN(D38:D40)+SUM(D41:D48)</f>
        <v>33157731</v>
      </c>
      <c r="E35" s="2323"/>
      <c r="F35" s="2324"/>
    </row>
    <row r="36" spans="1:8" x14ac:dyDescent="0.2">
      <c r="A36" s="2315"/>
      <c r="B36" s="598" t="s">
        <v>502</v>
      </c>
      <c r="C36" s="566" t="s">
        <v>497</v>
      </c>
      <c r="D36" s="787">
        <f>+'DATOS PARA DEPURAR'!C257</f>
        <v>0</v>
      </c>
      <c r="E36" s="2323"/>
      <c r="F36" s="2324"/>
      <c r="H36" s="624" t="s">
        <v>588</v>
      </c>
    </row>
    <row r="37" spans="1:8" x14ac:dyDescent="0.2">
      <c r="A37" s="2315"/>
      <c r="B37" s="598" t="s">
        <v>503</v>
      </c>
      <c r="C37" s="750" t="s">
        <v>498</v>
      </c>
      <c r="D37" s="785">
        <f>+'DATOS PARA DEPURAR'!C260</f>
        <v>0</v>
      </c>
      <c r="E37" s="2323"/>
      <c r="F37" s="2324"/>
      <c r="H37" s="1">
        <f>IF(F28&gt;0,((F28-D30-SUM(D41:D46))-MIN(D38:D40))*0.25,0)</f>
        <v>23718168</v>
      </c>
    </row>
    <row r="38" spans="1:8" ht="10.5" customHeight="1" x14ac:dyDescent="0.2">
      <c r="A38" s="2315"/>
      <c r="B38" s="2327" t="s">
        <v>20</v>
      </c>
      <c r="C38" s="800" t="s">
        <v>656</v>
      </c>
      <c r="D38" s="1101">
        <f>SUM(D36:D37)</f>
        <v>0</v>
      </c>
      <c r="E38" s="2323"/>
      <c r="F38" s="2324"/>
      <c r="H38" s="1"/>
    </row>
    <row r="39" spans="1:8" ht="10.5" customHeight="1" x14ac:dyDescent="0.2">
      <c r="A39" s="2315"/>
      <c r="B39" s="2327"/>
      <c r="C39" s="800" t="s">
        <v>657</v>
      </c>
      <c r="D39" s="798">
        <f>IF(D38&gt;0,(F4*30%),0)</f>
        <v>0</v>
      </c>
      <c r="E39" s="2323"/>
      <c r="F39" s="2324"/>
      <c r="H39" s="1"/>
    </row>
    <row r="40" spans="1:8" ht="10.5" customHeight="1" x14ac:dyDescent="0.2">
      <c r="A40" s="2315"/>
      <c r="B40" s="2327"/>
      <c r="C40" s="800" t="s">
        <v>658</v>
      </c>
      <c r="D40" s="798">
        <f>IF(D38&gt;0,(3800*'DATOS PARA DEPURAR'!C23),0)</f>
        <v>0</v>
      </c>
      <c r="E40" s="2323"/>
      <c r="F40" s="2324"/>
      <c r="H40" s="1"/>
    </row>
    <row r="41" spans="1:8" ht="10.5" customHeight="1" x14ac:dyDescent="0.2">
      <c r="A41" s="2315"/>
      <c r="B41" s="2328" t="s">
        <v>504</v>
      </c>
      <c r="C41" s="751" t="s">
        <v>44</v>
      </c>
      <c r="D41" s="785">
        <f>+'DATOS PARA DEPURAR'!E262</f>
        <v>0</v>
      </c>
      <c r="E41" s="2323"/>
      <c r="F41" s="2324"/>
      <c r="H41" s="703">
        <f>+(F28-D30-SUM(D41:D46)-MIN(D38:D40))</f>
        <v>94872672</v>
      </c>
    </row>
    <row r="42" spans="1:8" ht="12" customHeight="1" x14ac:dyDescent="0.2">
      <c r="A42" s="2315"/>
      <c r="B42" s="2328"/>
      <c r="C42" s="687" t="s">
        <v>26</v>
      </c>
      <c r="D42" s="785">
        <f>+'DATOS PARA DEPURAR'!E264</f>
        <v>0</v>
      </c>
      <c r="E42" s="2323"/>
      <c r="F42" s="2324"/>
    </row>
    <row r="43" spans="1:8" ht="20.25" customHeight="1" x14ac:dyDescent="0.2">
      <c r="A43" s="2315"/>
      <c r="B43" s="2328"/>
      <c r="C43" s="685" t="s">
        <v>27</v>
      </c>
      <c r="D43" s="785">
        <f>+'DATOS PARA DEPURAR'!E266</f>
        <v>0</v>
      </c>
      <c r="E43" s="2323"/>
      <c r="F43" s="2324"/>
    </row>
    <row r="44" spans="1:8" ht="21" customHeight="1" x14ac:dyDescent="0.2">
      <c r="A44" s="2315"/>
      <c r="B44" s="2328"/>
      <c r="C44" s="685" t="s">
        <v>330</v>
      </c>
      <c r="D44" s="785">
        <f>+'DATOS PARA DEPURAR'!E273</f>
        <v>0</v>
      </c>
      <c r="E44" s="2323"/>
      <c r="F44" s="2324"/>
    </row>
    <row r="45" spans="1:8" ht="20.25" customHeight="1" x14ac:dyDescent="0.2">
      <c r="A45" s="2315"/>
      <c r="B45" s="2328"/>
      <c r="C45" s="687" t="s">
        <v>463</v>
      </c>
      <c r="D45" s="785">
        <f>+'DATOS PARA DEPURAR'!E268</f>
        <v>9439563</v>
      </c>
      <c r="E45" s="2323"/>
      <c r="F45" s="2324"/>
    </row>
    <row r="46" spans="1:8" ht="16.5" customHeight="1" x14ac:dyDescent="0.2">
      <c r="A46" s="2315"/>
      <c r="B46" s="2328"/>
      <c r="C46" s="688" t="s">
        <v>28</v>
      </c>
      <c r="D46" s="785">
        <f>+'DATOS PARA DEPURAR'!E267</f>
        <v>0</v>
      </c>
      <c r="E46" s="2323"/>
      <c r="F46" s="2324"/>
    </row>
    <row r="47" spans="1:8" ht="10.5" customHeight="1" x14ac:dyDescent="0.2">
      <c r="A47" s="2315"/>
      <c r="B47" s="2328"/>
      <c r="C47" s="687" t="s">
        <v>466</v>
      </c>
      <c r="D47" s="799">
        <f>+H37</f>
        <v>23718168</v>
      </c>
      <c r="E47" s="2323"/>
      <c r="F47" s="2324"/>
    </row>
    <row r="48" spans="1:8" ht="14.25" customHeight="1" x14ac:dyDescent="0.2">
      <c r="A48" s="2315"/>
      <c r="B48" s="599" t="s">
        <v>505</v>
      </c>
      <c r="C48" s="600" t="s">
        <v>425</v>
      </c>
      <c r="D48" s="788">
        <f>IF((D19&gt;0),('DATOS PARA DEPURAR'!E269),0)</f>
        <v>0</v>
      </c>
      <c r="E48" s="2323"/>
      <c r="F48" s="2324"/>
    </row>
    <row r="49" spans="1:6" ht="27" customHeight="1" x14ac:dyDescent="0.2">
      <c r="A49" s="2315"/>
      <c r="B49" s="2317" t="s">
        <v>506</v>
      </c>
      <c r="C49" s="2317"/>
      <c r="D49" s="959"/>
      <c r="E49" s="950">
        <v>41</v>
      </c>
      <c r="F49" s="949">
        <f>MIN(D50,D51,D52)</f>
        <v>33347029</v>
      </c>
    </row>
    <row r="50" spans="1:6" ht="22.5" customHeight="1" x14ac:dyDescent="0.2">
      <c r="A50" s="2315"/>
      <c r="B50" s="601"/>
      <c r="C50" s="602" t="s">
        <v>513</v>
      </c>
      <c r="D50" s="961">
        <f>+F29</f>
        <v>33347029</v>
      </c>
      <c r="E50" s="963"/>
      <c r="F50" s="964"/>
    </row>
    <row r="51" spans="1:6" ht="13.5" customHeight="1" x14ac:dyDescent="0.2">
      <c r="A51" s="2315"/>
      <c r="B51" s="603"/>
      <c r="C51" s="603" t="s">
        <v>508</v>
      </c>
      <c r="D51" s="799">
        <f>IF((F4-F23)&gt;0,(F4-F23)*40%,0)</f>
        <v>41800613.200000003</v>
      </c>
      <c r="E51" s="2300"/>
      <c r="F51" s="2321"/>
    </row>
    <row r="52" spans="1:6" ht="15" customHeight="1" x14ac:dyDescent="0.2">
      <c r="A52" s="2315"/>
      <c r="B52" s="603"/>
      <c r="C52" s="603" t="s">
        <v>509</v>
      </c>
      <c r="D52" s="962">
        <f>IF((F4-F23)&gt;0,5040*'DATOS PARA DEPURAR'!C23,0)</f>
        <v>182992320</v>
      </c>
      <c r="E52" s="2300"/>
      <c r="F52" s="2321"/>
    </row>
    <row r="53" spans="1:6" ht="21" customHeight="1" thickBot="1" x14ac:dyDescent="0.25">
      <c r="A53" s="2316"/>
      <c r="B53" s="2320" t="s">
        <v>766</v>
      </c>
      <c r="C53" s="2320"/>
      <c r="D53" s="2320"/>
      <c r="E53" s="960">
        <v>42</v>
      </c>
      <c r="F53" s="954">
        <f>+F28-F49</f>
        <v>71154504</v>
      </c>
    </row>
    <row r="54" spans="1:6" ht="16.5" customHeight="1" x14ac:dyDescent="0.2"/>
  </sheetData>
  <sheetProtection algorithmName="SHA-512" hashValue="os7jfSq3YH/a+ZuHB/eEwLQk5V0GR0AFKW/j8o6vhaM3c76K1P0SfyOylC8rB/F5pEJGSwDZvDk2NjFtE8Apgw==" saltValue="f7dv26pcb813DNIK04CUdg==" spinCount="100000" sheet="1" objects="1" scenarios="1"/>
  <mergeCells count="21">
    <mergeCell ref="B23:D23"/>
    <mergeCell ref="E24:F25"/>
    <mergeCell ref="B38:B40"/>
    <mergeCell ref="B29:D29"/>
    <mergeCell ref="B41:B47"/>
    <mergeCell ref="A1:F1"/>
    <mergeCell ref="A2:B2"/>
    <mergeCell ref="E2:F2"/>
    <mergeCell ref="A3:F3"/>
    <mergeCell ref="E5:E22"/>
    <mergeCell ref="A4:A53"/>
    <mergeCell ref="B49:C49"/>
    <mergeCell ref="B31:B33"/>
    <mergeCell ref="B5:B20"/>
    <mergeCell ref="B4:D4"/>
    <mergeCell ref="B21:D21"/>
    <mergeCell ref="B24:B25"/>
    <mergeCell ref="B53:D53"/>
    <mergeCell ref="E51:F52"/>
    <mergeCell ref="F5:F22"/>
    <mergeCell ref="E30:F48"/>
  </mergeCells>
  <printOptions horizontalCentered="1" verticalCentered="1"/>
  <pageMargins left="0.11811023622047245" right="0.11811023622047245" top="0.15748031496062992" bottom="0.15748031496062992" header="0.31496062992125984" footer="0.31496062992125984"/>
  <pageSetup scale="85" orientation="portrait" r:id="rId1"/>
  <ignoredErrors>
    <ignoredError sqref="C12" unlockedFormula="1"/>
  </ignoredErrors>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H32"/>
  <sheetViews>
    <sheetView showGridLines="0" view="pageBreakPreview" zoomScale="115" zoomScaleNormal="100" zoomScaleSheetLayoutView="115" workbookViewId="0">
      <selection activeCell="E14" sqref="E14"/>
    </sheetView>
  </sheetViews>
  <sheetFormatPr baseColWidth="10" defaultRowHeight="12.75" x14ac:dyDescent="0.2"/>
  <cols>
    <col min="1" max="1" width="5.28515625" customWidth="1"/>
    <col min="2" max="2" width="9.140625" customWidth="1"/>
    <col min="3" max="3" width="42.5703125" customWidth="1"/>
    <col min="4" max="4" width="21.140625" customWidth="1"/>
    <col min="5" max="5" width="5.28515625" customWidth="1"/>
    <col min="6" max="6" width="12.28515625" bestFit="1" customWidth="1"/>
    <col min="7" max="7" width="23.28515625" hidden="1" customWidth="1"/>
    <col min="8" max="8" width="16.28515625" hidden="1" customWidth="1"/>
    <col min="9" max="9" width="0" hidden="1" customWidth="1"/>
  </cols>
  <sheetData>
    <row r="1" spans="1:6" ht="17.25" customHeight="1" x14ac:dyDescent="0.25">
      <c r="A1" s="2306" t="s">
        <v>768</v>
      </c>
      <c r="B1" s="2307"/>
      <c r="C1" s="2307"/>
      <c r="D1" s="2307"/>
      <c r="E1" s="2307"/>
      <c r="F1" s="2308"/>
    </row>
    <row r="2" spans="1:6" x14ac:dyDescent="0.2">
      <c r="A2" s="2309" t="s">
        <v>511</v>
      </c>
      <c r="B2" s="1330"/>
      <c r="C2" s="571" t="str">
        <f>+'DATOS PARA DEPURAR'!C7</f>
        <v>OJEDA RIOJAS DAVID MATEO</v>
      </c>
      <c r="D2" s="570" t="s">
        <v>360</v>
      </c>
      <c r="E2" s="2310">
        <f>+'DATOS PARA DEPURAR'!E7</f>
        <v>18927495</v>
      </c>
      <c r="F2" s="2311"/>
    </row>
    <row r="3" spans="1:6" x14ac:dyDescent="0.2">
      <c r="A3" s="2312"/>
      <c r="B3" s="2297"/>
      <c r="C3" s="2297"/>
      <c r="D3" s="2297"/>
      <c r="E3" s="2297"/>
      <c r="F3" s="2313"/>
    </row>
    <row r="4" spans="1:6" ht="27" customHeight="1" x14ac:dyDescent="0.2">
      <c r="A4" s="2315" t="s">
        <v>510</v>
      </c>
      <c r="B4" s="2330" t="s">
        <v>770</v>
      </c>
      <c r="C4" s="2330"/>
      <c r="D4" s="2330"/>
      <c r="E4" s="862">
        <v>43</v>
      </c>
      <c r="F4" s="948">
        <f>IF(SUM(D5:D6)&gt;0,SUM(D5:D6),0)</f>
        <v>10000000</v>
      </c>
    </row>
    <row r="5" spans="1:6" ht="17.25" customHeight="1" x14ac:dyDescent="0.25">
      <c r="A5" s="2315"/>
      <c r="B5" s="2319" t="s">
        <v>628</v>
      </c>
      <c r="C5" s="2319"/>
      <c r="D5" s="2319"/>
      <c r="E5" s="2314"/>
      <c r="F5" s="2322"/>
    </row>
    <row r="6" spans="1:6" ht="20.25" customHeight="1" x14ac:dyDescent="0.25">
      <c r="A6" s="2315"/>
      <c r="B6" s="1027"/>
      <c r="C6" s="679" t="s">
        <v>769</v>
      </c>
      <c r="D6" s="971">
        <f>+'DATOS PARA DEPURAR'!E51+'DATOS PARA DEPURAR'!E53</f>
        <v>10000000</v>
      </c>
      <c r="E6" s="2314"/>
      <c r="F6" s="2322"/>
    </row>
    <row r="7" spans="1:6" ht="18.75" customHeight="1" x14ac:dyDescent="0.2">
      <c r="A7" s="2315"/>
      <c r="B7" s="2325" t="s">
        <v>488</v>
      </c>
      <c r="C7" s="2325"/>
      <c r="D7" s="2325"/>
      <c r="E7" s="862">
        <v>44</v>
      </c>
      <c r="F7" s="948">
        <f>IF(SUM(D9:D11)&gt;0,SUM(D9:D11),0)</f>
        <v>0</v>
      </c>
    </row>
    <row r="8" spans="1:6" ht="24" customHeight="1" x14ac:dyDescent="0.2">
      <c r="A8" s="2315"/>
      <c r="B8" s="2302"/>
      <c r="C8" s="851" t="s">
        <v>667</v>
      </c>
      <c r="E8" s="2303"/>
      <c r="F8" s="2326"/>
    </row>
    <row r="9" spans="1:6" ht="15" customHeight="1" x14ac:dyDescent="0.2">
      <c r="A9" s="2315"/>
      <c r="B9" s="2302"/>
      <c r="C9" s="579" t="s">
        <v>489</v>
      </c>
      <c r="D9" s="850">
        <f>+'DATOS PARA DEPURAR'!C117</f>
        <v>0</v>
      </c>
      <c r="E9" s="2303"/>
      <c r="F9" s="2326"/>
    </row>
    <row r="10" spans="1:6" ht="15" customHeight="1" x14ac:dyDescent="0.25">
      <c r="A10" s="2315"/>
      <c r="B10" s="1028"/>
      <c r="C10" s="579" t="s">
        <v>490</v>
      </c>
      <c r="D10" s="850">
        <f>+'DATOS PARA DEPURAR'!C120</f>
        <v>0</v>
      </c>
      <c r="E10" s="1029"/>
      <c r="F10" s="1030"/>
    </row>
    <row r="11" spans="1:6" ht="15" customHeight="1" x14ac:dyDescent="0.25">
      <c r="A11" s="2315"/>
      <c r="B11" s="1028"/>
      <c r="C11" s="970"/>
      <c r="D11" s="1106"/>
      <c r="E11" s="1029"/>
      <c r="F11" s="1030"/>
    </row>
    <row r="12" spans="1:6" ht="19.5" customHeight="1" x14ac:dyDescent="0.25">
      <c r="A12" s="2315"/>
      <c r="B12" s="2329" t="s">
        <v>676</v>
      </c>
      <c r="C12" s="2329"/>
      <c r="D12" s="2329"/>
      <c r="E12" s="862">
        <v>45</v>
      </c>
      <c r="F12" s="958">
        <f>IF(SUM(D13:D14)&gt;0,SUM(D13:D14),0)</f>
        <v>0</v>
      </c>
    </row>
    <row r="13" spans="1:6" ht="15" customHeight="1" x14ac:dyDescent="0.25">
      <c r="A13" s="2315"/>
      <c r="B13" s="1028"/>
      <c r="C13" s="579" t="s">
        <v>669</v>
      </c>
      <c r="D13" s="850">
        <f>+'DATOS PARA DEPURAR'!D190</f>
        <v>0</v>
      </c>
      <c r="E13" s="1029"/>
      <c r="F13" s="1030"/>
    </row>
    <row r="14" spans="1:6" ht="15" customHeight="1" x14ac:dyDescent="0.25">
      <c r="A14" s="2315"/>
      <c r="B14" s="1028"/>
      <c r="C14" s="579" t="s">
        <v>674</v>
      </c>
      <c r="D14" s="850">
        <f>+'DATOS PARA DEPURAR'!D196</f>
        <v>0</v>
      </c>
      <c r="E14" s="1029"/>
      <c r="F14" s="1030"/>
    </row>
    <row r="15" spans="1:6" ht="17.25" customHeight="1" x14ac:dyDescent="0.25">
      <c r="A15" s="2315"/>
      <c r="B15" s="1031" t="s">
        <v>718</v>
      </c>
      <c r="C15" s="1031"/>
      <c r="D15" s="1031"/>
      <c r="E15" s="862">
        <v>46</v>
      </c>
      <c r="F15" s="948">
        <f>IF((F4-F7-F12)&gt;0,F4-F7-F12,0)</f>
        <v>10000000</v>
      </c>
    </row>
    <row r="16" spans="1:6" ht="15.75" customHeight="1" x14ac:dyDescent="0.25">
      <c r="A16" s="2315"/>
      <c r="B16" s="2304" t="s">
        <v>776</v>
      </c>
      <c r="C16" s="2304"/>
      <c r="D16" s="2304"/>
      <c r="E16" s="862"/>
      <c r="F16" s="949">
        <f>+D17+D20</f>
        <v>0</v>
      </c>
    </row>
    <row r="17" spans="1:8" ht="18" customHeight="1" x14ac:dyDescent="0.25">
      <c r="A17" s="2315"/>
      <c r="B17" s="51"/>
      <c r="C17" s="596" t="s">
        <v>493</v>
      </c>
      <c r="D17" s="785">
        <f>SUM(D18:D19)</f>
        <v>0</v>
      </c>
      <c r="E17" s="2323"/>
      <c r="F17" s="2324"/>
    </row>
    <row r="18" spans="1:8" ht="19.5" customHeight="1" x14ac:dyDescent="0.2">
      <c r="A18" s="2315"/>
      <c r="B18" s="1026" t="s">
        <v>500</v>
      </c>
      <c r="C18" s="561" t="s">
        <v>525</v>
      </c>
      <c r="D18" s="785">
        <f>IF('DATOS PARA DEPURAR'!D220&lt;=1200*'DATOS PARA DEPURAR'!C23,'DATOS PARA DEPURAR'!D220,1200*'DATOS PARA DEPURAR'!C23)</f>
        <v>0</v>
      </c>
      <c r="E18" s="2323"/>
      <c r="F18" s="2324"/>
    </row>
    <row r="19" spans="1:8" ht="17.25" customHeight="1" x14ac:dyDescent="0.2">
      <c r="A19" s="2315"/>
      <c r="B19" s="598" t="s">
        <v>501</v>
      </c>
      <c r="C19" s="597" t="s">
        <v>499</v>
      </c>
      <c r="D19" s="803">
        <f>+'DATOS PARA DEPURAR'!D223*50%</f>
        <v>0</v>
      </c>
      <c r="E19" s="2323"/>
      <c r="F19" s="2324"/>
    </row>
    <row r="20" spans="1:8" ht="14.25" customHeight="1" x14ac:dyDescent="0.25">
      <c r="A20" s="2315"/>
      <c r="B20" s="51"/>
      <c r="C20" s="596" t="s">
        <v>515</v>
      </c>
      <c r="D20" s="787">
        <f>MIN(D23:D25)+SUM(D26:D26)</f>
        <v>0</v>
      </c>
      <c r="E20" s="2323"/>
      <c r="F20" s="2324"/>
    </row>
    <row r="21" spans="1:8" x14ac:dyDescent="0.2">
      <c r="A21" s="2315"/>
      <c r="B21" s="598" t="s">
        <v>502</v>
      </c>
      <c r="C21" s="566" t="s">
        <v>497</v>
      </c>
      <c r="D21" s="787">
        <f>+'DATOS PARA DEPURAR'!D257</f>
        <v>0</v>
      </c>
      <c r="E21" s="2323"/>
      <c r="F21" s="2324"/>
      <c r="H21" s="624" t="s">
        <v>588</v>
      </c>
    </row>
    <row r="22" spans="1:8" x14ac:dyDescent="0.2">
      <c r="A22" s="2315"/>
      <c r="B22" s="598" t="s">
        <v>503</v>
      </c>
      <c r="C22" s="750" t="s">
        <v>498</v>
      </c>
      <c r="D22" s="785">
        <f>+'DATOS PARA DEPURAR'!D260</f>
        <v>0</v>
      </c>
      <c r="E22" s="2323"/>
      <c r="F22" s="2324"/>
      <c r="H22" s="1" t="e">
        <f>IF(F15&gt;0,((F15-D17-SUM(#REF!))-MIN(D23:D25))*0.25,0)</f>
        <v>#REF!</v>
      </c>
    </row>
    <row r="23" spans="1:8" ht="10.5" customHeight="1" x14ac:dyDescent="0.2">
      <c r="A23" s="2315"/>
      <c r="B23" s="2327" t="s">
        <v>20</v>
      </c>
      <c r="C23" s="800" t="s">
        <v>656</v>
      </c>
      <c r="D23" s="1101">
        <f>SUM(D21:D22)</f>
        <v>0</v>
      </c>
      <c r="E23" s="2323"/>
      <c r="F23" s="2324"/>
      <c r="H23" s="1"/>
    </row>
    <row r="24" spans="1:8" ht="10.5" customHeight="1" x14ac:dyDescent="0.2">
      <c r="A24" s="2315"/>
      <c r="B24" s="2327"/>
      <c r="C24" s="800" t="s">
        <v>657</v>
      </c>
      <c r="D24" s="798">
        <f>IF(D23&gt;0,(F4*30%),0)</f>
        <v>0</v>
      </c>
      <c r="E24" s="2323"/>
      <c r="F24" s="2324"/>
      <c r="H24" s="1"/>
    </row>
    <row r="25" spans="1:8" ht="10.5" customHeight="1" x14ac:dyDescent="0.2">
      <c r="A25" s="2315"/>
      <c r="B25" s="2327"/>
      <c r="C25" s="800" t="s">
        <v>658</v>
      </c>
      <c r="D25" s="798">
        <f>IF(D23&gt;0,(3800*'DATOS PARA DEPURAR'!C23),0)</f>
        <v>0</v>
      </c>
      <c r="E25" s="2323"/>
      <c r="F25" s="2324"/>
      <c r="H25" s="1"/>
    </row>
    <row r="26" spans="1:8" ht="14.25" customHeight="1" x14ac:dyDescent="0.2">
      <c r="A26" s="2315"/>
      <c r="B26" s="599" t="s">
        <v>505</v>
      </c>
      <c r="C26" s="600" t="s">
        <v>425</v>
      </c>
      <c r="D26" s="788"/>
      <c r="E26" s="2323"/>
      <c r="F26" s="2324"/>
    </row>
    <row r="27" spans="1:8" ht="27" customHeight="1" x14ac:dyDescent="0.2">
      <c r="A27" s="2315"/>
      <c r="B27" s="2317" t="s">
        <v>506</v>
      </c>
      <c r="C27" s="2317"/>
      <c r="D27" s="959"/>
      <c r="E27" s="950">
        <v>53</v>
      </c>
      <c r="F27" s="949">
        <f>MIN(D28,D29,D30)</f>
        <v>0</v>
      </c>
    </row>
    <row r="28" spans="1:8" ht="22.5" customHeight="1" x14ac:dyDescent="0.2">
      <c r="A28" s="2315"/>
      <c r="B28" s="601"/>
      <c r="C28" s="602" t="s">
        <v>513</v>
      </c>
      <c r="D28" s="961">
        <f>+F16</f>
        <v>0</v>
      </c>
      <c r="E28" s="963"/>
      <c r="F28" s="964"/>
    </row>
    <row r="29" spans="1:8" ht="13.5" customHeight="1" x14ac:dyDescent="0.2">
      <c r="A29" s="2315"/>
      <c r="B29" s="603"/>
      <c r="C29" s="603" t="s">
        <v>508</v>
      </c>
      <c r="D29" s="799">
        <f>IF((F4-F7)&gt;0,(F4-F7)*40%,0)</f>
        <v>4000000</v>
      </c>
      <c r="E29" s="2300"/>
      <c r="F29" s="2321"/>
    </row>
    <row r="30" spans="1:8" ht="15" customHeight="1" x14ac:dyDescent="0.2">
      <c r="A30" s="2315"/>
      <c r="B30" s="603"/>
      <c r="C30" s="603" t="s">
        <v>509</v>
      </c>
      <c r="D30" s="962">
        <f>IF((F4-F7)&gt;0,5040*'DATOS PARA DEPURAR'!C23,0)</f>
        <v>182992320</v>
      </c>
      <c r="E30" s="2300"/>
      <c r="F30" s="2321"/>
    </row>
    <row r="31" spans="1:8" ht="21" customHeight="1" thickBot="1" x14ac:dyDescent="0.25">
      <c r="A31" s="2316"/>
      <c r="B31" s="2320" t="s">
        <v>771</v>
      </c>
      <c r="C31" s="2320"/>
      <c r="D31" s="2320"/>
      <c r="E31" s="960">
        <v>57</v>
      </c>
      <c r="F31" s="954">
        <f>+F15-F27</f>
        <v>10000000</v>
      </c>
    </row>
    <row r="32" spans="1:8" ht="16.5" customHeight="1" x14ac:dyDescent="0.2"/>
  </sheetData>
  <sheetProtection algorithmName="SHA-512" hashValue="CzKteGKIQ7beUKqa0Re8JgoMY6DtpvqlR3cAnWSYRdXgqL+Hf36XLv5FcU+1ol6zmPm0AizDEd8u0uw0f8NwJw==" saltValue="wiM9GSFU9YNd0UDbucvaSg==" spinCount="100000" sheet="1" objects="1" scenarios="1"/>
  <mergeCells count="19">
    <mergeCell ref="A1:F1"/>
    <mergeCell ref="A2:B2"/>
    <mergeCell ref="E2:F2"/>
    <mergeCell ref="A3:F3"/>
    <mergeCell ref="A4:A31"/>
    <mergeCell ref="B4:D4"/>
    <mergeCell ref="E5:E6"/>
    <mergeCell ref="F5:F6"/>
    <mergeCell ref="B5:D5"/>
    <mergeCell ref="B27:C27"/>
    <mergeCell ref="E29:F30"/>
    <mergeCell ref="B31:D31"/>
    <mergeCell ref="B7:D7"/>
    <mergeCell ref="B8:B9"/>
    <mergeCell ref="E8:F9"/>
    <mergeCell ref="B12:D12"/>
    <mergeCell ref="B16:D16"/>
    <mergeCell ref="E17:F26"/>
    <mergeCell ref="B23:B25"/>
  </mergeCells>
  <printOptions horizontalCentered="1" verticalCentered="1"/>
  <pageMargins left="0.11811023622047245" right="0.11811023622047245" top="0.15748031496062992" bottom="0.15748031496062992" header="0.31496062992125984" footer="0.31496062992125984"/>
  <pageSetup scale="85"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F84"/>
  <sheetViews>
    <sheetView showGridLines="0" view="pageBreakPreview" topLeftCell="A43" zoomScaleNormal="100" zoomScaleSheetLayoutView="100" workbookViewId="0">
      <selection activeCell="D57" sqref="D57"/>
    </sheetView>
  </sheetViews>
  <sheetFormatPr baseColWidth="10" defaultRowHeight="12.75" x14ac:dyDescent="0.2"/>
  <cols>
    <col min="1" max="1" width="5.28515625" customWidth="1"/>
    <col min="2" max="2" width="9.140625" customWidth="1"/>
    <col min="3" max="3" width="42.5703125" customWidth="1"/>
    <col min="4" max="4" width="21.140625" customWidth="1"/>
    <col min="5" max="5" width="5.28515625" customWidth="1"/>
    <col min="6" max="6" width="19.7109375" customWidth="1"/>
    <col min="7" max="7" width="23.28515625" customWidth="1"/>
  </cols>
  <sheetData>
    <row r="1" spans="1:6" ht="16.5" customHeight="1" thickBot="1" x14ac:dyDescent="0.25">
      <c r="A1" s="2353" t="s">
        <v>767</v>
      </c>
      <c r="B1" s="2354"/>
      <c r="C1" s="2354"/>
      <c r="D1" s="2354"/>
      <c r="E1" s="2354"/>
      <c r="F1" s="2355"/>
    </row>
    <row r="2" spans="1:6" ht="17.25" customHeight="1" x14ac:dyDescent="0.2">
      <c r="A2" s="2356" t="s">
        <v>511</v>
      </c>
      <c r="B2" s="2357"/>
      <c r="C2" s="758" t="str">
        <f>+'DATOS PARA DEPURAR'!C7</f>
        <v>OJEDA RIOJAS DAVID MATEO</v>
      </c>
      <c r="D2" s="759" t="s">
        <v>360</v>
      </c>
      <c r="E2" s="2358">
        <f>+'DATOS PARA DEPURAR'!E7</f>
        <v>18927495</v>
      </c>
      <c r="F2" s="2359"/>
    </row>
    <row r="3" spans="1:6" ht="13.5" thickBot="1" x14ac:dyDescent="0.25">
      <c r="A3" s="2312"/>
      <c r="B3" s="2297"/>
      <c r="C3" s="2297"/>
      <c r="D3" s="2297"/>
      <c r="E3" s="2297"/>
      <c r="F3" s="2313"/>
    </row>
    <row r="4" spans="1:6" ht="17.25" customHeight="1" x14ac:dyDescent="0.25">
      <c r="A4" s="2315" t="s">
        <v>591</v>
      </c>
      <c r="B4" s="2360" t="s">
        <v>557</v>
      </c>
      <c r="C4" s="2361"/>
      <c r="D4" s="2361"/>
      <c r="E4" s="944">
        <v>74</v>
      </c>
      <c r="F4" s="945">
        <f>IF(SUM(D5:D23)&gt;0,SUM(D5:D23),0)</f>
        <v>0</v>
      </c>
    </row>
    <row r="5" spans="1:6" ht="15" customHeight="1" x14ac:dyDescent="0.2">
      <c r="A5" s="2315"/>
      <c r="B5" s="49"/>
      <c r="C5" s="593" t="str">
        <f>+'DATOS PARA DEPURAR'!B87</f>
        <v>COMERCIO AL POR MENOR Y AL POR MAYOR</v>
      </c>
      <c r="D5" s="775">
        <f>+'DATOS PARA DEPURAR'!E87</f>
        <v>0</v>
      </c>
      <c r="E5" s="2314" t="s">
        <v>559</v>
      </c>
      <c r="F5" s="50"/>
    </row>
    <row r="6" spans="1:6" ht="15" customHeight="1" x14ac:dyDescent="0.2">
      <c r="A6" s="2315"/>
      <c r="B6" s="49"/>
      <c r="C6" s="680" t="str">
        <f>+'DATOS PARA DEPURAR'!B88</f>
        <v>SERVICIOS DE HOTELES, RESTAURANTES Y SIMILARES</v>
      </c>
      <c r="D6" s="776">
        <f>+'DATOS PARA DEPURAR'!E88</f>
        <v>0</v>
      </c>
      <c r="E6" s="2314"/>
      <c r="F6" s="50"/>
    </row>
    <row r="7" spans="1:6" ht="15" customHeight="1" x14ac:dyDescent="0.2">
      <c r="A7" s="2315"/>
      <c r="B7" s="49"/>
      <c r="C7" s="680" t="str">
        <f>+'DATOS PARA DEPURAR'!B89</f>
        <v>AGRICULTURA, SILVICULTURA Y PESCA</v>
      </c>
      <c r="D7" s="776">
        <f>+'DATOS PARA DEPURAR'!E89</f>
        <v>0</v>
      </c>
      <c r="E7" s="2314"/>
      <c r="F7" s="50"/>
    </row>
    <row r="8" spans="1:6" ht="15" customHeight="1" x14ac:dyDescent="0.2">
      <c r="A8" s="2315"/>
      <c r="B8" s="49"/>
      <c r="C8" s="680" t="str">
        <f>+'DATOS PARA DEPURAR'!B90</f>
        <v>ACTIVIDAD GANADERA</v>
      </c>
      <c r="D8" s="776">
        <f>+'DATOS PARA DEPURAR'!E90</f>
        <v>0</v>
      </c>
      <c r="E8" s="2314"/>
      <c r="F8" s="50"/>
    </row>
    <row r="9" spans="1:6" ht="21" customHeight="1" x14ac:dyDescent="0.2">
      <c r="A9" s="2315"/>
      <c r="B9" s="49"/>
      <c r="C9" s="681" t="str">
        <f>+'DATOS PARA DEPURAR'!B91</f>
        <v>SERVICIO DE TRANSPORTE, ALMACENAMIENTO, COMUNICACIONES E INTERMEDIACION</v>
      </c>
      <c r="D9" s="776">
        <f>+'DATOS PARA DEPURAR'!E91</f>
        <v>0</v>
      </c>
      <c r="E9" s="2314"/>
      <c r="F9" s="50"/>
    </row>
    <row r="10" spans="1:6" ht="23.25" customHeight="1" x14ac:dyDescent="0.2">
      <c r="A10" s="2315"/>
      <c r="B10" s="49"/>
      <c r="C10" s="682" t="str">
        <f>+'DATOS PARA DEPURAR'!B92</f>
        <v>COMERCIO DE VEHÍCULOS AUTOMOTORES, ACCESORIOS Y PRODUCTOS CONEXOS</v>
      </c>
      <c r="D10" s="776">
        <f>+'DATOS PARA DEPURAR'!E92</f>
        <v>0</v>
      </c>
      <c r="E10" s="2314"/>
      <c r="F10" s="50"/>
    </row>
    <row r="11" spans="1:6" ht="23.25" customHeight="1" x14ac:dyDescent="0.2">
      <c r="A11" s="2315"/>
      <c r="B11" s="49"/>
      <c r="C11" s="682" t="s">
        <v>426</v>
      </c>
      <c r="D11" s="776">
        <f>+'DATOS PARA DEPURAR'!E78</f>
        <v>0</v>
      </c>
      <c r="E11" s="2314"/>
      <c r="F11" s="50"/>
    </row>
    <row r="12" spans="1:6" ht="23.25" customHeight="1" x14ac:dyDescent="0.2">
      <c r="A12" s="2315"/>
      <c r="B12" s="49"/>
      <c r="C12" s="681" t="s">
        <v>662</v>
      </c>
      <c r="D12" s="776">
        <f>'DATOS PARA DEPURAR'!C61+'DATOS PARA DEPURAR'!C63</f>
        <v>0</v>
      </c>
      <c r="E12" s="2314"/>
      <c r="F12" s="50"/>
    </row>
    <row r="13" spans="1:6" ht="20.25" customHeight="1" x14ac:dyDescent="0.2">
      <c r="A13" s="2315"/>
      <c r="B13" s="49"/>
      <c r="C13" s="683" t="s">
        <v>5</v>
      </c>
      <c r="D13" s="776">
        <f>+'DATOS PARA DEPURAR'!E54</f>
        <v>0</v>
      </c>
      <c r="E13" s="2314"/>
      <c r="F13" s="50"/>
    </row>
    <row r="14" spans="1:6" ht="18" customHeight="1" x14ac:dyDescent="0.2">
      <c r="A14" s="2315"/>
      <c r="B14" s="49"/>
      <c r="C14" s="683" t="s">
        <v>663</v>
      </c>
      <c r="D14" s="776">
        <f>+'DATOS PARA DEPURAR'!E94</f>
        <v>0</v>
      </c>
      <c r="E14" s="2314"/>
      <c r="F14" s="50"/>
    </row>
    <row r="15" spans="1:6" ht="18" customHeight="1" x14ac:dyDescent="0.2">
      <c r="A15" s="2315"/>
      <c r="B15" s="49"/>
      <c r="C15" s="683" t="s">
        <v>186</v>
      </c>
      <c r="D15" s="776">
        <f>+'DATOS PARA DEPURAR'!E69</f>
        <v>0</v>
      </c>
      <c r="E15" s="2314"/>
      <c r="F15" s="50"/>
    </row>
    <row r="16" spans="1:6" ht="23.25" customHeight="1" x14ac:dyDescent="0.2">
      <c r="A16" s="2315"/>
      <c r="B16" s="49"/>
      <c r="C16" s="743" t="s">
        <v>377</v>
      </c>
      <c r="D16" s="776">
        <f>+'DATOS PARA DEPURAR'!E70</f>
        <v>0</v>
      </c>
      <c r="E16" s="2314"/>
      <c r="F16" s="50"/>
    </row>
    <row r="17" spans="1:6" ht="23.25" customHeight="1" x14ac:dyDescent="0.2">
      <c r="A17" s="2315"/>
      <c r="B17" s="49"/>
      <c r="C17" s="744" t="s">
        <v>185</v>
      </c>
      <c r="D17" s="776">
        <f>+'DATOS PARA DEPURAR'!E71</f>
        <v>0</v>
      </c>
      <c r="E17" s="2314"/>
      <c r="F17" s="50"/>
    </row>
    <row r="18" spans="1:6" ht="17.25" customHeight="1" x14ac:dyDescent="0.2">
      <c r="A18" s="2315"/>
      <c r="B18" s="49"/>
      <c r="C18" s="744" t="s">
        <v>184</v>
      </c>
      <c r="D18" s="776">
        <f>+'DATOS PARA DEPURAR'!E72</f>
        <v>0</v>
      </c>
      <c r="E18" s="2314"/>
      <c r="F18" s="50"/>
    </row>
    <row r="19" spans="1:6" ht="17.25" customHeight="1" x14ac:dyDescent="0.2">
      <c r="A19" s="2315"/>
      <c r="B19" s="49"/>
      <c r="C19" s="744" t="s">
        <v>425</v>
      </c>
      <c r="D19" s="776">
        <f>+'DATOS PARA DEPURAR'!E77</f>
        <v>0</v>
      </c>
      <c r="E19" s="2314"/>
      <c r="F19" s="50"/>
    </row>
    <row r="20" spans="1:6" ht="17.25" customHeight="1" x14ac:dyDescent="0.2">
      <c r="A20" s="2315"/>
      <c r="B20" s="49"/>
      <c r="C20" s="745" t="s">
        <v>328</v>
      </c>
      <c r="D20" s="776">
        <f>+'DATOS PARA DEPURAR'!E81</f>
        <v>0</v>
      </c>
      <c r="E20" s="2314"/>
      <c r="F20" s="50"/>
    </row>
    <row r="21" spans="1:6" ht="23.25" customHeight="1" x14ac:dyDescent="0.2">
      <c r="A21" s="2315"/>
      <c r="B21" s="49"/>
      <c r="C21" s="744" t="s">
        <v>660</v>
      </c>
      <c r="D21" s="777">
        <f>+'DATOS PARA DEPURAR'!E83</f>
        <v>0</v>
      </c>
      <c r="E21" s="2314"/>
      <c r="F21" s="50"/>
    </row>
    <row r="22" spans="1:6" ht="23.25" customHeight="1" x14ac:dyDescent="0.2">
      <c r="A22" s="2315"/>
      <c r="B22" s="49"/>
      <c r="C22" s="744" t="s">
        <v>661</v>
      </c>
      <c r="D22" s="777">
        <f>+'DATOS PARA DEPURAR'!E85</f>
        <v>0</v>
      </c>
      <c r="E22" s="2314"/>
      <c r="F22" s="50"/>
    </row>
    <row r="23" spans="1:6" ht="23.25" customHeight="1" thickBot="1" x14ac:dyDescent="0.25">
      <c r="A23" s="2315"/>
      <c r="B23" s="49"/>
      <c r="C23" s="760"/>
      <c r="D23" s="778"/>
      <c r="E23" s="2314"/>
      <c r="F23" s="50"/>
    </row>
    <row r="24" spans="1:6" ht="23.25" customHeight="1" x14ac:dyDescent="0.25">
      <c r="A24" s="2315"/>
      <c r="B24" s="946" t="s">
        <v>570</v>
      </c>
      <c r="C24" s="947"/>
      <c r="D24" s="947"/>
      <c r="E24" s="862">
        <f>+E4+1</f>
        <v>75</v>
      </c>
      <c r="F24" s="948">
        <f>IF(SUM(D25)&gt;0,SUM(D25),0)</f>
        <v>0</v>
      </c>
    </row>
    <row r="25" spans="1:6" ht="23.25" customHeight="1" thickBot="1" x14ac:dyDescent="0.25">
      <c r="A25" s="2315"/>
      <c r="B25" s="49"/>
      <c r="C25" s="761" t="s">
        <v>570</v>
      </c>
      <c r="D25" s="576">
        <f>+'DATOS PARA DEPURAR'!E96</f>
        <v>0</v>
      </c>
      <c r="E25" s="51"/>
      <c r="F25" s="50"/>
    </row>
    <row r="26" spans="1:6" ht="14.25" customHeight="1" x14ac:dyDescent="0.25">
      <c r="A26" s="2315"/>
      <c r="B26" s="946" t="s">
        <v>488</v>
      </c>
      <c r="C26" s="947"/>
      <c r="D26" s="947"/>
      <c r="E26" s="862">
        <f>+E24+1</f>
        <v>76</v>
      </c>
      <c r="F26" s="948">
        <f>IF(SUM(D27:D34)&gt;0,SUM(D27:D34),0)</f>
        <v>0</v>
      </c>
    </row>
    <row r="27" spans="1:6" ht="15.75" customHeight="1" x14ac:dyDescent="0.2">
      <c r="A27" s="2315"/>
      <c r="B27" s="2362"/>
      <c r="C27" s="560" t="s">
        <v>489</v>
      </c>
      <c r="D27" s="779">
        <f>IF(F4&gt;0,'DATOS PARA DEPURAR'!D116,0)</f>
        <v>0</v>
      </c>
      <c r="E27" s="2335"/>
      <c r="F27" s="2363"/>
    </row>
    <row r="28" spans="1:6" ht="15.75" customHeight="1" x14ac:dyDescent="0.2">
      <c r="A28" s="2315"/>
      <c r="B28" s="2362"/>
      <c r="C28" s="754" t="s">
        <v>490</v>
      </c>
      <c r="D28" s="780">
        <f>IF(F4&gt;0,'DATOS PARA DEPURAR'!D119,0)</f>
        <v>0</v>
      </c>
      <c r="E28" s="2335"/>
      <c r="F28" s="2363"/>
    </row>
    <row r="29" spans="1:6" ht="15.75" customHeight="1" x14ac:dyDescent="0.25">
      <c r="A29" s="2315"/>
      <c r="B29" s="767"/>
      <c r="C29" s="755" t="s">
        <v>560</v>
      </c>
      <c r="D29" s="780"/>
      <c r="E29" s="739"/>
      <c r="F29" s="762"/>
    </row>
    <row r="30" spans="1:6" ht="15.75" customHeight="1" x14ac:dyDescent="0.25">
      <c r="A30" s="2315"/>
      <c r="B30" s="767"/>
      <c r="C30" s="746" t="s">
        <v>186</v>
      </c>
      <c r="D30" s="780">
        <f>+'DATOS PARA DEPURAR'!E121</f>
        <v>0</v>
      </c>
      <c r="E30" s="739"/>
      <c r="F30" s="762"/>
    </row>
    <row r="31" spans="1:6" ht="26.25" customHeight="1" x14ac:dyDescent="0.25">
      <c r="A31" s="2315"/>
      <c r="B31" s="767"/>
      <c r="C31" s="747" t="s">
        <v>377</v>
      </c>
      <c r="D31" s="780">
        <f>+'DATOS PARA DEPURAR'!E122</f>
        <v>0</v>
      </c>
      <c r="E31" s="739"/>
      <c r="F31" s="762"/>
    </row>
    <row r="32" spans="1:6" ht="21" customHeight="1" x14ac:dyDescent="0.25">
      <c r="A32" s="2315"/>
      <c r="B32" s="767"/>
      <c r="C32" s="748" t="s">
        <v>185</v>
      </c>
      <c r="D32" s="780">
        <f>+'DATOS PARA DEPURAR'!E123</f>
        <v>0</v>
      </c>
      <c r="E32" s="739"/>
      <c r="F32" s="762"/>
    </row>
    <row r="33" spans="1:6" ht="21" customHeight="1" x14ac:dyDescent="0.25">
      <c r="A33" s="2315"/>
      <c r="B33" s="767"/>
      <c r="C33" s="747" t="s">
        <v>659</v>
      </c>
      <c r="D33" s="780">
        <f>+'DATOS PARA DEPURAR'!E125</f>
        <v>0</v>
      </c>
      <c r="E33" s="739"/>
      <c r="F33" s="762"/>
    </row>
    <row r="34" spans="1:6" ht="21" customHeight="1" x14ac:dyDescent="0.25">
      <c r="A34" s="2315"/>
      <c r="B34" s="767"/>
      <c r="C34" s="740" t="s">
        <v>184</v>
      </c>
      <c r="D34" s="779">
        <f>+'DATOS PARA DEPURAR'!E124</f>
        <v>0</v>
      </c>
      <c r="E34" s="739"/>
      <c r="F34" s="762"/>
    </row>
    <row r="35" spans="1:6" ht="20.25" customHeight="1" x14ac:dyDescent="0.25">
      <c r="A35" s="2315"/>
      <c r="B35" s="946" t="s">
        <v>527</v>
      </c>
      <c r="C35" s="947"/>
      <c r="D35" s="947"/>
      <c r="E35" s="862">
        <f>+E26+1</f>
        <v>77</v>
      </c>
      <c r="F35" s="948">
        <f>IF(SUM(D36:D56)&gt;0,SUM(D36:D56),0)</f>
        <v>0</v>
      </c>
    </row>
    <row r="36" spans="1:6" ht="17.25" customHeight="1" x14ac:dyDescent="0.2">
      <c r="A36" s="2315"/>
      <c r="B36" s="49"/>
      <c r="C36" s="582" t="s">
        <v>193</v>
      </c>
      <c r="D36" s="781"/>
      <c r="E36" s="51"/>
      <c r="F36" s="50"/>
    </row>
    <row r="37" spans="1:6" ht="17.25" customHeight="1" x14ac:dyDescent="0.2">
      <c r="A37" s="2315"/>
      <c r="B37" s="49"/>
      <c r="C37" s="684" t="str">
        <f>+'DATOS PARA DEPURAR'!B135</f>
        <v xml:space="preserve">DE COMERCIANTE </v>
      </c>
      <c r="D37" s="782">
        <f>+'DATOS PARA DEPURAR'!E135</f>
        <v>0</v>
      </c>
      <c r="E37" s="51"/>
      <c r="F37" s="50"/>
    </row>
    <row r="38" spans="1:6" ht="17.25" customHeight="1" x14ac:dyDescent="0.2">
      <c r="A38" s="2315"/>
      <c r="B38" s="49"/>
      <c r="C38" s="790" t="s">
        <v>382</v>
      </c>
      <c r="D38" s="782"/>
      <c r="E38" s="51"/>
      <c r="F38" s="50"/>
    </row>
    <row r="39" spans="1:6" ht="17.25" customHeight="1" x14ac:dyDescent="0.2">
      <c r="A39" s="2315"/>
      <c r="B39" s="49"/>
      <c r="C39" s="684" t="str">
        <f>+'DATOS PARA DEPURAR'!B153</f>
        <v>DE AGRICULTOR, SILVICULTURA Y PESCA</v>
      </c>
      <c r="D39" s="782">
        <f>+'DATOS PARA DEPURAR'!E153</f>
        <v>0</v>
      </c>
      <c r="E39" s="51"/>
      <c r="F39" s="50"/>
    </row>
    <row r="40" spans="1:6" ht="17.25" customHeight="1" x14ac:dyDescent="0.2">
      <c r="A40" s="2315"/>
      <c r="B40" s="49"/>
      <c r="C40" s="684" t="str">
        <f>++'DATOS PARA DEPURAR'!B159</f>
        <v>DE ACTIVIDAD GANADERA</v>
      </c>
      <c r="D40" s="782">
        <f>+'DATOS PARA DEPURAR'!E159</f>
        <v>0</v>
      </c>
      <c r="E40" s="51"/>
      <c r="F40" s="50"/>
    </row>
    <row r="41" spans="1:6" ht="21.75" customHeight="1" x14ac:dyDescent="0.2">
      <c r="A41" s="2315"/>
      <c r="B41" s="49"/>
      <c r="C41" s="685" t="str">
        <f>+'DATOS PARA DEPURAR'!B172</f>
        <v>COSTO DE SERVICIO DE TRANSPORTE, ALMACENAMIENTO Y COMUNICACIONES</v>
      </c>
      <c r="D41" s="782">
        <f>+'DATOS PARA DEPURAR'!E172</f>
        <v>0</v>
      </c>
      <c r="E41" s="51"/>
      <c r="F41" s="50"/>
    </row>
    <row r="42" spans="1:6" ht="17.25" customHeight="1" x14ac:dyDescent="0.2">
      <c r="A42" s="2315"/>
      <c r="B42" s="49"/>
      <c r="C42" s="686" t="s">
        <v>664</v>
      </c>
      <c r="D42" s="782">
        <f>+'DATOS PARA DEPURAR'!E170</f>
        <v>0</v>
      </c>
      <c r="E42" s="51"/>
      <c r="F42" s="50"/>
    </row>
    <row r="43" spans="1:6" ht="17.25" customHeight="1" x14ac:dyDescent="0.2">
      <c r="A43" s="2315"/>
      <c r="B43" s="49"/>
      <c r="C43" s="686" t="s">
        <v>617</v>
      </c>
      <c r="D43" s="782">
        <f>IF('DATOS PARA DEPURAR'!C61&gt;0,'DATOS PARA DEPURAR'!E166,IF('DATOS PARA DEPURAR'!C63&gt;0,'DATOS PARA DEPURAR'!E167,0))</f>
        <v>0</v>
      </c>
      <c r="E43" s="51"/>
      <c r="F43" s="50"/>
    </row>
    <row r="44" spans="1:6" ht="17.25" customHeight="1" x14ac:dyDescent="0.2">
      <c r="A44" s="2315"/>
      <c r="B44" s="49"/>
      <c r="C44" s="687" t="str">
        <f>+'DATOS PARA DEPURAR'!B145</f>
        <v>COMERCIO DE VEHÍCULOS AUTOMOTORES, ACCESORIOS Y PRODUCTOS CONEXOS</v>
      </c>
      <c r="D44" s="782">
        <f>+'DATOS PARA DEPURAR'!E145</f>
        <v>0</v>
      </c>
      <c r="E44" s="51"/>
      <c r="F44" s="50"/>
    </row>
    <row r="45" spans="1:6" ht="22.5" customHeight="1" thickBot="1" x14ac:dyDescent="0.25">
      <c r="A45" s="2315"/>
      <c r="B45" s="49"/>
      <c r="C45" s="685"/>
      <c r="D45" s="783"/>
      <c r="E45" s="51"/>
      <c r="F45" s="50"/>
    </row>
    <row r="46" spans="1:6" ht="18.75" customHeight="1" x14ac:dyDescent="0.2">
      <c r="A46" s="2315"/>
      <c r="B46" s="49"/>
      <c r="C46" s="51"/>
      <c r="D46" s="51"/>
      <c r="E46" s="51"/>
      <c r="F46" s="50"/>
    </row>
    <row r="47" spans="1:6" ht="18.75" customHeight="1" x14ac:dyDescent="0.2">
      <c r="A47" s="2315"/>
      <c r="B47" s="2367" t="str">
        <f>+A1</f>
        <v>DEPURACION RENTA GENERAL NO LABORAL</v>
      </c>
      <c r="C47" s="2368"/>
      <c r="D47" s="2368"/>
      <c r="E47" s="2368"/>
      <c r="F47" s="2369"/>
    </row>
    <row r="48" spans="1:6" ht="21.75" customHeight="1" x14ac:dyDescent="0.2">
      <c r="A48" s="2315"/>
      <c r="B48" s="768" t="str">
        <f>+A2</f>
        <v>CONTRIBUYENTE</v>
      </c>
      <c r="C48" s="705" t="str">
        <f>+C2</f>
        <v>OJEDA RIOJAS DAVID MATEO</v>
      </c>
      <c r="D48" s="570" t="s">
        <v>360</v>
      </c>
      <c r="E48" s="2295">
        <f>+E2</f>
        <v>18927495</v>
      </c>
      <c r="F48" s="2351"/>
    </row>
    <row r="49" spans="1:6" ht="15" customHeight="1" x14ac:dyDescent="0.2">
      <c r="A49" s="2315"/>
      <c r="B49" s="49"/>
      <c r="C49" s="763" t="s">
        <v>537</v>
      </c>
      <c r="D49" s="784"/>
      <c r="E49" s="51"/>
      <c r="F49" s="50"/>
    </row>
    <row r="50" spans="1:6" ht="22.5" customHeight="1" x14ac:dyDescent="0.2">
      <c r="A50" s="2315"/>
      <c r="B50" s="49"/>
      <c r="C50" s="685" t="s">
        <v>543</v>
      </c>
      <c r="D50" s="785">
        <f>+'DATOS PARA DEPURAR'!D208</f>
        <v>0</v>
      </c>
      <c r="E50" s="51"/>
      <c r="F50" s="50"/>
    </row>
    <row r="51" spans="1:6" ht="17.25" customHeight="1" x14ac:dyDescent="0.2">
      <c r="A51" s="2315"/>
      <c r="B51" s="49"/>
      <c r="C51" s="688" t="s">
        <v>545</v>
      </c>
      <c r="D51" s="785">
        <f>+'DATOS PARA DEPURAR'!D209</f>
        <v>0</v>
      </c>
      <c r="E51" s="51"/>
      <c r="F51" s="50"/>
    </row>
    <row r="52" spans="1:6" ht="17.25" customHeight="1" x14ac:dyDescent="0.25">
      <c r="A52" s="2315"/>
      <c r="B52" s="769"/>
      <c r="C52" s="689" t="s">
        <v>544</v>
      </c>
      <c r="D52" s="785">
        <f>+'DATOS PARA DEPURAR'!D210</f>
        <v>0</v>
      </c>
      <c r="E52" s="51"/>
      <c r="F52" s="50"/>
    </row>
    <row r="53" spans="1:6" ht="17.25" customHeight="1" x14ac:dyDescent="0.25">
      <c r="A53" s="2315"/>
      <c r="B53" s="769"/>
      <c r="C53" s="689" t="s">
        <v>487</v>
      </c>
      <c r="D53" s="785">
        <f>+'DATOS PARA DEPURAR'!D211</f>
        <v>0</v>
      </c>
      <c r="E53" s="51"/>
      <c r="F53" s="50"/>
    </row>
    <row r="54" spans="1:6" ht="17.25" customHeight="1" x14ac:dyDescent="0.2">
      <c r="A54" s="2315"/>
      <c r="B54" s="49"/>
      <c r="C54" s="688" t="s">
        <v>546</v>
      </c>
      <c r="D54" s="785">
        <f>+'DATOS PARA DEPURAR'!D212</f>
        <v>0</v>
      </c>
      <c r="E54" s="51"/>
      <c r="F54" s="50"/>
    </row>
    <row r="55" spans="1:6" ht="22.5" customHeight="1" x14ac:dyDescent="0.2">
      <c r="A55" s="2315"/>
      <c r="B55" s="49"/>
      <c r="C55" s="685" t="s">
        <v>572</v>
      </c>
      <c r="D55" s="785">
        <f>+'DATOS PARA DEPURAR'!E219</f>
        <v>0</v>
      </c>
      <c r="E55" s="51"/>
      <c r="F55" s="50"/>
    </row>
    <row r="56" spans="1:6" ht="17.25" customHeight="1" thickBot="1" x14ac:dyDescent="0.25">
      <c r="A56" s="2315"/>
      <c r="B56" s="49"/>
      <c r="C56" s="688" t="s">
        <v>438</v>
      </c>
      <c r="D56" s="786">
        <f>+'DATOS PARA DEPURAR'!D213</f>
        <v>0</v>
      </c>
      <c r="E56" s="51"/>
      <c r="F56" s="50"/>
    </row>
    <row r="57" spans="1:6" ht="15" customHeight="1" x14ac:dyDescent="0.2">
      <c r="A57" s="2315"/>
      <c r="B57" s="49"/>
      <c r="C57" s="51"/>
      <c r="D57" s="51"/>
      <c r="E57" s="51"/>
      <c r="F57" s="50"/>
    </row>
    <row r="58" spans="1:6" ht="17.25" customHeight="1" x14ac:dyDescent="0.25">
      <c r="A58" s="2315"/>
      <c r="B58" s="946" t="s">
        <v>710</v>
      </c>
      <c r="C58" s="947"/>
      <c r="D58" s="947"/>
      <c r="E58" s="862">
        <f>+E35+1</f>
        <v>78</v>
      </c>
      <c r="F58" s="948">
        <f>IF((F4-F24-F26-F35)&gt;0,F4-F24-F26-F35,0)</f>
        <v>0</v>
      </c>
    </row>
    <row r="59" spans="1:6" ht="17.25" customHeight="1" x14ac:dyDescent="0.25">
      <c r="A59" s="2315"/>
      <c r="B59" s="770"/>
      <c r="C59" s="581"/>
      <c r="D59" s="581"/>
      <c r="E59" s="282"/>
      <c r="F59" s="764"/>
    </row>
    <row r="60" spans="1:6" ht="17.25" customHeight="1" x14ac:dyDescent="0.25">
      <c r="A60" s="2315"/>
      <c r="B60" s="946" t="s">
        <v>562</v>
      </c>
      <c r="C60" s="947"/>
      <c r="D60" s="947"/>
      <c r="E60" s="862">
        <f>+E58+1</f>
        <v>79</v>
      </c>
      <c r="F60" s="948">
        <v>0</v>
      </c>
    </row>
    <row r="61" spans="1:6" ht="17.25" customHeight="1" x14ac:dyDescent="0.25">
      <c r="A61" s="2315"/>
      <c r="B61" s="770"/>
      <c r="C61" s="581"/>
      <c r="D61" s="581"/>
      <c r="E61" s="282"/>
      <c r="F61" s="764"/>
    </row>
    <row r="62" spans="1:6" ht="15.75" customHeight="1" x14ac:dyDescent="0.25">
      <c r="A62" s="2315"/>
      <c r="B62" s="2364" t="s">
        <v>563</v>
      </c>
      <c r="C62" s="2304"/>
      <c r="D62" s="2304"/>
      <c r="E62" s="862">
        <f>+E60+1</f>
        <v>80</v>
      </c>
      <c r="F62" s="949">
        <f>+D63+D68</f>
        <v>0</v>
      </c>
    </row>
    <row r="63" spans="1:6" ht="18" customHeight="1" x14ac:dyDescent="0.25">
      <c r="A63" s="2315"/>
      <c r="B63" s="49"/>
      <c r="C63" s="596" t="s">
        <v>493</v>
      </c>
      <c r="D63" s="787">
        <f>SUM(D64:D67)</f>
        <v>0</v>
      </c>
      <c r="E63" s="2365"/>
      <c r="F63" s="2322"/>
    </row>
    <row r="64" spans="1:6" ht="19.5" customHeight="1" x14ac:dyDescent="0.2">
      <c r="A64" s="2315"/>
      <c r="B64" s="2366" t="s">
        <v>500</v>
      </c>
      <c r="C64" s="561" t="s">
        <v>525</v>
      </c>
      <c r="D64" s="787">
        <f>IF('DATOS PARA DEPURAR'!D221&lt;=1200*'DATOS PARA DEPURAR'!C23,'DATOS PARA DEPURAR'!D221,1200*'DATOS PARA DEPURAR'!C23)</f>
        <v>0</v>
      </c>
      <c r="E64" s="2365"/>
      <c r="F64" s="2322"/>
    </row>
    <row r="65" spans="1:6" ht="13.5" customHeight="1" x14ac:dyDescent="0.2">
      <c r="A65" s="2315"/>
      <c r="B65" s="2366"/>
      <c r="C65" s="561" t="s">
        <v>526</v>
      </c>
      <c r="D65" s="787"/>
      <c r="E65" s="2365"/>
      <c r="F65" s="2322"/>
    </row>
    <row r="66" spans="1:6" ht="9" customHeight="1" x14ac:dyDescent="0.2">
      <c r="A66" s="2315"/>
      <c r="B66" s="2366"/>
      <c r="C66" s="597"/>
      <c r="D66" s="781"/>
      <c r="E66" s="2365"/>
      <c r="F66" s="2322"/>
    </row>
    <row r="67" spans="1:6" ht="13.5" customHeight="1" x14ac:dyDescent="0.2">
      <c r="A67" s="2315"/>
      <c r="B67" s="771" t="s">
        <v>501</v>
      </c>
      <c r="C67" s="597" t="s">
        <v>499</v>
      </c>
      <c r="D67" s="788">
        <f>IF('DATOS PARA DEPURAR'!D224&gt;0,'DATOS PARA DEPURAR'!D224*0.5,0)</f>
        <v>0</v>
      </c>
      <c r="E67" s="2365"/>
      <c r="F67" s="2322"/>
    </row>
    <row r="68" spans="1:6" ht="16.5" customHeight="1" x14ac:dyDescent="0.25">
      <c r="A68" s="2315"/>
      <c r="B68" s="49"/>
      <c r="C68" s="596" t="s">
        <v>564</v>
      </c>
      <c r="D68" s="787">
        <f>SUM(D69:D74)</f>
        <v>0</v>
      </c>
      <c r="E68" s="2365"/>
      <c r="F68" s="2322"/>
    </row>
    <row r="69" spans="1:6" x14ac:dyDescent="0.2">
      <c r="A69" s="2315"/>
      <c r="B69" s="771" t="s">
        <v>502</v>
      </c>
      <c r="C69" s="750" t="s">
        <v>497</v>
      </c>
      <c r="D69" s="1100">
        <f>+'DATOS PARA DEPURAR'!D258</f>
        <v>0</v>
      </c>
      <c r="E69" s="2365"/>
      <c r="F69" s="2322"/>
    </row>
    <row r="70" spans="1:6" x14ac:dyDescent="0.2">
      <c r="A70" s="2315"/>
      <c r="B70" s="771" t="s">
        <v>503</v>
      </c>
      <c r="C70" s="750" t="s">
        <v>498</v>
      </c>
      <c r="D70" s="1100">
        <f>+'DATOS PARA DEPURAR'!D261</f>
        <v>0</v>
      </c>
      <c r="E70" s="2365"/>
      <c r="F70" s="2322"/>
    </row>
    <row r="71" spans="1:6" ht="18.75" customHeight="1" x14ac:dyDescent="0.2">
      <c r="A71" s="2315"/>
      <c r="B71" s="772"/>
      <c r="C71" s="756" t="s">
        <v>561</v>
      </c>
      <c r="D71" s="785"/>
      <c r="E71" s="2365"/>
      <c r="F71" s="2322"/>
    </row>
    <row r="72" spans="1:6" ht="18.75" customHeight="1" x14ac:dyDescent="0.2">
      <c r="A72" s="2315"/>
      <c r="B72" s="772"/>
      <c r="C72" s="748" t="s">
        <v>425</v>
      </c>
      <c r="D72" s="785">
        <f>IF((D19&gt;0),'DATOS PARA DEPURAR'!E269,0)</f>
        <v>0</v>
      </c>
      <c r="E72" s="765"/>
      <c r="F72" s="766"/>
    </row>
    <row r="73" spans="1:6" ht="18.75" customHeight="1" x14ac:dyDescent="0.2">
      <c r="A73" s="2315"/>
      <c r="B73" s="772"/>
      <c r="C73" s="747" t="s">
        <v>661</v>
      </c>
      <c r="D73" s="785">
        <f>+'DATOS PARA DEPURAR'!E265</f>
        <v>0</v>
      </c>
      <c r="E73" s="765"/>
      <c r="F73" s="766"/>
    </row>
    <row r="74" spans="1:6" ht="18.75" customHeight="1" x14ac:dyDescent="0.2">
      <c r="A74" s="2315"/>
      <c r="B74" s="772"/>
      <c r="C74" s="741" t="s">
        <v>328</v>
      </c>
      <c r="D74" s="787">
        <f>+'DATOS PARA DEPURAR'!E263</f>
        <v>0</v>
      </c>
      <c r="E74" s="765"/>
      <c r="F74" s="766"/>
    </row>
    <row r="75" spans="1:6" ht="20.25" customHeight="1" x14ac:dyDescent="0.2">
      <c r="A75" s="2315"/>
      <c r="B75" s="2349" t="s">
        <v>565</v>
      </c>
      <c r="C75" s="2350"/>
      <c r="D75" s="2350"/>
      <c r="E75" s="950">
        <f>+E62+1</f>
        <v>81</v>
      </c>
      <c r="F75" s="949">
        <f>MIN(D76,D77,D78)</f>
        <v>0</v>
      </c>
    </row>
    <row r="76" spans="1:6" ht="24.75" customHeight="1" x14ac:dyDescent="0.2">
      <c r="A76" s="2315"/>
      <c r="B76" s="773"/>
      <c r="C76" s="602" t="s">
        <v>513</v>
      </c>
      <c r="D76" s="791">
        <f>+F62</f>
        <v>0</v>
      </c>
      <c r="E76" s="2341"/>
      <c r="F76" s="2352"/>
    </row>
    <row r="77" spans="1:6" ht="15.75" customHeight="1" x14ac:dyDescent="0.2">
      <c r="A77" s="2315"/>
      <c r="B77" s="774"/>
      <c r="C77" s="603" t="s">
        <v>508</v>
      </c>
      <c r="D77" s="792">
        <f>IF((F4-F26-F35)&gt;0,(F4-F26-F35)*40%,0)</f>
        <v>0</v>
      </c>
      <c r="E77" s="2341"/>
      <c r="F77" s="2352"/>
    </row>
    <row r="78" spans="1:6" ht="15" customHeight="1" x14ac:dyDescent="0.2">
      <c r="A78" s="2315"/>
      <c r="B78" s="774"/>
      <c r="C78" s="603" t="s">
        <v>509</v>
      </c>
      <c r="D78" s="793">
        <f>IF((F4-F26)&gt;0,5040*'DATOS PARA DEPURAR'!C23,0)</f>
        <v>0</v>
      </c>
      <c r="E78" s="2341"/>
      <c r="F78" s="2352"/>
    </row>
    <row r="79" spans="1:6" ht="12.75" customHeight="1" x14ac:dyDescent="0.2">
      <c r="A79" s="2315"/>
      <c r="B79" s="774"/>
      <c r="C79" s="603"/>
      <c r="D79" s="794"/>
      <c r="E79" s="2341"/>
      <c r="F79" s="2352"/>
    </row>
    <row r="80" spans="1:6" ht="21" customHeight="1" x14ac:dyDescent="0.2">
      <c r="A80" s="2315"/>
      <c r="B80" s="2342" t="s">
        <v>711</v>
      </c>
      <c r="C80" s="2317"/>
      <c r="D80" s="2317"/>
      <c r="E80" s="862">
        <f>+E75+1</f>
        <v>82</v>
      </c>
      <c r="F80" s="951">
        <f>IF((F4+F60-F24-F26-F35-F75)&gt;0,(F4+F60-F24-F26-F35-F75),0)</f>
        <v>0</v>
      </c>
    </row>
    <row r="81" spans="1:6" ht="21" customHeight="1" x14ac:dyDescent="0.2">
      <c r="A81" s="2315"/>
      <c r="B81" s="2343" t="s">
        <v>712</v>
      </c>
      <c r="C81" s="2344"/>
      <c r="D81" s="2344"/>
      <c r="E81" s="862">
        <f>+E80+1</f>
        <v>83</v>
      </c>
      <c r="F81" s="952">
        <f>IF((F26+F35+F75-F60-F4)&gt;0,F26+F35+F75-F60-F4,0)</f>
        <v>0</v>
      </c>
    </row>
    <row r="82" spans="1:6" ht="21" customHeight="1" x14ac:dyDescent="0.2">
      <c r="A82" s="2315"/>
      <c r="B82" s="2345" t="s">
        <v>713</v>
      </c>
      <c r="C82" s="2346"/>
      <c r="D82" s="2346"/>
      <c r="E82" s="862">
        <f>+E81+1</f>
        <v>84</v>
      </c>
      <c r="F82" s="952">
        <f>+'DATOS PARA DEPURAR'!E288</f>
        <v>0</v>
      </c>
    </row>
    <row r="83" spans="1:6" ht="21" customHeight="1" thickBot="1" x14ac:dyDescent="0.25">
      <c r="A83" s="2316"/>
      <c r="B83" s="2347" t="s">
        <v>714</v>
      </c>
      <c r="C83" s="2348"/>
      <c r="D83" s="2348"/>
      <c r="E83" s="953">
        <f>+E82+1</f>
        <v>85</v>
      </c>
      <c r="F83" s="954">
        <f>IF((F80-F82)&gt;0,F80-F82,0)</f>
        <v>0</v>
      </c>
    </row>
    <row r="84" spans="1:6" ht="16.5" customHeight="1" x14ac:dyDescent="0.2"/>
  </sheetData>
  <sheetProtection algorithmName="SHA-512" hashValue="01WLMT+lhaHzl24THUpUHmUwlWf1HuURlzA8XfhQVBYog64X1uEkIK/WdF7PjzMUfzIGGCXb2Bw2W0HldV+SOA==" saltValue="GiEPUmX+frUchLSe7dJcdg==" spinCount="100000" sheet="1" objects="1" scenarios="1"/>
  <mergeCells count="21">
    <mergeCell ref="E5:E23"/>
    <mergeCell ref="E48:F48"/>
    <mergeCell ref="E76:F79"/>
    <mergeCell ref="A1:F1"/>
    <mergeCell ref="A2:B2"/>
    <mergeCell ref="E2:F2"/>
    <mergeCell ref="A3:F3"/>
    <mergeCell ref="A4:A83"/>
    <mergeCell ref="B4:D4"/>
    <mergeCell ref="B27:B28"/>
    <mergeCell ref="E27:F28"/>
    <mergeCell ref="B62:D62"/>
    <mergeCell ref="E63:E71"/>
    <mergeCell ref="F63:F71"/>
    <mergeCell ref="B64:B66"/>
    <mergeCell ref="B47:F47"/>
    <mergeCell ref="B80:D80"/>
    <mergeCell ref="B81:D81"/>
    <mergeCell ref="B82:D82"/>
    <mergeCell ref="B83:D83"/>
    <mergeCell ref="B75:D75"/>
  </mergeCells>
  <pageMargins left="0.11811023622047245" right="0.11811023622047245" top="0.15748031496062992" bottom="0.15748031496062992" header="0.31496062992125984" footer="0.31496062992125984"/>
  <pageSetup scale="90"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1:F22"/>
  <sheetViews>
    <sheetView showGridLines="0" tabSelected="1" view="pageBreakPreview" zoomScaleNormal="100" zoomScaleSheetLayoutView="100" workbookViewId="0">
      <selection activeCell="E12" sqref="E12:F20"/>
    </sheetView>
  </sheetViews>
  <sheetFormatPr baseColWidth="10" defaultRowHeight="12.75" x14ac:dyDescent="0.2"/>
  <cols>
    <col min="1" max="1" width="5.28515625" customWidth="1"/>
    <col min="2" max="2" width="9.140625" customWidth="1"/>
    <col min="3" max="3" width="42.5703125" customWidth="1"/>
    <col min="4" max="4" width="21.140625" customWidth="1"/>
    <col min="5" max="5" width="5.28515625" customWidth="1"/>
    <col min="6" max="6" width="19.7109375" customWidth="1"/>
    <col min="7" max="7" width="23.28515625" customWidth="1"/>
  </cols>
  <sheetData>
    <row r="1" spans="1:6" ht="21" customHeight="1" x14ac:dyDescent="0.2">
      <c r="A1" s="2291" t="s">
        <v>519</v>
      </c>
      <c r="B1" s="2292"/>
      <c r="C1" s="2292"/>
      <c r="D1" s="2292"/>
      <c r="E1" s="2292"/>
      <c r="F1" s="2293"/>
    </row>
    <row r="2" spans="1:6" ht="23.25" customHeight="1" x14ac:dyDescent="0.2">
      <c r="A2" s="2370" t="s">
        <v>511</v>
      </c>
      <c r="B2" s="2371"/>
      <c r="C2" s="705" t="str">
        <f>+'DATOS PARA DEPURAR'!C7</f>
        <v>OJEDA RIOJAS DAVID MATEO</v>
      </c>
      <c r="D2" s="810" t="s">
        <v>360</v>
      </c>
      <c r="E2" s="2295">
        <f>+'DATOS PARA DEPURAR'!E7</f>
        <v>18927495</v>
      </c>
      <c r="F2" s="2296"/>
    </row>
    <row r="3" spans="1:6" x14ac:dyDescent="0.2">
      <c r="A3" s="2297"/>
      <c r="B3" s="2297"/>
      <c r="C3" s="2297"/>
      <c r="D3" s="2297"/>
      <c r="E3" s="2297"/>
      <c r="F3" s="2297"/>
    </row>
    <row r="4" spans="1:6" ht="17.25" customHeight="1" x14ac:dyDescent="0.25">
      <c r="A4" s="2332" t="s">
        <v>517</v>
      </c>
      <c r="B4" s="2299" t="s">
        <v>514</v>
      </c>
      <c r="C4" s="2299"/>
      <c r="D4" s="2299"/>
      <c r="E4" s="862">
        <v>69</v>
      </c>
      <c r="F4" s="955">
        <f>IF(SUM(D5:D6)&gt;0,SUM(D5:D6),0)</f>
        <v>0</v>
      </c>
    </row>
    <row r="5" spans="1:6" ht="35.25" customHeight="1" x14ac:dyDescent="0.2">
      <c r="A5" s="2332"/>
      <c r="B5" s="2300"/>
      <c r="C5" s="572" t="s">
        <v>520</v>
      </c>
      <c r="D5" s="807">
        <f>+'DATOS PARA DEPURAR'!E43</f>
        <v>0</v>
      </c>
      <c r="E5" s="2301"/>
    </row>
    <row r="6" spans="1:6" ht="36.75" customHeight="1" x14ac:dyDescent="0.2">
      <c r="A6" s="2332"/>
      <c r="B6" s="2300"/>
      <c r="C6" s="580" t="s">
        <v>521</v>
      </c>
      <c r="D6" s="803"/>
      <c r="E6" s="2301"/>
    </row>
    <row r="7" spans="1:6" ht="17.25" customHeight="1" x14ac:dyDescent="0.25">
      <c r="A7" s="2332"/>
      <c r="B7" s="947" t="s">
        <v>488</v>
      </c>
      <c r="C7" s="947"/>
      <c r="D7" s="947"/>
      <c r="E7" s="862">
        <v>70</v>
      </c>
      <c r="F7" s="955">
        <f>IF(SUM(D8:D9)&gt;0,SUM(D8:D9),0)</f>
        <v>0</v>
      </c>
    </row>
    <row r="8" spans="1:6" ht="17.25" customHeight="1" x14ac:dyDescent="0.2">
      <c r="A8" s="2332"/>
      <c r="B8" s="2302"/>
      <c r="C8" s="579" t="s">
        <v>489</v>
      </c>
      <c r="D8" s="585">
        <f>+'DATOS PARA DEPURAR'!D115</f>
        <v>0</v>
      </c>
      <c r="E8" s="2303"/>
      <c r="F8" s="2303"/>
    </row>
    <row r="9" spans="1:6" ht="17.25" customHeight="1" x14ac:dyDescent="0.2">
      <c r="A9" s="2332"/>
      <c r="B9" s="2302"/>
      <c r="C9" s="579" t="s">
        <v>490</v>
      </c>
      <c r="D9" s="586">
        <f>+'DATOS PARA DEPURAR'!D118</f>
        <v>0</v>
      </c>
      <c r="E9" s="2303"/>
      <c r="F9" s="2303"/>
    </row>
    <row r="10" spans="1:6" ht="17.25" customHeight="1" x14ac:dyDescent="0.25">
      <c r="A10" s="2332"/>
      <c r="B10" s="947" t="s">
        <v>716</v>
      </c>
      <c r="C10" s="947"/>
      <c r="D10" s="947"/>
      <c r="E10" s="862">
        <v>71</v>
      </c>
      <c r="F10" s="955">
        <f>IF((F4-F7)&gt;0,F4-F7,0)</f>
        <v>0</v>
      </c>
    </row>
    <row r="11" spans="1:6" ht="15.75" customHeight="1" x14ac:dyDescent="0.25">
      <c r="A11" s="2332"/>
      <c r="B11" s="2304" t="s">
        <v>492</v>
      </c>
      <c r="C11" s="2304"/>
      <c r="D11" s="2304"/>
      <c r="E11" s="862">
        <v>72</v>
      </c>
      <c r="F11" s="956">
        <f>IF((D12+D17)&lt;=(F10),D12+D17,F10)</f>
        <v>0</v>
      </c>
    </row>
    <row r="12" spans="1:6" ht="18" customHeight="1" x14ac:dyDescent="0.25">
      <c r="A12" s="2332"/>
      <c r="C12" s="559" t="s">
        <v>493</v>
      </c>
      <c r="D12" s="578">
        <v>0</v>
      </c>
      <c r="E12" s="2374"/>
      <c r="F12" s="2374"/>
    </row>
    <row r="13" spans="1:6" ht="19.5" customHeight="1" x14ac:dyDescent="0.2">
      <c r="A13" s="2332"/>
      <c r="B13" s="2336"/>
      <c r="C13" s="2372" t="s">
        <v>516</v>
      </c>
      <c r="D13" s="2372"/>
      <c r="E13" s="2374"/>
      <c r="F13" s="2374"/>
    </row>
    <row r="14" spans="1:6" ht="13.5" customHeight="1" x14ac:dyDescent="0.2">
      <c r="A14" s="2332"/>
      <c r="B14" s="2336"/>
      <c r="C14" s="2372"/>
      <c r="D14" s="2372"/>
      <c r="E14" s="2374"/>
      <c r="F14" s="2374"/>
    </row>
    <row r="15" spans="1:6" ht="13.5" customHeight="1" x14ac:dyDescent="0.2">
      <c r="A15" s="2332"/>
      <c r="B15" s="2336"/>
      <c r="C15" s="2372"/>
      <c r="D15" s="2372"/>
      <c r="E15" s="2374"/>
      <c r="F15" s="2374"/>
    </row>
    <row r="16" spans="1:6" ht="32.25" customHeight="1" x14ac:dyDescent="0.2">
      <c r="A16" s="2332"/>
      <c r="B16" s="564"/>
      <c r="C16" s="2372"/>
      <c r="D16" s="2372"/>
      <c r="E16" s="2374"/>
      <c r="F16" s="2374"/>
    </row>
    <row r="17" spans="1:6" ht="18.75" customHeight="1" x14ac:dyDescent="0.25">
      <c r="A17" s="2332"/>
      <c r="C17" s="559" t="s">
        <v>515</v>
      </c>
      <c r="D17" s="565">
        <f>SUM(D18:D19)</f>
        <v>0</v>
      </c>
      <c r="E17" s="2374"/>
      <c r="F17" s="2374"/>
    </row>
    <row r="18" spans="1:6" ht="22.5" x14ac:dyDescent="0.2">
      <c r="A18" s="2332"/>
      <c r="B18" s="564"/>
      <c r="C18" s="563" t="s">
        <v>189</v>
      </c>
      <c r="D18" s="807">
        <f>+'DATOS PARA DEPURAR'!E270</f>
        <v>0</v>
      </c>
      <c r="E18" s="2374"/>
      <c r="F18" s="2374"/>
    </row>
    <row r="19" spans="1:6" ht="35.25" x14ac:dyDescent="0.2">
      <c r="A19" s="2332"/>
      <c r="B19" s="564"/>
      <c r="C19" s="563" t="s">
        <v>521</v>
      </c>
      <c r="D19" s="803"/>
      <c r="E19" s="2374"/>
      <c r="F19" s="2374"/>
    </row>
    <row r="20" spans="1:6" x14ac:dyDescent="0.2">
      <c r="A20" s="2332"/>
      <c r="B20" s="564"/>
      <c r="C20" s="566"/>
      <c r="E20" s="2374"/>
      <c r="F20" s="2374"/>
    </row>
    <row r="21" spans="1:6" ht="32.25" customHeight="1" x14ac:dyDescent="0.2">
      <c r="A21" s="2332"/>
      <c r="B21" s="2373" t="s">
        <v>717</v>
      </c>
      <c r="C21" s="2373"/>
      <c r="D21" s="2373"/>
      <c r="E21" s="950">
        <v>73</v>
      </c>
      <c r="F21" s="955">
        <f>IF((F10-F11)&gt;0,F10-F11,0)</f>
        <v>0</v>
      </c>
    </row>
    <row r="22" spans="1:6" ht="16.5" customHeight="1" x14ac:dyDescent="0.2"/>
  </sheetData>
  <sheetProtection algorithmName="SHA-512" hashValue="hBWwMiayun9O4PHTSms8lTKAHQZZzd9tXs59jAgFQ9vS55XjBVsnAay9Vnz4IZDOo2y+9t/uDEwh6Dxr3OpAqg==" saltValue="6A5Ik/ExlxPA1dDACV7VBg==" spinCount="100000" sheet="1" objects="1" scenarios="1"/>
  <mergeCells count="15">
    <mergeCell ref="A1:F1"/>
    <mergeCell ref="A2:B2"/>
    <mergeCell ref="E2:F2"/>
    <mergeCell ref="A3:F3"/>
    <mergeCell ref="A4:A21"/>
    <mergeCell ref="B4:D4"/>
    <mergeCell ref="B5:B6"/>
    <mergeCell ref="E5:E6"/>
    <mergeCell ref="B8:B9"/>
    <mergeCell ref="C13:D16"/>
    <mergeCell ref="B21:D21"/>
    <mergeCell ref="E8:F9"/>
    <mergeCell ref="B11:D11"/>
    <mergeCell ref="E12:F20"/>
    <mergeCell ref="B13:B15"/>
  </mergeCells>
  <pageMargins left="0.11811023622047245" right="0.11811023622047245" top="0.15748031496062992" bottom="0.15748031496062992" header="0.31496062992125984" footer="0.31496062992125984"/>
  <pageSetup scale="95"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tabColor rgb="FFFFFF00"/>
  </sheetPr>
  <dimension ref="A1:BP213"/>
  <sheetViews>
    <sheetView view="pageBreakPreview" topLeftCell="A28" zoomScaleNormal="100" zoomScaleSheetLayoutView="100" workbookViewId="0">
      <selection activeCell="BR18" sqref="BR18"/>
    </sheetView>
  </sheetViews>
  <sheetFormatPr baseColWidth="10" defaultRowHeight="12.75" x14ac:dyDescent="0.2"/>
  <cols>
    <col min="1" max="1" width="8.5703125" customWidth="1"/>
    <col min="2" max="2" width="46" customWidth="1"/>
    <col min="3" max="3" width="14.5703125" customWidth="1"/>
    <col min="4" max="4" width="10.7109375" customWidth="1"/>
    <col min="5" max="5" width="13.28515625" customWidth="1"/>
    <col min="6" max="6" width="63.7109375" hidden="1" customWidth="1"/>
    <col min="7" max="7" width="17.7109375" hidden="1" customWidth="1"/>
    <col min="8" max="8" width="62.7109375" hidden="1" customWidth="1"/>
    <col min="9" max="9" width="27" hidden="1" customWidth="1"/>
    <col min="10" max="10" width="12" hidden="1" customWidth="1"/>
    <col min="11" max="11" width="10" hidden="1" customWidth="1"/>
    <col min="12" max="12" width="67.28515625" hidden="1" customWidth="1"/>
    <col min="13" max="13" width="12" hidden="1" customWidth="1"/>
    <col min="14" max="14" width="8" hidden="1" customWidth="1"/>
    <col min="15" max="15" width="17.7109375" hidden="1" customWidth="1"/>
    <col min="16" max="16" width="5.7109375" hidden="1" customWidth="1"/>
    <col min="17" max="17" width="71.42578125" hidden="1" customWidth="1"/>
    <col min="18" max="18" width="37.5703125" hidden="1" customWidth="1"/>
    <col min="19" max="19" width="13.28515625" hidden="1" customWidth="1"/>
    <col min="20" max="20" width="2" hidden="1" customWidth="1"/>
    <col min="21" max="21" width="0.140625" hidden="1" customWidth="1"/>
    <col min="22" max="22" width="8.85546875" hidden="1" customWidth="1"/>
    <col min="23" max="23" width="11" hidden="1" customWidth="1"/>
    <col min="24" max="24" width="9.7109375" hidden="1" customWidth="1"/>
    <col min="25" max="25" width="2" hidden="1" customWidth="1"/>
    <col min="26" max="26" width="11.42578125" hidden="1" customWidth="1"/>
    <col min="27" max="27" width="16.28515625" hidden="1" customWidth="1"/>
    <col min="28" max="28" width="11" hidden="1" customWidth="1"/>
    <col min="29" max="29" width="0.140625" hidden="1" customWidth="1"/>
    <col min="30" max="30" width="2" hidden="1" customWidth="1"/>
    <col min="31" max="31" width="5.140625" hidden="1" customWidth="1"/>
    <col min="32" max="32" width="13.7109375" hidden="1" customWidth="1"/>
    <col min="33" max="33" width="12" hidden="1" customWidth="1"/>
    <col min="34" max="34" width="3.42578125" hidden="1" customWidth="1"/>
    <col min="35" max="35" width="7.5703125" hidden="1" customWidth="1"/>
    <col min="36" max="36" width="13.7109375" hidden="1" customWidth="1"/>
    <col min="37" max="39" width="0.140625" hidden="1" customWidth="1"/>
    <col min="40" max="40" width="2.140625" hidden="1" customWidth="1"/>
    <col min="41" max="49" width="0.140625" hidden="1" customWidth="1"/>
    <col min="50" max="50" width="8.140625" hidden="1" customWidth="1"/>
    <col min="51" max="51" width="7.5703125" hidden="1" customWidth="1"/>
    <col min="52" max="52" width="6.85546875" hidden="1" customWidth="1"/>
    <col min="53" max="53" width="11.28515625" hidden="1" customWidth="1"/>
    <col min="54" max="61" width="0.140625" hidden="1" customWidth="1"/>
    <col min="62" max="68" width="12.85546875" hidden="1" customWidth="1"/>
    <col min="69" max="173" width="12.85546875" customWidth="1"/>
    <col min="174" max="179" width="11.42578125" customWidth="1"/>
    <col min="254" max="255" width="11.42578125" customWidth="1"/>
  </cols>
  <sheetData>
    <row r="1" spans="1:53" ht="20.25" customHeight="1" x14ac:dyDescent="0.2">
      <c r="A1" s="148" t="s">
        <v>191</v>
      </c>
      <c r="B1" s="74"/>
      <c r="C1" s="149" t="s">
        <v>0</v>
      </c>
      <c r="D1" s="133"/>
      <c r="E1" s="75"/>
      <c r="H1" s="39" t="s">
        <v>393</v>
      </c>
      <c r="L1" s="1228" t="s">
        <v>3</v>
      </c>
      <c r="M1" s="1229"/>
      <c r="N1" s="145" t="s">
        <v>46</v>
      </c>
      <c r="O1" s="38">
        <f>+'DATOS PARA DEPURAR'!E28</f>
        <v>70467529</v>
      </c>
      <c r="AX1" s="47" t="e">
        <f>+#REF!/'DATOS PARA DEPURAR'!C23</f>
        <v>#REF!</v>
      </c>
    </row>
    <row r="2" spans="1:53" ht="21" customHeight="1" thickBot="1" x14ac:dyDescent="0.35">
      <c r="A2" s="49"/>
      <c r="B2" s="125" t="str">
        <f>+'DATOS PARA DEPURAR'!C7</f>
        <v>OJEDA RIOJAS DAVID MATEO</v>
      </c>
      <c r="C2" s="1230">
        <f>+'DATOS PARA DEPURAR'!C5</f>
        <v>2021</v>
      </c>
      <c r="D2" s="1231"/>
      <c r="E2" s="1232"/>
      <c r="H2" s="39" t="s">
        <v>394</v>
      </c>
      <c r="I2">
        <f>IF((F10)&gt;=1400*('DATOS PARA DEPURAR'!C23),F10,0)</f>
        <v>145714603</v>
      </c>
      <c r="J2">
        <f>IF((F10)&lt;27000*('DATOS PARA DEPURAR'!C23),F10,0)</f>
        <v>145714603</v>
      </c>
      <c r="L2" s="1233" t="s">
        <v>323</v>
      </c>
      <c r="M2" s="1234"/>
      <c r="N2" s="146" t="s">
        <v>47</v>
      </c>
      <c r="O2" s="33">
        <f>+'DATOS PARA DEPURAR'!E30</f>
        <v>35807511</v>
      </c>
      <c r="AX2" s="44">
        <v>0</v>
      </c>
      <c r="AY2" s="44">
        <f>+AX3-0.01</f>
        <v>128.95000000000002</v>
      </c>
      <c r="AZ2" s="44">
        <v>0</v>
      </c>
    </row>
    <row r="3" spans="1:53" ht="24" customHeight="1" thickBot="1" x14ac:dyDescent="0.25">
      <c r="A3" s="76" t="s">
        <v>360</v>
      </c>
      <c r="B3" s="77">
        <f>+'DATOS PARA DEPURAR'!E7</f>
        <v>18927495</v>
      </c>
      <c r="C3" s="1235" t="s">
        <v>386</v>
      </c>
      <c r="D3" s="1236"/>
      <c r="E3" s="1237"/>
      <c r="F3">
        <f>+'PATRIMONIO BRUTO'!F91</f>
        <v>32262993</v>
      </c>
      <c r="H3" s="39" t="s">
        <v>398</v>
      </c>
      <c r="I3">
        <f>IF((F23)&lt;(27000*'DATOS PARA DEPURAR'!C23),('IMAS TRABAJADOR POR CTA PROPIA'!F10),0)</f>
        <v>145714603</v>
      </c>
      <c r="L3" s="1233" t="s">
        <v>324</v>
      </c>
      <c r="M3" s="1234"/>
      <c r="N3" s="146" t="s">
        <v>47</v>
      </c>
      <c r="O3" s="33">
        <f>+'DATOS PARA DEPURAR'!E31</f>
        <v>0</v>
      </c>
      <c r="AX3" s="44">
        <v>128.96</v>
      </c>
      <c r="AY3" s="44">
        <f>+AX5-0.01</f>
        <v>132.35000000000002</v>
      </c>
      <c r="AZ3" s="44">
        <v>0.09</v>
      </c>
      <c r="BA3" s="1">
        <f>+AZ3*'DATOS PARA DEPURAR'!$C$23</f>
        <v>3267.72</v>
      </c>
    </row>
    <row r="4" spans="1:53" ht="16.5" customHeight="1" x14ac:dyDescent="0.2">
      <c r="A4" s="546">
        <v>27</v>
      </c>
      <c r="B4" s="1211" t="s">
        <v>396</v>
      </c>
      <c r="C4" s="1211"/>
      <c r="D4" s="1211"/>
      <c r="E4" s="547">
        <f>IF(($E$7)&gt;(0),F3,0)</f>
        <v>0</v>
      </c>
      <c r="F4">
        <f>+'PATRIMONIO BRUTO'!F133</f>
        <v>0</v>
      </c>
      <c r="G4">
        <f>IF(('DATOS PARA DEPURAR'!E108)="S",'IMAS TRABAJADOR POR CTA PROPIA'!K20,0)</f>
        <v>0</v>
      </c>
      <c r="H4" s="39" t="s">
        <v>395</v>
      </c>
      <c r="I4">
        <f>IF(('DATOS PARA DEPURAR'!E19)&lt;(12000*'DATOS PARA DEPURAR'!C23),('IMAS TRABAJADOR POR CTA PROPIA'!F10),0)</f>
        <v>145714603</v>
      </c>
      <c r="L4" s="366"/>
      <c r="M4" s="367"/>
      <c r="N4" s="146"/>
      <c r="O4" s="33"/>
      <c r="AX4" s="44"/>
      <c r="AY4" s="44"/>
      <c r="AZ4" s="44"/>
      <c r="BA4" s="1"/>
    </row>
    <row r="5" spans="1:53" ht="18" customHeight="1" x14ac:dyDescent="0.2">
      <c r="A5" s="395">
        <v>28</v>
      </c>
      <c r="B5" s="394" t="s">
        <v>111</v>
      </c>
      <c r="C5" s="130"/>
      <c r="D5" s="130"/>
      <c r="E5" s="396">
        <f>IF(($E$7)&gt;(0),F4,0)</f>
        <v>0</v>
      </c>
      <c r="F5">
        <f>+F3-F4</f>
        <v>32262993</v>
      </c>
      <c r="I5">
        <f>+I2-J2</f>
        <v>0</v>
      </c>
      <c r="J5">
        <f>+I4-I3</f>
        <v>0</v>
      </c>
      <c r="L5" s="1233" t="s">
        <v>4</v>
      </c>
      <c r="M5" s="1234"/>
      <c r="N5" s="146" t="s">
        <v>47</v>
      </c>
      <c r="O5" s="33">
        <f>+'DATOS PARA DEPURAR'!E32</f>
        <v>0</v>
      </c>
      <c r="AX5" s="44">
        <v>132.36000000000001</v>
      </c>
      <c r="AY5" s="44">
        <f>+AX7-0.01</f>
        <v>135.74</v>
      </c>
      <c r="AZ5" s="44">
        <v>0.09</v>
      </c>
      <c r="BA5" s="1">
        <f>+AZ5*'DATOS PARA DEPURAR'!$C$23</f>
        <v>3267.72</v>
      </c>
    </row>
    <row r="6" spans="1:53" ht="18" customHeight="1" thickBot="1" x14ac:dyDescent="0.25">
      <c r="A6" s="548">
        <v>29</v>
      </c>
      <c r="B6" s="1238" t="s">
        <v>397</v>
      </c>
      <c r="C6" s="1238"/>
      <c r="D6" s="1239"/>
      <c r="E6" s="547">
        <f>IF(($E$7)&gt;(0),F5,0)</f>
        <v>0</v>
      </c>
      <c r="F6">
        <f>+G4</f>
        <v>0</v>
      </c>
      <c r="L6" s="366"/>
      <c r="M6" s="367"/>
      <c r="N6" s="146"/>
      <c r="O6" s="33"/>
      <c r="AX6" s="44"/>
      <c r="AY6" s="44"/>
      <c r="AZ6" s="44"/>
      <c r="BA6" s="1"/>
    </row>
    <row r="7" spans="1:53" x14ac:dyDescent="0.2">
      <c r="A7" s="140">
        <v>30</v>
      </c>
      <c r="B7" s="401" t="s">
        <v>387</v>
      </c>
      <c r="C7" s="131"/>
      <c r="D7" s="131"/>
      <c r="E7" s="379">
        <f>IF(SUM(I5:J5)=0,G4,0)</f>
        <v>0</v>
      </c>
      <c r="F7" s="391">
        <f>+G7</f>
        <v>145714603</v>
      </c>
      <c r="G7" s="87">
        <f>+H7-G4</f>
        <v>145714603</v>
      </c>
      <c r="H7">
        <f>'DATOS PARA DEPURAR'!E46+'DATOS PARA DEPURAR'!E55+'DATOS PARA DEPURAR'!E95-SUM('DATOS PARA DEPURAR'!E60:E68)-SUM('DATOS PARA DEPURAR'!E73:E76)+I7+J7-'DATOS PARA DEPURAR'!E43</f>
        <v>145714603</v>
      </c>
      <c r="I7">
        <f>IF(('DATOS PARA DEPURAR'!D62)="N",'DATOS PARA DEPURAR'!E62,0)</f>
        <v>0</v>
      </c>
      <c r="J7">
        <f>IF(('DATOS PARA DEPURAR'!D60)="N",'DATOS PARA DEPURAR'!E60,0)</f>
        <v>0</v>
      </c>
      <c r="L7" s="1221" t="s">
        <v>330</v>
      </c>
      <c r="M7" s="1222"/>
      <c r="N7" s="146" t="s">
        <v>47</v>
      </c>
      <c r="O7" s="33">
        <f>+'DATOS PARA DEPURAR'!E33</f>
        <v>0</v>
      </c>
      <c r="AX7" s="44">
        <v>135.75</v>
      </c>
      <c r="AY7" s="44" t="e">
        <f>+#REF!-0.01</f>
        <v>#REF!</v>
      </c>
      <c r="AZ7" s="44">
        <v>0.09</v>
      </c>
      <c r="BA7" s="1">
        <f>+AZ7*'DATOS PARA DEPURAR'!$C$23</f>
        <v>3267.72</v>
      </c>
    </row>
    <row r="8" spans="1:53" ht="15.75" customHeight="1" thickBot="1" x14ac:dyDescent="0.25">
      <c r="A8" s="545">
        <f t="shared" ref="A8:A20" si="0">+A7+1</f>
        <v>31</v>
      </c>
      <c r="B8" s="1223" t="s">
        <v>392</v>
      </c>
      <c r="C8" s="1224"/>
      <c r="D8" s="1225"/>
      <c r="E8" s="549">
        <f>IF((E7)&gt;0,G7,0)</f>
        <v>0</v>
      </c>
      <c r="G8" s="375">
        <f>IF('DATOS PARA DEPURAR'!E103="S",('DATOS PARA DEPURAR'!E95+'DATOS PARA DEPURAR'!E55-SUM('DATOS PARA DEPURAR'!E60:E68)-SUM('DATOS PARA DEPURAR'!E73:E76)+G16+G17),0)</f>
        <v>0</v>
      </c>
      <c r="L8" s="1226" t="s">
        <v>19</v>
      </c>
      <c r="M8" s="1227"/>
      <c r="N8" s="146" t="s">
        <v>47</v>
      </c>
      <c r="O8" s="33">
        <f>+'DATOS PARA DEPURAR'!E41</f>
        <v>0</v>
      </c>
      <c r="Q8" s="59" t="e">
        <f>IF(N1="N",O1)+IF(N2="N",O2)+IF(N3="N",O3)+IF(N5="N",O5)+IF(N7="N",O7)+IF(#REF!="N",#REF!)+IF(#REF!="N",#REF!)+IF(#REF!="N",#REF!)+IF(N8="N",O8)+IF(N12="N",O12)+IF(N13="N",O13)+IF(N14="N",O14)+IF(N16="N",O16)</f>
        <v>#REF!</v>
      </c>
      <c r="AX8" s="44">
        <v>149.32</v>
      </c>
      <c r="AY8" s="44">
        <f>+AX12-0.01</f>
        <v>152.71</v>
      </c>
      <c r="AZ8" s="44">
        <v>0.2</v>
      </c>
      <c r="BA8" s="1">
        <f>+AZ8*'DATOS PARA DEPURAR'!$C$23</f>
        <v>7261.6</v>
      </c>
    </row>
    <row r="9" spans="1:53" ht="15.75" customHeight="1" x14ac:dyDescent="0.2">
      <c r="A9" s="502">
        <f t="shared" si="0"/>
        <v>32</v>
      </c>
      <c r="B9" s="503" t="s">
        <v>465</v>
      </c>
      <c r="C9" s="503"/>
      <c r="D9" s="504"/>
      <c r="E9" s="505">
        <f>IF(E7&gt;0,G9,0)</f>
        <v>0</v>
      </c>
      <c r="G9" s="380">
        <f>'DATOS PARA DEPURAR'!E43</f>
        <v>0</v>
      </c>
      <c r="L9" s="381"/>
      <c r="M9" s="382"/>
      <c r="N9" s="383"/>
      <c r="O9" s="384"/>
      <c r="Q9" s="380"/>
      <c r="AX9" s="44"/>
      <c r="AY9" s="44"/>
      <c r="AZ9" s="44"/>
      <c r="BA9" s="1"/>
    </row>
    <row r="10" spans="1:53" s="385" customFormat="1" ht="17.25" customHeight="1" x14ac:dyDescent="0.2">
      <c r="A10" s="545">
        <f>+A9+1</f>
        <v>33</v>
      </c>
      <c r="B10" s="550" t="s">
        <v>391</v>
      </c>
      <c r="C10" s="550"/>
      <c r="D10" s="551"/>
      <c r="E10" s="549">
        <f>+E7+E8</f>
        <v>0</v>
      </c>
      <c r="F10" s="393">
        <f>+F6+F7</f>
        <v>145714603</v>
      </c>
      <c r="G10" s="380"/>
      <c r="L10" s="386"/>
      <c r="M10" s="387"/>
      <c r="N10" s="388"/>
      <c r="O10" s="389"/>
      <c r="Q10" s="380"/>
      <c r="AX10" s="107"/>
      <c r="AY10" s="107"/>
      <c r="AZ10" s="107"/>
      <c r="BA10" s="390"/>
    </row>
    <row r="11" spans="1:53" ht="15.75" customHeight="1" x14ac:dyDescent="0.2">
      <c r="A11" s="502">
        <f t="shared" si="0"/>
        <v>34</v>
      </c>
      <c r="B11" s="503" t="s">
        <v>389</v>
      </c>
      <c r="C11" s="503"/>
      <c r="D11" s="504"/>
      <c r="E11" s="505">
        <f>IF(E10&gt;0,'DATOS PARA DEPURAR'!E96,0)</f>
        <v>0</v>
      </c>
      <c r="G11" s="380"/>
      <c r="L11" s="381"/>
      <c r="M11" s="382"/>
      <c r="N11" s="383"/>
      <c r="O11" s="384"/>
      <c r="Q11" s="380"/>
      <c r="AX11" s="44"/>
      <c r="AY11" s="44"/>
      <c r="AZ11" s="44"/>
      <c r="BA11" s="1"/>
    </row>
    <row r="12" spans="1:53" s="89" customFormat="1" ht="13.5" thickBot="1" x14ac:dyDescent="0.25">
      <c r="A12" s="545">
        <f t="shared" si="0"/>
        <v>35</v>
      </c>
      <c r="B12" s="1211" t="s">
        <v>390</v>
      </c>
      <c r="C12" s="1211"/>
      <c r="D12" s="1240"/>
      <c r="E12" s="552">
        <f>+E10-E11</f>
        <v>0</v>
      </c>
      <c r="F12" s="392">
        <f>+F6+F7-F11</f>
        <v>145714603</v>
      </c>
      <c r="G12" s="2">
        <f>SUM(G7:G8)</f>
        <v>145714603</v>
      </c>
      <c r="L12" s="1241" t="s">
        <v>44</v>
      </c>
      <c r="M12" s="1242"/>
      <c r="N12" s="144" t="s">
        <v>47</v>
      </c>
      <c r="O12" s="90">
        <f>+'DATOS PARA DEPURAR'!E34</f>
        <v>0</v>
      </c>
      <c r="P12" s="89">
        <f>IF(O12&lt;=O1*0.5,O12,O1*0.5)</f>
        <v>0</v>
      </c>
      <c r="Q12" s="89">
        <f>+'DATOS PARA DEPURAR'!E24</f>
        <v>38004</v>
      </c>
      <c r="AX12" s="91">
        <v>152.72</v>
      </c>
      <c r="AY12" s="91">
        <f t="shared" ref="AY12:AY104" si="1">+AX13-0.01</f>
        <v>156.10000000000002</v>
      </c>
      <c r="AZ12" s="91">
        <v>0.21</v>
      </c>
      <c r="BA12" s="87">
        <f>+AZ12*'DATOS PARA DEPURAR'!$C$23</f>
        <v>7624.6799999999994</v>
      </c>
    </row>
    <row r="13" spans="1:53" s="89" customFormat="1" x14ac:dyDescent="0.2">
      <c r="A13" s="502">
        <f t="shared" si="0"/>
        <v>36</v>
      </c>
      <c r="B13" s="1220" t="s">
        <v>58</v>
      </c>
      <c r="C13" s="1220"/>
      <c r="D13" s="1220"/>
      <c r="E13" s="505">
        <f>IF(E12&gt;0,'DATOS PARA DEPURAR'!E128,0)</f>
        <v>0</v>
      </c>
      <c r="F13" s="378">
        <f>+'DATOS PARA DEPURAR'!E128</f>
        <v>0</v>
      </c>
      <c r="H13" s="87" t="str">
        <f>+'DATOS PARA DEPURAR'!B87</f>
        <v>COMERCIO AL POR MENOR Y AL POR MAYOR</v>
      </c>
      <c r="I13" s="376">
        <f>+'DATOS PARA DEPURAR'!D106</f>
        <v>0</v>
      </c>
      <c r="J13">
        <f>+'DATOS PARA DEPURAR'!E87</f>
        <v>0</v>
      </c>
      <c r="K13">
        <f t="shared" ref="K13:K19" si="2">IF((I13)&gt;=(80%),J13,0)</f>
        <v>0</v>
      </c>
      <c r="L13" t="s">
        <v>45</v>
      </c>
      <c r="M13"/>
      <c r="N13" s="110" t="s">
        <v>47</v>
      </c>
      <c r="O13" s="1">
        <f>+'DATOS PARA DEPURAR'!E37</f>
        <v>0</v>
      </c>
      <c r="Q13" s="92">
        <f>+'DATOS PARA DEPURAR'!D255</f>
        <v>0</v>
      </c>
      <c r="AX13" s="91">
        <v>156.11000000000001</v>
      </c>
      <c r="AY13" s="91">
        <f t="shared" si="1"/>
        <v>159.5</v>
      </c>
      <c r="AZ13" s="91">
        <v>0.4</v>
      </c>
      <c r="BA13" s="87">
        <f>+AZ13*'DATOS PARA DEPURAR'!$C$23</f>
        <v>14523.2</v>
      </c>
    </row>
    <row r="14" spans="1:53" s="89" customFormat="1" ht="15" customHeight="1" x14ac:dyDescent="0.2">
      <c r="A14" s="545">
        <f t="shared" si="0"/>
        <v>37</v>
      </c>
      <c r="B14" s="1216" t="s">
        <v>59</v>
      </c>
      <c r="C14" s="1216"/>
      <c r="D14" s="1216"/>
      <c r="E14" s="553">
        <f>IF(E12&gt;0,'DATOS PARA DEPURAR'!C84,0)</f>
        <v>0</v>
      </c>
      <c r="F14">
        <f>+'DATOS PARA DEPURAR'!C84</f>
        <v>0</v>
      </c>
      <c r="H14" s="87" t="str">
        <f>+'DATOS PARA DEPURAR'!B88</f>
        <v>SERVICIOS DE HOTELES, RESTAURANTES Y SIMILARES</v>
      </c>
      <c r="I14" s="376">
        <f>+'DATOS PARA DEPURAR'!D107</f>
        <v>0</v>
      </c>
      <c r="J14">
        <f>+'DATOS PARA DEPURAR'!E88</f>
        <v>0</v>
      </c>
      <c r="K14">
        <f t="shared" si="2"/>
        <v>0</v>
      </c>
      <c r="L14" s="356" t="s">
        <v>187</v>
      </c>
      <c r="M14" s="356"/>
      <c r="N14" s="110" t="s">
        <v>47</v>
      </c>
      <c r="O14" s="1">
        <f>+'DATOS PARA DEPURAR'!E42</f>
        <v>9439563</v>
      </c>
      <c r="AX14" s="91">
        <v>159.51</v>
      </c>
      <c r="AY14" s="91">
        <f>+AX16-0.01</f>
        <v>162.89000000000001</v>
      </c>
      <c r="AZ14" s="91">
        <v>0.41</v>
      </c>
      <c r="BA14" s="87">
        <f>+AZ14*'DATOS PARA DEPURAR'!$C$23</f>
        <v>14886.279999999999</v>
      </c>
    </row>
    <row r="15" spans="1:53" s="89" customFormat="1" ht="15" customHeight="1" x14ac:dyDescent="0.2">
      <c r="A15" s="539">
        <f t="shared" si="0"/>
        <v>38</v>
      </c>
      <c r="B15" s="540" t="s">
        <v>483</v>
      </c>
      <c r="C15" s="540"/>
      <c r="D15" s="540"/>
      <c r="E15" s="541">
        <f>IF(E12&gt;0,'DATOS PARA DEPURAR'!D255+'DATOS PARA DEPURAR'!D256+'DATOS PARA DEPURAR'!E227+'DATOS PARA DEPURAR'!E226,0)</f>
        <v>0</v>
      </c>
      <c r="F15" s="2">
        <f>IF(F12&gt;0,'DATOS PARA DEPURAR'!D255+'DATOS PARA DEPURAR'!D256+'DATOS PARA DEPURAR'!E227+'DATOS PARA DEPURAR'!E226,0)</f>
        <v>0</v>
      </c>
      <c r="H15" s="87"/>
      <c r="I15" s="376"/>
      <c r="J15"/>
      <c r="K15"/>
      <c r="L15" s="538"/>
      <c r="M15" s="538"/>
      <c r="N15" s="110"/>
      <c r="O15" s="1"/>
      <c r="AX15" s="91"/>
      <c r="AY15" s="91"/>
      <c r="AZ15" s="91"/>
      <c r="BA15" s="87"/>
    </row>
    <row r="16" spans="1:53" ht="12.75" customHeight="1" x14ac:dyDescent="0.2">
      <c r="A16" s="545">
        <f t="shared" si="0"/>
        <v>39</v>
      </c>
      <c r="B16" s="1216" t="s">
        <v>69</v>
      </c>
      <c r="C16" s="1216"/>
      <c r="D16" s="1216"/>
      <c r="E16" s="553">
        <f>IF(E12&gt;0,F16,0)</f>
        <v>0</v>
      </c>
      <c r="F16">
        <f>+'DEPURACION ORDINARIO 2017'!K14</f>
        <v>0</v>
      </c>
      <c r="G16">
        <f>IF(('DATOS PARA DEPURAR'!D60)="N",'DATOS PARA DEPURAR'!E60,0)</f>
        <v>0</v>
      </c>
      <c r="H16" s="87" t="str">
        <f>+'DATOS PARA DEPURAR'!B89</f>
        <v>AGRICULTURA, SILVICULTURA Y PESCA</v>
      </c>
      <c r="I16" s="376">
        <f>+'DATOS PARA DEPURAR'!D108</f>
        <v>0</v>
      </c>
      <c r="J16">
        <f>+'DATOS PARA DEPURAR'!E89</f>
        <v>0</v>
      </c>
      <c r="K16">
        <f t="shared" si="2"/>
        <v>0</v>
      </c>
      <c r="L16" s="1217"/>
      <c r="M16" s="1217"/>
      <c r="N16" s="110"/>
      <c r="O16" s="1"/>
      <c r="Q16" s="70">
        <f>+'DATOS PARA DEPURAR'!E227</f>
        <v>0</v>
      </c>
      <c r="AX16" s="44">
        <v>162.9</v>
      </c>
      <c r="AY16" s="44">
        <f t="shared" si="1"/>
        <v>166.28</v>
      </c>
      <c r="AZ16" s="44">
        <v>0.41</v>
      </c>
      <c r="BA16" s="1">
        <f>+AZ16*'DATOS PARA DEPURAR'!$C$23</f>
        <v>14886.279999999999</v>
      </c>
    </row>
    <row r="17" spans="1:53" ht="16.5" customHeight="1" x14ac:dyDescent="0.2">
      <c r="A17" s="142">
        <f t="shared" si="0"/>
        <v>40</v>
      </c>
      <c r="B17" s="1218" t="s">
        <v>62</v>
      </c>
      <c r="C17" s="1218"/>
      <c r="D17" s="1218"/>
      <c r="E17" s="541">
        <f>IF(E12&gt;0,'DATOS PARA DEPURAR'!E216,0)</f>
        <v>0</v>
      </c>
      <c r="F17">
        <f>+'DATOS PARA DEPURAR'!E216</f>
        <v>0</v>
      </c>
      <c r="G17">
        <f>IF(('DATOS PARA DEPURAR'!D62)="N",'DATOS PARA DEPURAR'!E62,0)</f>
        <v>0</v>
      </c>
      <c r="H17" s="87" t="str">
        <f>+'DATOS PARA DEPURAR'!B90</f>
        <v>ACTIVIDAD GANADERA</v>
      </c>
      <c r="I17" s="376">
        <f>+'DATOS PARA DEPURAR'!D109</f>
        <v>0</v>
      </c>
      <c r="J17">
        <f>+'DATOS PARA DEPURAR'!E90</f>
        <v>0</v>
      </c>
      <c r="K17">
        <f t="shared" si="2"/>
        <v>0</v>
      </c>
      <c r="AX17" s="44">
        <v>166.29</v>
      </c>
      <c r="AY17" s="44">
        <f t="shared" si="1"/>
        <v>169.68</v>
      </c>
      <c r="AZ17" s="44">
        <v>0.7</v>
      </c>
      <c r="BA17" s="1">
        <f>+AZ17*'DATOS PARA DEPURAR'!$C$23</f>
        <v>25415.599999999999</v>
      </c>
    </row>
    <row r="18" spans="1:53" ht="16.5" customHeight="1" x14ac:dyDescent="0.2">
      <c r="A18" s="548">
        <f t="shared" si="0"/>
        <v>41</v>
      </c>
      <c r="B18" s="554" t="s">
        <v>63</v>
      </c>
      <c r="C18" s="554"/>
      <c r="D18" s="554"/>
      <c r="E18" s="553">
        <f>IF(E12&gt;0,'DATOS PARA DEPURAR'!E217,0)</f>
        <v>0</v>
      </c>
      <c r="F18">
        <f>+'DATOS PARA DEPURAR'!E217</f>
        <v>0</v>
      </c>
      <c r="H18" s="89" t="s">
        <v>405</v>
      </c>
      <c r="I18" s="376">
        <f>+'DATOS PARA DEPURAR'!D110</f>
        <v>0</v>
      </c>
      <c r="J18">
        <f>+'DATOS PARA DEPURAR'!E91</f>
        <v>0</v>
      </c>
      <c r="K18">
        <f t="shared" si="2"/>
        <v>0</v>
      </c>
      <c r="L18" s="1217"/>
      <c r="M18" s="1217"/>
      <c r="N18" s="104"/>
      <c r="AX18" s="44">
        <v>169.69</v>
      </c>
      <c r="AY18" s="44">
        <f t="shared" si="1"/>
        <v>176.46</v>
      </c>
      <c r="AZ18" s="44">
        <v>0.73</v>
      </c>
      <c r="BA18" s="1">
        <f>+AZ18*'DATOS PARA DEPURAR'!$C$23</f>
        <v>26504.84</v>
      </c>
    </row>
    <row r="19" spans="1:53" ht="16.5" customHeight="1" x14ac:dyDescent="0.2">
      <c r="A19" s="142">
        <f t="shared" si="0"/>
        <v>42</v>
      </c>
      <c r="B19" s="1218" t="s">
        <v>64</v>
      </c>
      <c r="C19" s="1218"/>
      <c r="D19" s="1218"/>
      <c r="E19" s="541">
        <f>IF(E12&gt;0,SUM(L30:L31),0)</f>
        <v>0</v>
      </c>
      <c r="F19">
        <f>+SUM(L30:L31)</f>
        <v>0</v>
      </c>
      <c r="H19" s="403" t="s">
        <v>406</v>
      </c>
      <c r="I19" s="376">
        <f>+'DATOS PARA DEPURAR'!D111</f>
        <v>0</v>
      </c>
      <c r="J19">
        <f>+'DATOS PARA DEPURAR'!E92</f>
        <v>0</v>
      </c>
      <c r="K19">
        <f t="shared" si="2"/>
        <v>0</v>
      </c>
      <c r="AX19" s="44">
        <v>176.47</v>
      </c>
      <c r="AY19" s="44">
        <f t="shared" si="1"/>
        <v>-0.01</v>
      </c>
      <c r="AZ19" s="44">
        <v>1.1499999999999999</v>
      </c>
      <c r="BA19" s="1">
        <f>+AZ19*'DATOS PARA DEPURAR'!$C$23</f>
        <v>41754.199999999997</v>
      </c>
    </row>
    <row r="20" spans="1:53" ht="16.5" customHeight="1" x14ac:dyDescent="0.2">
      <c r="A20" s="548">
        <f t="shared" si="0"/>
        <v>43</v>
      </c>
      <c r="B20" s="1211" t="s">
        <v>65</v>
      </c>
      <c r="C20" s="1211"/>
      <c r="D20" s="1211"/>
      <c r="E20" s="549">
        <f>IF((E12)&gt;0,('DATOS PARA DEPURAR'!E38+'DATOS PARA DEPURAR'!E81),0)</f>
        <v>0</v>
      </c>
      <c r="F20">
        <f>+'DATOS PARA DEPURAR'!E38+'DATOS PARA DEPURAR'!E81</f>
        <v>0</v>
      </c>
      <c r="K20">
        <f>SUM(K13:K19)</f>
        <v>0</v>
      </c>
      <c r="AX20" s="44"/>
      <c r="AY20" s="44"/>
      <c r="AZ20" s="44"/>
      <c r="BA20" s="1"/>
    </row>
    <row r="21" spans="1:53" ht="16.5" customHeight="1" x14ac:dyDescent="0.2">
      <c r="A21" s="1195" t="s">
        <v>361</v>
      </c>
      <c r="B21" s="1196"/>
      <c r="C21" s="1196"/>
      <c r="D21" s="1196"/>
      <c r="E21" s="1197"/>
      <c r="H21" s="377" t="s">
        <v>388</v>
      </c>
      <c r="L21" s="85"/>
      <c r="M21" s="85"/>
      <c r="N21" s="85"/>
      <c r="O21" s="85"/>
      <c r="AX21" s="44"/>
      <c r="AY21" s="44"/>
      <c r="AZ21" s="44"/>
      <c r="BA21" s="1"/>
    </row>
    <row r="22" spans="1:53" ht="16.5" customHeight="1" x14ac:dyDescent="0.2">
      <c r="A22" s="142">
        <f>+A20+1</f>
        <v>44</v>
      </c>
      <c r="B22" s="373" t="s">
        <v>70</v>
      </c>
      <c r="C22" s="373"/>
      <c r="D22" s="373"/>
      <c r="E22" s="541">
        <f>IF((E12)&gt;0,('DATOS PARA DEPURAR'!E77),0)</f>
        <v>0</v>
      </c>
      <c r="F22">
        <f>+'DATOS PARA DEPURAR'!E77</f>
        <v>0</v>
      </c>
      <c r="G22">
        <f>+'DATOS PARA DEPURAR'!E38</f>
        <v>0</v>
      </c>
      <c r="H22" s="87" t="str">
        <f>+H13</f>
        <v>COMERCIO AL POR MENOR Y AL POR MAYOR</v>
      </c>
      <c r="I22" s="39" t="s">
        <v>399</v>
      </c>
      <c r="J22">
        <f>IF((I13)&gt;80%,($F$24-5409)*0.82%,0)</f>
        <v>0</v>
      </c>
      <c r="L22" s="34" t="s">
        <v>20</v>
      </c>
      <c r="M22" s="4"/>
      <c r="N22" s="4" t="str">
        <f>+'DATOS PARA DEPURAR'!D114</f>
        <v>S</v>
      </c>
      <c r="O22" s="12">
        <f>+'DATOS PARA DEPURAR'!E114</f>
        <v>0</v>
      </c>
      <c r="AX22" s="44"/>
      <c r="AY22" s="44"/>
      <c r="AZ22" s="44"/>
      <c r="BA22" s="1"/>
    </row>
    <row r="23" spans="1:53" ht="16.5" customHeight="1" x14ac:dyDescent="0.2">
      <c r="A23" s="548">
        <f t="shared" ref="A23:A40" si="3">+A22+1</f>
        <v>45</v>
      </c>
      <c r="B23" s="1211" t="s">
        <v>71</v>
      </c>
      <c r="C23" s="1211"/>
      <c r="D23" s="1211"/>
      <c r="E23" s="555">
        <f>E12-SUM(E13:E22)</f>
        <v>0</v>
      </c>
      <c r="F23" s="392">
        <f>+F12-SUM(F13:F22)</f>
        <v>145714603</v>
      </c>
      <c r="H23" s="87" t="str">
        <f>+H14</f>
        <v>SERVICIOS DE HOTELES, RESTAURANTES Y SIMILARES</v>
      </c>
      <c r="I23" s="39" t="s">
        <v>400</v>
      </c>
      <c r="J23" s="47">
        <f>IF((I14)&gt;80%,($F$24-3934)*1.55%,0)</f>
        <v>0</v>
      </c>
      <c r="L23" s="34" t="s">
        <v>4</v>
      </c>
      <c r="M23" s="12" t="b">
        <f>IF(N22=1,O22,IF(N22=2,0))</f>
        <v>0</v>
      </c>
      <c r="N23" s="12"/>
      <c r="O23" s="4"/>
      <c r="AX23" s="44"/>
      <c r="AY23" s="44"/>
      <c r="AZ23" s="44"/>
      <c r="BA23" s="1"/>
    </row>
    <row r="24" spans="1:53" ht="16.5" customHeight="1" x14ac:dyDescent="0.2">
      <c r="A24" s="142">
        <f t="shared" si="3"/>
        <v>46</v>
      </c>
      <c r="B24" s="1219" t="s">
        <v>92</v>
      </c>
      <c r="C24" s="1219"/>
      <c r="D24" s="1219"/>
      <c r="E24" s="143">
        <f>IF(E12&gt;0,SUM(M32:M33),0)</f>
        <v>0</v>
      </c>
      <c r="F24">
        <f>+F23/'DATOS PARA DEPURAR'!C23</f>
        <v>4013.2919191362785</v>
      </c>
      <c r="H24" s="87" t="str">
        <f>+H16</f>
        <v>AGRICULTURA, SILVICULTURA Y PESCA</v>
      </c>
      <c r="I24" s="39" t="s">
        <v>401</v>
      </c>
      <c r="J24" s="47">
        <f>IF((I16)&gt;80%,($F$24-7143)*(1.23%),0)</f>
        <v>0</v>
      </c>
      <c r="L24" s="1213"/>
      <c r="M24" s="1214"/>
      <c r="N24" s="1214"/>
      <c r="O24" s="1215"/>
      <c r="AX24" s="44"/>
      <c r="AY24" s="44"/>
      <c r="AZ24" s="44"/>
      <c r="BA24" s="1"/>
    </row>
    <row r="25" spans="1:53" ht="16.5" customHeight="1" x14ac:dyDescent="0.2">
      <c r="A25" s="548">
        <f t="shared" si="3"/>
        <v>47</v>
      </c>
      <c r="B25" s="1211" t="s">
        <v>93</v>
      </c>
      <c r="C25" s="1211"/>
      <c r="D25" s="1211"/>
      <c r="E25" s="555">
        <f>IF(E12&gt;0,SUM(K41:K42),0)</f>
        <v>0</v>
      </c>
      <c r="H25" s="87" t="str">
        <f>+H17</f>
        <v>ACTIVIDAD GANADERA</v>
      </c>
      <c r="I25" s="39" t="s">
        <v>401</v>
      </c>
      <c r="J25" s="47">
        <f>IF((I17)&gt;80%,($F$24-7143)*1.23%,0)</f>
        <v>0</v>
      </c>
      <c r="L25" s="85"/>
      <c r="M25" s="85"/>
      <c r="N25" s="85"/>
      <c r="O25" s="85"/>
      <c r="AX25" s="44"/>
      <c r="AY25" s="44"/>
      <c r="AZ25" s="44"/>
      <c r="BA25" s="1"/>
    </row>
    <row r="26" spans="1:53" ht="17.25" customHeight="1" x14ac:dyDescent="0.2">
      <c r="A26" s="142">
        <f t="shared" si="3"/>
        <v>48</v>
      </c>
      <c r="B26" s="1219" t="s">
        <v>94</v>
      </c>
      <c r="C26" s="1219"/>
      <c r="D26" s="1219"/>
      <c r="E26" s="374">
        <f>IF(E12&gt;0,L43,0)</f>
        <v>0</v>
      </c>
      <c r="H26" s="89" t="s">
        <v>405</v>
      </c>
      <c r="I26" s="39" t="s">
        <v>400</v>
      </c>
      <c r="J26" s="47">
        <f>IF((I18)&gt;80%,($F$24-3934)*1.55%,0)</f>
        <v>0</v>
      </c>
      <c r="L26" s="85"/>
      <c r="M26" s="85"/>
      <c r="N26" s="85"/>
      <c r="O26" s="85"/>
      <c r="AX26" s="44"/>
      <c r="AY26" s="44"/>
      <c r="AZ26" s="44"/>
      <c r="BA26" s="1"/>
    </row>
    <row r="27" spans="1:53" s="51" customFormat="1" ht="16.5" customHeight="1" x14ac:dyDescent="0.2">
      <c r="A27" s="548">
        <f t="shared" si="3"/>
        <v>49</v>
      </c>
      <c r="B27" s="1211" t="s">
        <v>95</v>
      </c>
      <c r="C27" s="1211"/>
      <c r="D27" s="1211"/>
      <c r="E27" s="555">
        <f>+E24-E25-E26</f>
        <v>0</v>
      </c>
      <c r="F27"/>
      <c r="H27" s="403" t="s">
        <v>406</v>
      </c>
      <c r="I27" s="39" t="s">
        <v>407</v>
      </c>
      <c r="J27" s="47">
        <f>IF((I19)&gt;80%,($F$24-4549)*0.95%,0)</f>
        <v>0</v>
      </c>
      <c r="L27" s="82"/>
      <c r="M27" s="83"/>
      <c r="N27" s="1207"/>
      <c r="O27" s="1207"/>
      <c r="Q27" s="84"/>
      <c r="AX27" s="44"/>
      <c r="AY27" s="44"/>
      <c r="AZ27" s="44"/>
      <c r="BA27" s="83"/>
    </row>
    <row r="28" spans="1:53" s="51" customFormat="1" ht="16.5" customHeight="1" x14ac:dyDescent="0.2">
      <c r="A28" s="142">
        <f t="shared" si="3"/>
        <v>50</v>
      </c>
      <c r="B28" s="1219" t="s">
        <v>105</v>
      </c>
      <c r="C28" s="1219"/>
      <c r="D28" s="1219"/>
      <c r="E28" s="143">
        <f>IF(E12&gt;0,J30,0)</f>
        <v>0</v>
      </c>
      <c r="F28" s="2">
        <f>+E28</f>
        <v>0</v>
      </c>
      <c r="H28"/>
      <c r="I28"/>
      <c r="J28">
        <f>MAX(J22:J27)</f>
        <v>0</v>
      </c>
      <c r="L28" s="82"/>
      <c r="M28" s="83"/>
      <c r="N28" s="83"/>
      <c r="Q28" s="84"/>
      <c r="AX28" s="44"/>
      <c r="AY28" s="44"/>
      <c r="AZ28" s="44"/>
      <c r="BA28" s="83"/>
    </row>
    <row r="29" spans="1:53" s="51" customFormat="1" ht="16.5" customHeight="1" x14ac:dyDescent="0.2">
      <c r="A29" s="548">
        <f t="shared" si="3"/>
        <v>51</v>
      </c>
      <c r="B29" s="1211" t="s">
        <v>107</v>
      </c>
      <c r="C29" s="1211"/>
      <c r="D29" s="1211"/>
      <c r="E29" s="555">
        <f>IF(F32&gt;0,F31,0)</f>
        <v>0</v>
      </c>
      <c r="F29" s="2"/>
      <c r="H29"/>
      <c r="I29"/>
      <c r="J29"/>
      <c r="L29" s="82"/>
      <c r="M29" s="83"/>
      <c r="N29" s="83"/>
      <c r="Q29" s="84"/>
      <c r="AX29" s="44"/>
      <c r="AY29" s="44"/>
      <c r="AZ29" s="44"/>
      <c r="BA29" s="83"/>
    </row>
    <row r="30" spans="1:53" s="51" customFormat="1" ht="16.5" customHeight="1" x14ac:dyDescent="0.2">
      <c r="A30" s="142">
        <f t="shared" si="3"/>
        <v>52</v>
      </c>
      <c r="B30" s="357" t="s">
        <v>464</v>
      </c>
      <c r="C30" s="357"/>
      <c r="D30" s="357"/>
      <c r="E30" s="143">
        <f>IF(E12&gt;0,E28-E29,0)</f>
        <v>0</v>
      </c>
      <c r="F30" s="2"/>
      <c r="J30">
        <f>+J28*'DATOS PARA DEPURAR'!C23</f>
        <v>0</v>
      </c>
      <c r="L30" s="82">
        <f>IF('DATOS PARA DEPURAR'!D60="N",'DATOS PARA DEPURAR'!E166,0)</f>
        <v>0</v>
      </c>
      <c r="M30" s="83"/>
      <c r="N30" s="83"/>
      <c r="Q30" s="84"/>
      <c r="AX30" s="44"/>
      <c r="AY30" s="44"/>
      <c r="AZ30" s="44"/>
      <c r="BA30" s="83"/>
    </row>
    <row r="31" spans="1:53" s="51" customFormat="1" ht="16.5" customHeight="1" x14ac:dyDescent="0.2">
      <c r="A31" s="548">
        <f t="shared" si="3"/>
        <v>53</v>
      </c>
      <c r="B31" s="1243" t="s">
        <v>106</v>
      </c>
      <c r="C31" s="1243"/>
      <c r="D31" s="1243"/>
      <c r="E31" s="555">
        <f>IF(E27&gt;0,SUM(N32:N33),0)</f>
        <v>0</v>
      </c>
      <c r="F31">
        <f>IF(E12&gt;0,SUM('DEPURACION ORDINARIO 2017'!J24:J27),0)</f>
        <v>0</v>
      </c>
      <c r="L31" s="82">
        <f>IF('DATOS PARA DEPURAR'!D62="N",'DATOS PARA DEPURAR'!E167,0)</f>
        <v>0</v>
      </c>
      <c r="M31" s="83"/>
      <c r="N31" s="83"/>
      <c r="Q31" s="84"/>
      <c r="AX31" s="44"/>
      <c r="AY31" s="44"/>
      <c r="AZ31" s="44"/>
      <c r="BA31" s="83"/>
    </row>
    <row r="32" spans="1:53" s="51" customFormat="1" ht="16.5" customHeight="1" x14ac:dyDescent="0.2">
      <c r="A32" s="142">
        <f t="shared" si="3"/>
        <v>54</v>
      </c>
      <c r="B32" s="357" t="s">
        <v>108</v>
      </c>
      <c r="C32" s="357"/>
      <c r="D32" s="357"/>
      <c r="E32" s="143">
        <f>+E30+E31</f>
        <v>0</v>
      </c>
      <c r="F32" s="2">
        <f>+F28+F30-F31</f>
        <v>0</v>
      </c>
      <c r="L32" s="105" t="s">
        <v>96</v>
      </c>
      <c r="M32" s="83">
        <f>IF('DATOS PARA DEPURAR'!E64&gt;0,'DATOS PARA DEPURAR'!E64,0)</f>
        <v>0</v>
      </c>
      <c r="N32" s="134">
        <f>+M32*0.2</f>
        <v>0</v>
      </c>
      <c r="O32" s="83"/>
      <c r="Q32" s="84"/>
      <c r="AX32" s="44"/>
      <c r="AY32" s="44"/>
      <c r="AZ32" s="44"/>
      <c r="BA32" s="83"/>
    </row>
    <row r="33" spans="1:53" s="51" customFormat="1" ht="16.5" customHeight="1" x14ac:dyDescent="0.2">
      <c r="A33" s="548">
        <f t="shared" si="3"/>
        <v>55</v>
      </c>
      <c r="B33" s="1211" t="s">
        <v>205</v>
      </c>
      <c r="C33" s="1211"/>
      <c r="D33" s="1211"/>
      <c r="E33" s="555">
        <f>IF(($E$12)&gt;0,G38,0)</f>
        <v>0</v>
      </c>
      <c r="F33"/>
      <c r="L33" s="105" t="s">
        <v>97</v>
      </c>
      <c r="M33" s="41">
        <f>SUM(L38:L39)</f>
        <v>0</v>
      </c>
      <c r="N33" s="83">
        <f>+(M33-L43-L41-L42)*0.1</f>
        <v>0</v>
      </c>
      <c r="O33" s="83"/>
      <c r="Q33" s="84"/>
      <c r="AX33" s="44"/>
      <c r="AY33" s="44"/>
      <c r="AZ33" s="44"/>
      <c r="BA33" s="83"/>
    </row>
    <row r="34" spans="1:53" s="51" customFormat="1" ht="16.5" customHeight="1" x14ac:dyDescent="0.2">
      <c r="A34" s="142">
        <f t="shared" si="3"/>
        <v>56</v>
      </c>
      <c r="B34" s="357" t="s">
        <v>206</v>
      </c>
      <c r="C34" s="357"/>
      <c r="D34" s="357"/>
      <c r="E34" s="143">
        <f>IF(($E$12)&gt;0,G39,0)</f>
        <v>0</v>
      </c>
      <c r="F34"/>
      <c r="O34" s="83"/>
      <c r="Q34" s="84"/>
      <c r="AX34" s="44"/>
      <c r="AY34" s="44"/>
      <c r="AZ34" s="44"/>
      <c r="BA34" s="83"/>
    </row>
    <row r="35" spans="1:53" s="51" customFormat="1" ht="16.5" customHeight="1" x14ac:dyDescent="0.2">
      <c r="A35" s="548">
        <f t="shared" si="3"/>
        <v>57</v>
      </c>
      <c r="B35" s="1212" t="s">
        <v>484</v>
      </c>
      <c r="C35" s="1211"/>
      <c r="D35" s="1211"/>
      <c r="E35" s="555">
        <f>IF((E12)&gt;0,'DATOS PARA DEPURAR'!E308,0)</f>
        <v>0</v>
      </c>
      <c r="F35"/>
      <c r="L35" s="82" t="s">
        <v>21</v>
      </c>
      <c r="O35" s="83">
        <f>+'DATOS PARA DEPURAR'!E126</f>
        <v>0</v>
      </c>
      <c r="Q35" s="84" t="s">
        <v>54</v>
      </c>
      <c r="AX35" s="44">
        <v>210.41</v>
      </c>
      <c r="AY35" s="44">
        <f>+AX59-0.01</f>
        <v>217.19</v>
      </c>
      <c r="AZ35" s="44">
        <v>2.96</v>
      </c>
      <c r="BA35" s="83">
        <f>+AZ35*'DATOS PARA DEPURAR'!$C$23</f>
        <v>107471.67999999999</v>
      </c>
    </row>
    <row r="36" spans="1:53" s="51" customFormat="1" ht="16.5" customHeight="1" x14ac:dyDescent="0.2">
      <c r="A36" s="142">
        <f t="shared" si="3"/>
        <v>58</v>
      </c>
      <c r="B36" s="357" t="s">
        <v>207</v>
      </c>
      <c r="C36" s="357"/>
      <c r="D36" s="357"/>
      <c r="E36" s="143">
        <f>IF(O47&gt;0,O47,O44)</f>
        <v>0</v>
      </c>
      <c r="F36"/>
      <c r="L36" s="79" t="s">
        <v>22</v>
      </c>
      <c r="M36" s="80"/>
      <c r="N36" s="80"/>
      <c r="O36" s="81" t="b">
        <f>IF(O35&lt;O32,O35,IF(O35&gt;O32,O32))</f>
        <v>0</v>
      </c>
      <c r="Q36" s="84"/>
      <c r="AX36" s="44"/>
      <c r="AY36" s="44"/>
      <c r="AZ36" s="44"/>
      <c r="BA36" s="83"/>
    </row>
    <row r="37" spans="1:53" s="51" customFormat="1" ht="16.5" customHeight="1" x14ac:dyDescent="0.2">
      <c r="A37" s="548">
        <f t="shared" si="3"/>
        <v>59</v>
      </c>
      <c r="B37" s="1211" t="s">
        <v>180</v>
      </c>
      <c r="C37" s="1211"/>
      <c r="D37" s="1211"/>
      <c r="E37" s="555">
        <f>IF((E32+E36-E33-E34-E35)&gt;0,E32+E36-E33-E34-E35,0)</f>
        <v>0</v>
      </c>
      <c r="F37" t="str">
        <f>IF('DATOS PARA DEPURAR'!C13="S",'IMAS TRABAJADOR POR CTA PROPIA'!H46,'IMAS TRABAJADOR POR CTA PROPIA'!F44)</f>
        <v>YAOP</v>
      </c>
      <c r="L37" s="82"/>
      <c r="O37" s="83"/>
      <c r="Q37" s="84"/>
      <c r="AX37" s="44"/>
      <c r="AY37" s="44"/>
      <c r="AZ37" s="44"/>
      <c r="BA37" s="83"/>
    </row>
    <row r="38" spans="1:53" s="51" customFormat="1" ht="16.5" customHeight="1" x14ac:dyDescent="0.2">
      <c r="A38" s="142">
        <f t="shared" si="3"/>
        <v>60</v>
      </c>
      <c r="B38" s="357" t="s">
        <v>181</v>
      </c>
      <c r="C38" s="357"/>
      <c r="D38" s="357"/>
      <c r="E38" s="143">
        <f>IF(E12&gt;0,(G83),0)</f>
        <v>0</v>
      </c>
      <c r="F38" s="2"/>
      <c r="G38" s="51">
        <f>IF('DATOS PARA DEPURAR'!E20&gt;0,'DATOS PARA DEPURAR'!E20,0)</f>
        <v>1820000</v>
      </c>
      <c r="L38" s="41">
        <f>IF('DATOS PARA DEPURAR'!D60="S",'DATOS PARA DEPURAR'!E60)+SUM('DATOS PARA DEPURAR'!E65:E68)+SUM('DATOS PARA DEPURAR'!E73:E76)</f>
        <v>0</v>
      </c>
      <c r="O38" s="83"/>
      <c r="Q38" s="84"/>
      <c r="AX38" s="44"/>
      <c r="AY38" s="44"/>
      <c r="AZ38" s="44"/>
      <c r="BA38" s="83"/>
    </row>
    <row r="39" spans="1:53" s="51" customFormat="1" ht="16.5" customHeight="1" x14ac:dyDescent="0.2">
      <c r="A39" s="548">
        <f t="shared" si="3"/>
        <v>61</v>
      </c>
      <c r="B39" s="1211" t="s">
        <v>182</v>
      </c>
      <c r="C39" s="1211"/>
      <c r="D39" s="1211"/>
      <c r="E39" s="555">
        <f>IF((E32+E36+E38-E33-E34-E35)&gt;0,E32+E36+E38-E33-E34-E35,0)</f>
        <v>0</v>
      </c>
      <c r="F39">
        <f>IF((E32+E36+E38-E33-E34-E35)&gt;0,E32+E36+E38-E33-E34-E35,0)</f>
        <v>0</v>
      </c>
      <c r="G39" s="51">
        <f>IF('DATOS PARA DEPURAR'!C21&gt;0,'DATOS PARA DEPURAR'!C21,0)</f>
        <v>0</v>
      </c>
      <c r="L39" s="83">
        <f>IF('DATOS PARA DEPURAR'!D62="S",'DATOS PARA DEPURAR'!E62,0)</f>
        <v>0</v>
      </c>
      <c r="N39" s="135"/>
      <c r="O39" s="83"/>
      <c r="Q39" s="84"/>
      <c r="AX39" s="44"/>
      <c r="AY39" s="44"/>
      <c r="AZ39" s="44"/>
      <c r="BA39" s="83"/>
    </row>
    <row r="40" spans="1:53" s="51" customFormat="1" ht="16.5" customHeight="1" thickBot="1" x14ac:dyDescent="0.25">
      <c r="A40" s="542">
        <f t="shared" si="3"/>
        <v>62</v>
      </c>
      <c r="B40" s="543" t="s">
        <v>183</v>
      </c>
      <c r="C40" s="543"/>
      <c r="D40" s="543"/>
      <c r="E40" s="544">
        <f>IF((E33+E34+E35-E32-E36-E38)&gt;0,E33+E34+E35-E32-E36-E38,0)</f>
        <v>0</v>
      </c>
      <c r="F40"/>
      <c r="L40" s="83">
        <f>IF('DATOS PARA DEPURAR'!D62="S",'DATOS PARA DEPURAR'!E62,0)</f>
        <v>0</v>
      </c>
      <c r="O40" s="83"/>
      <c r="Q40" s="84"/>
      <c r="AX40" s="44"/>
      <c r="AY40" s="44"/>
      <c r="AZ40" s="44"/>
      <c r="BA40" s="83"/>
    </row>
    <row r="41" spans="1:53" s="36" customFormat="1" ht="16.5" customHeight="1" x14ac:dyDescent="0.2">
      <c r="A41" s="1208" t="str">
        <f>IF(E7&gt;0,F37,F44)</f>
        <v>YAOP</v>
      </c>
      <c r="B41" s="1209"/>
      <c r="C41" s="1209"/>
      <c r="D41" s="1209"/>
      <c r="E41" s="1210"/>
      <c r="F41" s="2">
        <f>+E40</f>
        <v>0</v>
      </c>
      <c r="G41" s="36">
        <f>+H41*-1</f>
        <v>465000</v>
      </c>
      <c r="H41" s="36">
        <f>IF('DATOS PARA DEPURAR'!C14&lt;=0,'DATOS PARA DEPURAR'!C14,0)</f>
        <v>-465000</v>
      </c>
      <c r="K41" s="36">
        <f>IF(('DATOS PARA DEPURAR'!E60)&gt;('DATOS PARA DEPURAR'!E166),'IMAS TRABAJADOR POR CTA PROPIA'!L41,0)</f>
        <v>0</v>
      </c>
      <c r="L41" s="82">
        <f>IF('DATOS PARA DEPURAR'!D60="S",'DATOS PARA DEPURAR'!E166,0)</f>
        <v>0</v>
      </c>
      <c r="O41" s="37"/>
      <c r="Q41" s="106"/>
      <c r="AX41" s="107"/>
      <c r="AY41" s="107"/>
      <c r="AZ41" s="107"/>
      <c r="BA41" s="37"/>
    </row>
    <row r="42" spans="1:53" s="51" customFormat="1" ht="16.5" customHeight="1" x14ac:dyDescent="0.2">
      <c r="A42" s="1204" t="s">
        <v>368</v>
      </c>
      <c r="B42" s="1205"/>
      <c r="C42" s="1205"/>
      <c r="D42" s="1205"/>
      <c r="E42" s="1206"/>
      <c r="F42" s="2">
        <f>+E39</f>
        <v>0</v>
      </c>
      <c r="G42" s="36">
        <f>IF('DATOS PARA DEPURAR'!C14&gt;0,'DATOS PARA DEPURAR'!C14,0)</f>
        <v>0</v>
      </c>
      <c r="K42" s="36">
        <f>IF(('DATOS PARA DEPURAR'!E62)&gt;('DATOS PARA DEPURAR'!E167),'IMAS TRABAJADOR POR CTA PROPIA'!L42,0)</f>
        <v>0</v>
      </c>
      <c r="L42" s="82">
        <f>IF('DATOS PARA DEPURAR'!D62="S",'DATOS PARA DEPURAR'!E167,0)</f>
        <v>0</v>
      </c>
      <c r="O42" s="83"/>
      <c r="Q42" s="84"/>
      <c r="AX42" s="44"/>
      <c r="AY42" s="44"/>
      <c r="AZ42" s="44"/>
      <c r="BA42" s="83"/>
    </row>
    <row r="43" spans="1:53" s="36" customFormat="1" ht="16.5" customHeight="1" x14ac:dyDescent="0.2">
      <c r="A43" s="489"/>
      <c r="B43" s="150"/>
      <c r="C43" s="150"/>
      <c r="D43" s="150"/>
      <c r="E43" s="490"/>
      <c r="F43" s="485" t="s">
        <v>459</v>
      </c>
      <c r="G43" s="485"/>
      <c r="L43" s="37">
        <f>IF('DATOS PARA DEPURAR'!E285&gt;0,'DATOS PARA DEPURAR'!E285,0)</f>
        <v>0</v>
      </c>
      <c r="M43" s="37">
        <f>IF((E32-E31)&gt;0,E32-E31,0)</f>
        <v>0</v>
      </c>
      <c r="O43" s="37"/>
      <c r="Q43" s="106"/>
      <c r="AX43" s="107"/>
      <c r="AY43" s="107"/>
      <c r="AZ43" s="107"/>
      <c r="BA43" s="37"/>
    </row>
    <row r="44" spans="1:53" s="36" customFormat="1" ht="16.5" customHeight="1" x14ac:dyDescent="0.25">
      <c r="A44" s="62" t="s">
        <v>38</v>
      </c>
      <c r="B44" s="63"/>
      <c r="C44" s="151"/>
      <c r="D44" s="151"/>
      <c r="E44" s="491"/>
      <c r="F44" s="39" t="s">
        <v>460</v>
      </c>
      <c r="L44" s="37" t="b">
        <f>IF((E32-E30)&gt;0,((E32-E30)*M44-M47))</f>
        <v>0</v>
      </c>
      <c r="M44" s="37">
        <f>IF(((M43*N45)-'DATOS PARA DEPURAR'!E301)&gt;0,((M43*N45)-'DATOS PARA DEPURAR'!E301),0)</f>
        <v>0</v>
      </c>
      <c r="N44" s="36">
        <f>+'DATOS PARA DEPURAR'!E21</f>
        <v>3</v>
      </c>
      <c r="O44" s="37">
        <f>IF(M44&gt;0,M44,0)</f>
        <v>0</v>
      </c>
      <c r="Q44" s="106"/>
      <c r="AX44" s="107"/>
      <c r="AY44" s="107"/>
      <c r="AZ44" s="107"/>
      <c r="BA44" s="37"/>
    </row>
    <row r="45" spans="1:53" s="36" customFormat="1" ht="16.5" customHeight="1" x14ac:dyDescent="0.2">
      <c r="A45" s="58"/>
      <c r="B45" s="64" t="s">
        <v>39</v>
      </c>
      <c r="C45" s="151"/>
      <c r="D45" s="151"/>
      <c r="E45" s="491"/>
      <c r="F45" t="str">
        <f>IF(F41&gt;G41,F43,F44)</f>
        <v>YAOP</v>
      </c>
      <c r="L45" s="37"/>
      <c r="M45" s="37">
        <f>IF(M49&gt;0,(M49*N45)-'DATOS PARA DEPURAR'!E301,0)</f>
        <v>14956500</v>
      </c>
      <c r="N45" s="36">
        <f>IF(N44=1,25%,IF(N44=2,50%,IF(N44=3,75%,0)))</f>
        <v>0.75</v>
      </c>
      <c r="O45" s="37">
        <f>IF(M45&gt;0,M45,0)</f>
        <v>14956500</v>
      </c>
      <c r="Q45" s="106"/>
      <c r="AX45" s="107"/>
      <c r="AY45" s="107"/>
      <c r="AZ45" s="107"/>
      <c r="BA45" s="37"/>
    </row>
    <row r="46" spans="1:53" s="36" customFormat="1" ht="13.5" thickBot="1" x14ac:dyDescent="0.25">
      <c r="A46" s="65"/>
      <c r="B46" s="66" t="s">
        <v>57</v>
      </c>
      <c r="C46" s="152"/>
      <c r="D46" s="152"/>
      <c r="E46" s="492"/>
      <c r="F46" t="str">
        <f>IF(F42&gt;G42,F43,F44)</f>
        <v>YAOP</v>
      </c>
      <c r="H46" s="36" t="b">
        <f>IF(F41&gt;0,IF(G42&gt;=0,F47,IF(F41&gt;0,IF(G41&gt;0,F45,IF(F42&gt;0,IF(G42&gt;0,F46,0))))))</f>
        <v>0</v>
      </c>
      <c r="L46" s="37"/>
      <c r="M46" s="37"/>
      <c r="O46" s="37"/>
      <c r="Q46" s="106"/>
      <c r="AX46" s="107"/>
      <c r="AY46" s="107"/>
      <c r="AZ46" s="107"/>
      <c r="BA46" s="37"/>
    </row>
    <row r="47" spans="1:53" s="36" customFormat="1" hidden="1" x14ac:dyDescent="0.2">
      <c r="F47" t="str">
        <f>IF(F41&gt;=0,IF(G42&gt;=0,F45,F46))</f>
        <v>YAOP</v>
      </c>
      <c r="L47" s="37"/>
      <c r="M47" s="37"/>
      <c r="O47" s="37">
        <f>MIN(O44:O45)</f>
        <v>0</v>
      </c>
      <c r="Q47" s="106"/>
      <c r="AX47" s="107"/>
      <c r="AY47" s="107"/>
      <c r="AZ47" s="107"/>
      <c r="BA47" s="37"/>
    </row>
    <row r="48" spans="1:53" s="36" customFormat="1" hidden="1" x14ac:dyDescent="0.2">
      <c r="F48"/>
      <c r="L48" s="37"/>
      <c r="M48" s="37"/>
      <c r="O48" s="37"/>
      <c r="Q48" s="106"/>
      <c r="AX48" s="107"/>
      <c r="AY48" s="107"/>
      <c r="AZ48" s="107"/>
      <c r="BA48" s="37"/>
    </row>
    <row r="49" spans="1:53" s="36" customFormat="1" hidden="1" x14ac:dyDescent="0.2">
      <c r="F49" s="272" t="s">
        <v>410</v>
      </c>
      <c r="L49" s="37"/>
      <c r="M49" s="36">
        <f>IF((N49)&gt;0,(N49+M43)/2,0)</f>
        <v>36070000</v>
      </c>
      <c r="N49" s="36">
        <f>+'DATOS PARA DEPURAR'!C20</f>
        <v>72140000</v>
      </c>
      <c r="O49" s="37"/>
      <c r="Q49" s="106"/>
      <c r="AX49" s="107"/>
      <c r="AY49" s="107"/>
      <c r="AZ49" s="107"/>
      <c r="BA49" s="37"/>
    </row>
    <row r="50" spans="1:53" s="36" customFormat="1" hidden="1" x14ac:dyDescent="0.2">
      <c r="F50" s="272" t="s">
        <v>411</v>
      </c>
      <c r="G50" s="404">
        <f>IF(E32&gt;(0),E32*5%*'DATOS PARA DEPURAR'!E11,0)</f>
        <v>0</v>
      </c>
      <c r="H50" s="329"/>
      <c r="I50" s="329">
        <f>MIN(G50:G51)</f>
        <v>0</v>
      </c>
      <c r="L50" s="37"/>
      <c r="O50" s="37"/>
      <c r="Q50" s="106"/>
      <c r="AX50" s="107"/>
      <c r="AY50" s="107"/>
      <c r="AZ50" s="107"/>
      <c r="BA50" s="37"/>
    </row>
    <row r="51" spans="1:53" s="51" customFormat="1" hidden="1" x14ac:dyDescent="0.2">
      <c r="F51" s="272" t="s">
        <v>24</v>
      </c>
      <c r="G51" s="278">
        <f>+E32</f>
        <v>0</v>
      </c>
      <c r="H51" s="202"/>
      <c r="I51" s="329">
        <f>MIN(G53:G55)</f>
        <v>0</v>
      </c>
      <c r="L51" s="82"/>
      <c r="O51" s="83"/>
      <c r="Q51" s="84"/>
      <c r="AX51" s="44"/>
      <c r="AY51" s="44"/>
      <c r="AZ51" s="44"/>
      <c r="BA51" s="83"/>
    </row>
    <row r="52" spans="1:53" s="51" customFormat="1" hidden="1" x14ac:dyDescent="0.2">
      <c r="F52" s="272" t="s">
        <v>412</v>
      </c>
      <c r="G52" s="404">
        <f>IF(E32=0,E10*0.5%*'DATOS PARA DEPURAR'!E11,0)</f>
        <v>0</v>
      </c>
      <c r="H52" s="329"/>
      <c r="I52" s="329">
        <f>IF(G52&gt;I51,G52,I51)</f>
        <v>0</v>
      </c>
      <c r="L52" s="82"/>
      <c r="O52" s="83"/>
      <c r="Q52" s="84"/>
      <c r="AX52" s="44"/>
      <c r="AY52" s="44"/>
      <c r="AZ52" s="44"/>
      <c r="BA52" s="83"/>
    </row>
    <row r="53" spans="1:53" s="51" customFormat="1" hidden="1" x14ac:dyDescent="0.2">
      <c r="F53" s="272" t="s">
        <v>413</v>
      </c>
      <c r="G53" s="404">
        <f>IF(E32=0,E10*5%,0)</f>
        <v>0</v>
      </c>
      <c r="H53" s="202"/>
      <c r="I53" s="202"/>
      <c r="L53" s="82"/>
      <c r="O53" s="83"/>
      <c r="Q53" s="84"/>
      <c r="AX53" s="44"/>
      <c r="AY53" s="44"/>
      <c r="AZ53" s="44"/>
      <c r="BA53" s="83"/>
    </row>
    <row r="54" spans="1:53" s="51" customFormat="1" hidden="1" x14ac:dyDescent="0.2">
      <c r="F54" s="272" t="s">
        <v>414</v>
      </c>
      <c r="G54" s="404">
        <f>IF(E32=0,IF(E10&gt;0,H54*2,0))</f>
        <v>0</v>
      </c>
      <c r="H54" s="404">
        <f>+E33+E34+E35-E36-E32</f>
        <v>0</v>
      </c>
      <c r="I54" s="404"/>
      <c r="L54" s="82"/>
      <c r="O54" s="83"/>
      <c r="Q54" s="84"/>
      <c r="AX54" s="44"/>
      <c r="AY54" s="44"/>
      <c r="AZ54" s="44"/>
      <c r="BA54" s="83"/>
    </row>
    <row r="55" spans="1:53" s="51" customFormat="1" ht="13.5" hidden="1" thickBot="1" x14ac:dyDescent="0.25">
      <c r="F55" s="272" t="s">
        <v>415</v>
      </c>
      <c r="G55" s="404">
        <f>IF(E32=0,IF(E10&gt;0,2500*'DATOS PARA DEPURAR'!E24,0))</f>
        <v>0</v>
      </c>
      <c r="H55" s="404"/>
      <c r="I55" s="404">
        <f>MIN(G57:G59)</f>
        <v>0</v>
      </c>
      <c r="L55" s="82"/>
      <c r="O55" s="83"/>
      <c r="Q55" s="84"/>
      <c r="AX55" s="44"/>
      <c r="AY55" s="44"/>
      <c r="AZ55" s="44"/>
      <c r="BA55" s="83"/>
    </row>
    <row r="56" spans="1:53" s="51" customFormat="1" ht="15.75" hidden="1" thickBot="1" x14ac:dyDescent="0.3">
      <c r="A56" s="121" t="s">
        <v>35</v>
      </c>
      <c r="B56" s="122"/>
      <c r="C56" s="118" t="s">
        <v>81</v>
      </c>
      <c r="D56" s="118"/>
      <c r="E56" s="97" t="s">
        <v>82</v>
      </c>
      <c r="F56" s="272" t="s">
        <v>395</v>
      </c>
      <c r="G56" s="404">
        <f>IF(E32=0,IF(E10=0,'DATOS PARA DEPURAR'!E19*1%*'DATOS PARA DEPURAR'!E11,0))</f>
        <v>3239300</v>
      </c>
      <c r="H56" s="328">
        <f>IF(G56&gt;G57,G56,IF(G56&gt;G58,G56,IF(G56&gt;G59,G56,0)))</f>
        <v>3239300</v>
      </c>
      <c r="I56" s="404">
        <f>IF(G56&gt;I55,G56,I55)</f>
        <v>3239300</v>
      </c>
      <c r="L56" s="82"/>
      <c r="O56" s="83"/>
      <c r="Q56" s="84"/>
      <c r="AX56" s="44"/>
      <c r="AY56" s="44"/>
      <c r="AZ56" s="44"/>
      <c r="BA56" s="83"/>
    </row>
    <row r="57" spans="1:53" s="51" customFormat="1" hidden="1" x14ac:dyDescent="0.2">
      <c r="A57" s="123" t="s">
        <v>18</v>
      </c>
      <c r="B57" s="124"/>
      <c r="C57" s="119">
        <f>+E12/'DATOS PARA DEPURAR'!C23</f>
        <v>0</v>
      </c>
      <c r="D57" s="119"/>
      <c r="E57" s="429">
        <f>+C57*'DATOS PARA DEPURAR'!$C$23</f>
        <v>0</v>
      </c>
      <c r="F57" s="272" t="s">
        <v>413</v>
      </c>
      <c r="G57" s="404">
        <f>IF(E32=0,IF(E10=0,'DATOS PARA DEPURAR'!E19*10%,0))</f>
        <v>32393000</v>
      </c>
      <c r="H57" s="328"/>
      <c r="I57" s="328"/>
      <c r="L57" s="82"/>
      <c r="O57" s="83"/>
      <c r="Q57" s="84"/>
      <c r="AX57" s="44"/>
      <c r="AY57" s="44"/>
      <c r="AZ57" s="44"/>
      <c r="BA57" s="83"/>
    </row>
    <row r="58" spans="1:53" s="51" customFormat="1" hidden="1" x14ac:dyDescent="0.2">
      <c r="A58" s="113" t="s">
        <v>83</v>
      </c>
      <c r="B58" s="114"/>
      <c r="C58" s="120">
        <f>IF(E23&gt;0,E23/'DATOS PARA DEPURAR'!C23,0)</f>
        <v>0</v>
      </c>
      <c r="D58" s="120"/>
      <c r="E58" s="430">
        <f>+C58*'DATOS PARA DEPURAR'!C23</f>
        <v>0</v>
      </c>
      <c r="F58" s="272" t="s">
        <v>414</v>
      </c>
      <c r="G58" s="404">
        <f>IF(E32=0,IF(E10=0,H58*2,0))</f>
        <v>0</v>
      </c>
      <c r="H58" s="328">
        <f>+E33+E34+E35-E36-E32</f>
        <v>0</v>
      </c>
      <c r="I58" s="328"/>
      <c r="L58" s="82"/>
      <c r="O58" s="83"/>
      <c r="Q58" s="84"/>
      <c r="AX58" s="44"/>
      <c r="AY58" s="44"/>
      <c r="AZ58" s="44"/>
      <c r="BA58" s="83"/>
    </row>
    <row r="59" spans="1:53" hidden="1" x14ac:dyDescent="0.2">
      <c r="A59" s="113" t="s">
        <v>84</v>
      </c>
      <c r="B59" s="114"/>
      <c r="C59" s="111">
        <f>+C62</f>
        <v>0</v>
      </c>
      <c r="D59" s="112"/>
      <c r="E59" s="430">
        <f>+C59*'DATOS PARA DEPURAR'!C23</f>
        <v>0</v>
      </c>
      <c r="F59" s="272" t="s">
        <v>415</v>
      </c>
      <c r="G59" s="404">
        <f>IF(E32=0,IF(E10=0,2500*'DATOS PARA DEPURAR'!E24,0))</f>
        <v>95010000</v>
      </c>
      <c r="H59" s="328"/>
      <c r="I59" s="328"/>
      <c r="AX59" s="44">
        <v>217.2</v>
      </c>
      <c r="AY59" s="44">
        <f t="shared" si="1"/>
        <v>223.98000000000002</v>
      </c>
      <c r="AZ59" s="44">
        <v>3.75</v>
      </c>
      <c r="BA59" s="1">
        <f>+AZ59*'DATOS PARA DEPURAR'!$C$23</f>
        <v>136155</v>
      </c>
    </row>
    <row r="60" spans="1:53" ht="13.5" hidden="1" thickBot="1" x14ac:dyDescent="0.25">
      <c r="A60" s="115" t="s">
        <v>85</v>
      </c>
      <c r="B60" s="116"/>
      <c r="C60" s="117">
        <f>LOOKUP(C58,E127:G168,L127:L168)</f>
        <v>0</v>
      </c>
      <c r="D60" s="117"/>
      <c r="E60" s="431">
        <f>+C60*'DATOS PARA DEPURAR'!C23</f>
        <v>0</v>
      </c>
      <c r="G60" s="413" t="s">
        <v>423</v>
      </c>
      <c r="H60" s="432">
        <f>10*'DATOS PARA DEPURAR'!E24</f>
        <v>380040</v>
      </c>
      <c r="I60" s="328">
        <f>+H60</f>
        <v>380040</v>
      </c>
      <c r="AX60" s="44">
        <v>223.99</v>
      </c>
      <c r="AY60" s="44">
        <f t="shared" si="1"/>
        <v>230.76000000000002</v>
      </c>
      <c r="AZ60" s="44">
        <v>3.87</v>
      </c>
      <c r="BA60" s="1">
        <f>+AZ60*'DATOS PARA DEPURAR'!$C$23</f>
        <v>140511.96</v>
      </c>
    </row>
    <row r="61" spans="1:53" hidden="1" x14ac:dyDescent="0.2">
      <c r="G61" s="202"/>
      <c r="H61" s="328"/>
      <c r="I61" s="328">
        <f>MAX(I50:I60)</f>
        <v>3239300</v>
      </c>
      <c r="L61" s="3" t="s">
        <v>23</v>
      </c>
      <c r="AX61" s="44">
        <v>230.77</v>
      </c>
      <c r="AY61" s="44">
        <f t="shared" si="1"/>
        <v>237.55</v>
      </c>
      <c r="AZ61" s="44">
        <v>4.63</v>
      </c>
      <c r="BA61" s="1">
        <f>+AZ61*'DATOS PARA DEPURAR'!$C$23</f>
        <v>168106.04</v>
      </c>
    </row>
    <row r="62" spans="1:53" hidden="1" x14ac:dyDescent="0.2">
      <c r="C62">
        <f>IF(C58&lt;=13642.99,D62,IF(C58&gt;13642.99,(C58-1622)*27%,0))</f>
        <v>0</v>
      </c>
      <c r="D62" s="39">
        <f>LOOKUP(C58,A127:B211,C127:C211)</f>
        <v>0</v>
      </c>
      <c r="G62" s="39" t="s">
        <v>455</v>
      </c>
      <c r="H62" s="482" t="s">
        <v>454</v>
      </c>
      <c r="I62" s="328">
        <f>IF('DATOS PARA DEPURAR'!C11="EXTEMPORANEA",I61,0)</f>
        <v>3239300</v>
      </c>
      <c r="L62" s="1" t="e">
        <f>IF(SUM(C17:C20)&gt;(E12-#REF!-#REF!)*30%,(E12-#REF!-#REF!)*30%,SUM(C17:C20))</f>
        <v>#REF!</v>
      </c>
      <c r="M62" s="1" t="e">
        <f>+(E12-#REF!-#REF!)*30%</f>
        <v>#REF!</v>
      </c>
      <c r="AX62" s="44">
        <v>237.56</v>
      </c>
      <c r="AY62" s="44">
        <f t="shared" si="1"/>
        <v>244.34</v>
      </c>
      <c r="AZ62" s="44">
        <v>5.0599999999999996</v>
      </c>
      <c r="BA62" s="1">
        <f>+AZ62*'DATOS PARA DEPURAR'!$C$23</f>
        <v>183718.47999999998</v>
      </c>
    </row>
    <row r="63" spans="1:53" hidden="1" x14ac:dyDescent="0.2">
      <c r="A63" s="52"/>
      <c r="B63" s="53"/>
      <c r="C63" s="53"/>
      <c r="D63" s="53"/>
      <c r="E63" s="54"/>
      <c r="G63">
        <f>IF((E33+E34+E35-E32-E36)&gt;0,E33+E34+E35-E32-E36,0)</f>
        <v>0</v>
      </c>
      <c r="H63">
        <f>IF((E32+E36-E33-E34-E35)&gt;0,E32+E36-E33-E34-E35,0)</f>
        <v>0</v>
      </c>
      <c r="I63" s="1"/>
      <c r="L63" s="35" t="s">
        <v>29</v>
      </c>
      <c r="O63" s="1" t="e">
        <f>IF(M65&lt;M64,M65,M64)</f>
        <v>#REF!</v>
      </c>
      <c r="AX63" s="44">
        <v>244.35</v>
      </c>
      <c r="AY63" s="44">
        <f t="shared" si="1"/>
        <v>251.13</v>
      </c>
      <c r="AZ63" s="44">
        <v>5.5</v>
      </c>
      <c r="BA63" s="1">
        <f>+AZ63*'DATOS PARA DEPURAR'!$C$23</f>
        <v>199694</v>
      </c>
    </row>
    <row r="64" spans="1:53" hidden="1" x14ac:dyDescent="0.2">
      <c r="A64" s="55" t="s">
        <v>12</v>
      </c>
      <c r="B64" s="56"/>
      <c r="C64" s="56"/>
      <c r="D64" s="56"/>
      <c r="E64" s="57"/>
      <c r="F64" s="272" t="s">
        <v>429</v>
      </c>
      <c r="H64" s="1"/>
      <c r="I64" s="1"/>
      <c r="L64" s="35" t="s">
        <v>24</v>
      </c>
      <c r="M64" s="1">
        <f>240*O72</f>
        <v>8713920</v>
      </c>
      <c r="AX64" s="44">
        <v>251.14</v>
      </c>
      <c r="AY64" s="44">
        <f t="shared" si="1"/>
        <v>257.91000000000003</v>
      </c>
      <c r="AZ64" s="44">
        <v>5.96</v>
      </c>
      <c r="BA64" s="1">
        <f>+AZ64*'DATOS PARA DEPURAR'!$C$23</f>
        <v>216395.68</v>
      </c>
    </row>
    <row r="65" spans="1:53" hidden="1" x14ac:dyDescent="0.2">
      <c r="A65" s="58"/>
      <c r="B65" s="60" t="str">
        <f>+O98</f>
        <v>CERO     PESOS  M/CTE</v>
      </c>
      <c r="C65" s="60"/>
      <c r="D65" s="60"/>
      <c r="E65" s="61"/>
      <c r="F65" s="331" t="s">
        <v>430</v>
      </c>
      <c r="G65">
        <f>IF((('DATOS PARA DEPURAR'!C14)*(-1)-G63)&gt;0,(('DATOS PARA DEPURAR'!C14)*(-1)-G63)*10%,0)</f>
        <v>46500</v>
      </c>
      <c r="H65" s="328">
        <f>IF((H63-'DATOS PARA DEPURAR'!C14)&gt;0,(H63-'DATOS PARA DEPURAR'!C14)*10%,0)</f>
        <v>46500</v>
      </c>
      <c r="I65" s="328"/>
      <c r="L65" s="32">
        <v>0.25</v>
      </c>
      <c r="M65" s="1" t="e">
        <f>((#REF!-SUM(#REF!)-M66)*25%)</f>
        <v>#REF!</v>
      </c>
      <c r="AX65" s="44">
        <v>257.92</v>
      </c>
      <c r="AY65" s="44">
        <f t="shared" si="1"/>
        <v>264.7</v>
      </c>
      <c r="AZ65" s="44">
        <v>6.44</v>
      </c>
      <c r="BA65" s="1">
        <f>+AZ65*'DATOS PARA DEPURAR'!$C$23</f>
        <v>233823.52000000002</v>
      </c>
    </row>
    <row r="66" spans="1:53" hidden="1" x14ac:dyDescent="0.2">
      <c r="A66" s="58"/>
      <c r="B66" s="56"/>
      <c r="C66" s="56"/>
      <c r="D66" s="56"/>
      <c r="E66" s="57"/>
      <c r="F66" s="202"/>
      <c r="G66">
        <f>10*'DATOS PARA DEPURAR'!E24</f>
        <v>380040</v>
      </c>
      <c r="H66" s="328">
        <f>10*'DATOS PARA DEPURAR'!E24</f>
        <v>380040</v>
      </c>
      <c r="I66" s="328"/>
      <c r="L66" s="40" t="s">
        <v>55</v>
      </c>
      <c r="M66" s="1" t="e">
        <f>IF(SUM(C17:C20)&gt;#REF!,#REF!,SUM(C17:C20))</f>
        <v>#REF!</v>
      </c>
      <c r="AX66" s="44">
        <v>264.70999999999998</v>
      </c>
      <c r="AY66" s="44">
        <f t="shared" si="1"/>
        <v>271.49</v>
      </c>
      <c r="AZ66" s="44">
        <v>6.93</v>
      </c>
      <c r="BA66" s="1">
        <f>+AZ66*'DATOS PARA DEPURAR'!$C$23</f>
        <v>251614.44</v>
      </c>
    </row>
    <row r="67" spans="1:53" hidden="1" x14ac:dyDescent="0.2">
      <c r="A67" s="58"/>
      <c r="B67" s="56"/>
      <c r="C67" s="56"/>
      <c r="D67" s="56"/>
      <c r="E67" s="57"/>
      <c r="F67" s="202"/>
      <c r="G67">
        <f>MAX(G65:G66)</f>
        <v>380040</v>
      </c>
      <c r="H67" s="328">
        <f>MAX(H65:H66)</f>
        <v>380040</v>
      </c>
      <c r="I67" s="328">
        <f>IF('DATOS PARA DEPURAR'!E14="S",I71,0)</f>
        <v>0</v>
      </c>
      <c r="L67" s="1198" t="s">
        <v>31</v>
      </c>
      <c r="M67" s="1198"/>
      <c r="N67" s="1198"/>
      <c r="O67" s="1">
        <f>+'DATOS PARA DEPURAR'!E22</f>
        <v>1000000</v>
      </c>
      <c r="P67">
        <f>+'DATOS PARA DEPURAR'!E38</f>
        <v>0</v>
      </c>
      <c r="Q67" s="1198" t="s">
        <v>32</v>
      </c>
      <c r="R67" s="1198"/>
      <c r="S67" s="1">
        <f>+'DATOS PARA DEPURAR'!E22</f>
        <v>1000000</v>
      </c>
      <c r="T67">
        <f>+'DATOS PARA DEPURAR'!E39</f>
        <v>0</v>
      </c>
      <c r="U67" s="1198" t="s">
        <v>33</v>
      </c>
      <c r="V67" s="1198"/>
      <c r="W67" s="1198"/>
      <c r="X67" s="1">
        <f>+'DATOS PARA DEPURAR'!E22</f>
        <v>1000000</v>
      </c>
      <c r="Y67">
        <f>+'DATOS PARA DEPURAR'!E40</f>
        <v>0</v>
      </c>
      <c r="AX67" s="44">
        <v>271.5</v>
      </c>
      <c r="AY67" s="44">
        <f t="shared" si="1"/>
        <v>278.28000000000003</v>
      </c>
      <c r="AZ67" s="44">
        <v>7.44</v>
      </c>
      <c r="BA67" s="1">
        <f>+AZ67*'DATOS PARA DEPURAR'!$C$23</f>
        <v>270131.52</v>
      </c>
    </row>
    <row r="68" spans="1:53" ht="13.5" hidden="1" x14ac:dyDescent="0.25">
      <c r="A68" s="62"/>
      <c r="B68" s="63"/>
      <c r="C68" s="56"/>
      <c r="D68" s="56"/>
      <c r="E68" s="57"/>
      <c r="F68" s="331" t="s">
        <v>431</v>
      </c>
      <c r="G68">
        <f>IF('DATOS PARA DEPURAR'!E14="S",G65*2,0)</f>
        <v>0</v>
      </c>
      <c r="H68" s="328">
        <f>IF('DATOS PARA DEPURAR'!E14="S",H65*2,0)</f>
        <v>0</v>
      </c>
      <c r="I68" s="328"/>
      <c r="L68" s="1198"/>
      <c r="M68" s="1198"/>
      <c r="N68" s="1198"/>
      <c r="O68" s="1"/>
      <c r="Q68" s="1198"/>
      <c r="R68" s="1198"/>
      <c r="S68" s="1"/>
      <c r="U68" s="1198"/>
      <c r="V68" s="1198"/>
      <c r="W68" s="1198"/>
      <c r="X68" s="1"/>
      <c r="AX68" s="44">
        <v>278.29000000000002</v>
      </c>
      <c r="AY68" s="44">
        <f t="shared" si="1"/>
        <v>285.06</v>
      </c>
      <c r="AZ68" s="44">
        <v>7.96</v>
      </c>
      <c r="BA68" s="1">
        <f>+AZ68*'DATOS PARA DEPURAR'!$C$23</f>
        <v>289011.68</v>
      </c>
    </row>
    <row r="69" spans="1:53" hidden="1" x14ac:dyDescent="0.2">
      <c r="A69" s="58"/>
      <c r="B69" s="64"/>
      <c r="C69" s="56"/>
      <c r="D69" s="56"/>
      <c r="E69" s="57"/>
      <c r="G69" s="2">
        <f>+H60</f>
        <v>380040</v>
      </c>
      <c r="H69" s="433">
        <f>+H60</f>
        <v>380040</v>
      </c>
      <c r="I69" s="328"/>
      <c r="L69" s="1198"/>
      <c r="M69" s="1198"/>
      <c r="N69" s="1198"/>
      <c r="O69" s="1">
        <f>IF(P67&lt;=O67,P67,IF(P67&gt;O67,O67))</f>
        <v>0</v>
      </c>
      <c r="Q69" s="1198"/>
      <c r="R69" s="1198"/>
      <c r="S69" s="1">
        <f>IF(T67&lt;=S67,T67,IF(T67&gt;S67,S67))</f>
        <v>0</v>
      </c>
      <c r="U69" s="1198"/>
      <c r="V69" s="1198"/>
      <c r="W69" s="1198"/>
      <c r="X69" s="1">
        <f>IF(Y67&lt;=X67,Y67,IF(Y67&gt;X67,X67))</f>
        <v>0</v>
      </c>
      <c r="AX69" s="44">
        <v>285.07</v>
      </c>
      <c r="AY69" s="44">
        <f t="shared" si="1"/>
        <v>291.85000000000002</v>
      </c>
      <c r="AZ69" s="44">
        <v>8.5</v>
      </c>
      <c r="BA69" s="1">
        <f>+AZ69*'DATOS PARA DEPURAR'!$C$23</f>
        <v>308618</v>
      </c>
    </row>
    <row r="70" spans="1:53" ht="13.5" hidden="1" thickBot="1" x14ac:dyDescent="0.25">
      <c r="A70" s="65"/>
      <c r="B70" s="66"/>
      <c r="C70" s="67"/>
      <c r="D70" s="68"/>
      <c r="E70" s="69"/>
      <c r="G70">
        <f>MAX(G68:G69)</f>
        <v>380040</v>
      </c>
      <c r="H70" s="328">
        <f>MAX(H68:H69)</f>
        <v>380040</v>
      </c>
      <c r="I70" s="328"/>
      <c r="AX70" s="44">
        <v>291.86</v>
      </c>
      <c r="AY70" s="44">
        <f t="shared" si="1"/>
        <v>298.64</v>
      </c>
      <c r="AZ70" s="44">
        <v>9.0500000000000007</v>
      </c>
      <c r="BA70" s="1">
        <f>+AZ70*'DATOS PARA DEPURAR'!$C$23</f>
        <v>328587.40000000002</v>
      </c>
    </row>
    <row r="71" spans="1:53" hidden="1" x14ac:dyDescent="0.2">
      <c r="H71" s="328">
        <f>IF(G68&gt;0,G70,G67)</f>
        <v>380040</v>
      </c>
      <c r="I71" s="328">
        <f>IF(H68&gt;0,H70,H67)</f>
        <v>380040</v>
      </c>
      <c r="AX71" s="44">
        <v>298.64999999999998</v>
      </c>
      <c r="AY71" s="44">
        <f t="shared" si="1"/>
        <v>305.43</v>
      </c>
      <c r="AZ71" s="44">
        <v>9.6199999999999992</v>
      </c>
      <c r="BA71" s="1">
        <f>+AZ71*'DATOS PARA DEPURAR'!$C$23</f>
        <v>349282.95999999996</v>
      </c>
    </row>
    <row r="72" spans="1:53" hidden="1" x14ac:dyDescent="0.2">
      <c r="I72">
        <f>IF(G63&gt;0,H71,I71)</f>
        <v>380040</v>
      </c>
      <c r="L72" s="3" t="s">
        <v>16</v>
      </c>
      <c r="O72">
        <f>+'DATOS PARA DEPURAR'!C23</f>
        <v>36308</v>
      </c>
      <c r="P72">
        <f>+'DATOS PARA DEPURAR'!E220</f>
        <v>0</v>
      </c>
      <c r="R72" s="1198" t="s">
        <v>30</v>
      </c>
      <c r="S72" s="1199">
        <f>+'DATOS PARA DEPURAR'!E24</f>
        <v>38004</v>
      </c>
      <c r="T72" s="1199"/>
      <c r="AX72" s="44">
        <v>305.44</v>
      </c>
      <c r="AY72" s="44">
        <f t="shared" si="1"/>
        <v>312.21000000000004</v>
      </c>
      <c r="AZ72" s="44">
        <v>10.210000000000001</v>
      </c>
      <c r="BA72" s="1">
        <f>+AZ72*'DATOS PARA DEPURAR'!$C$23</f>
        <v>370704.68000000005</v>
      </c>
    </row>
    <row r="73" spans="1:53" hidden="1" x14ac:dyDescent="0.2">
      <c r="H73">
        <f>20000000/36</f>
        <v>555555.5555555555</v>
      </c>
      <c r="R73" s="1198"/>
      <c r="S73" s="1199"/>
      <c r="T73" s="1199"/>
      <c r="AX73" s="44">
        <v>312.22000000000003</v>
      </c>
      <c r="AY73" s="44">
        <f t="shared" si="1"/>
        <v>319</v>
      </c>
      <c r="AZ73" s="44">
        <v>10.81</v>
      </c>
      <c r="BA73" s="1">
        <f>+AZ73*'DATOS PARA DEPURAR'!$C$23</f>
        <v>392489.48000000004</v>
      </c>
    </row>
    <row r="74" spans="1:53" hidden="1" x14ac:dyDescent="0.2">
      <c r="L74" s="3" t="s">
        <v>1</v>
      </c>
      <c r="O74" s="1">
        <f>IF(P72&lt;100*O72,P72,IF(P72&gt;100*O72,100*O72,0))</f>
        <v>0</v>
      </c>
      <c r="AX74" s="44">
        <v>319.01</v>
      </c>
      <c r="AY74" s="44">
        <f t="shared" si="1"/>
        <v>325.79000000000002</v>
      </c>
      <c r="AZ74" s="44">
        <v>11.43</v>
      </c>
      <c r="BA74" s="1">
        <f>+AZ74*'DATOS PARA DEPURAR'!$C$23</f>
        <v>415000.44</v>
      </c>
    </row>
    <row r="75" spans="1:53" hidden="1" x14ac:dyDescent="0.2">
      <c r="A75" s="49"/>
      <c r="B75" s="51"/>
      <c r="C75" s="51"/>
      <c r="D75" s="51"/>
      <c r="E75" s="50"/>
      <c r="F75" s="272" t="s">
        <v>442</v>
      </c>
      <c r="G75" s="202"/>
      <c r="H75" s="202"/>
      <c r="I75" s="202"/>
      <c r="J75" s="202"/>
      <c r="K75" s="202"/>
      <c r="L75" s="202"/>
      <c r="M75" s="202"/>
      <c r="N75" s="202"/>
      <c r="O75" s="202"/>
      <c r="P75" s="202"/>
      <c r="Q75" s="202"/>
      <c r="S75">
        <f>+'DATOS PARA DEPURAR'!E23</f>
        <v>35607</v>
      </c>
      <c r="AX75" s="44">
        <v>325.8</v>
      </c>
      <c r="AY75" s="44">
        <f t="shared" si="1"/>
        <v>332.58</v>
      </c>
      <c r="AZ75" s="44">
        <v>12.07</v>
      </c>
      <c r="BA75" s="1">
        <f>+AZ75*'DATOS PARA DEPURAR'!$C$23</f>
        <v>438237.56</v>
      </c>
    </row>
    <row r="76" spans="1:53" hidden="1" x14ac:dyDescent="0.2">
      <c r="A76" s="49"/>
      <c r="B76" s="51"/>
      <c r="C76" s="51"/>
      <c r="D76" s="51"/>
      <c r="E76" s="50"/>
      <c r="F76" s="202">
        <f>+'DATOS PARA DEPURAR'!E16</f>
        <v>44301</v>
      </c>
      <c r="G76" s="202"/>
      <c r="H76" s="202">
        <f>+H67/0.1</f>
        <v>3800400</v>
      </c>
      <c r="I76" s="202"/>
      <c r="J76" s="202"/>
      <c r="K76" s="202"/>
      <c r="L76" s="202"/>
      <c r="M76" s="202"/>
      <c r="N76" s="202"/>
      <c r="O76" s="202"/>
      <c r="P76" s="202"/>
      <c r="Q76" s="202">
        <f>+Q74/0.1</f>
        <v>0</v>
      </c>
      <c r="R76" s="3" t="s">
        <v>24</v>
      </c>
      <c r="S76" s="1">
        <f>4600*S75</f>
        <v>163792200</v>
      </c>
      <c r="AX76" s="44">
        <v>332.59</v>
      </c>
      <c r="AY76" s="44">
        <f t="shared" si="1"/>
        <v>339.36</v>
      </c>
      <c r="AZ76" s="44">
        <v>12.71</v>
      </c>
      <c r="BA76" s="1">
        <f>+AZ76*'DATOS PARA DEPURAR'!$C$23</f>
        <v>461474.68000000005</v>
      </c>
    </row>
    <row r="77" spans="1:53" hidden="1" x14ac:dyDescent="0.2">
      <c r="A77" s="49"/>
      <c r="B77" s="51"/>
      <c r="C77" s="51"/>
      <c r="D77" s="51"/>
      <c r="E77" s="50"/>
      <c r="F77" s="202">
        <f>+'DATOS PARA DEPURAR'!C16</f>
        <v>44421</v>
      </c>
      <c r="G77" s="202"/>
      <c r="H77" s="328">
        <f>+H76*F79*5%</f>
        <v>-760080</v>
      </c>
      <c r="I77" s="202"/>
      <c r="J77" s="202"/>
      <c r="K77" s="202"/>
      <c r="L77" s="202"/>
      <c r="M77" s="202"/>
      <c r="N77" s="202"/>
      <c r="O77" s="202"/>
      <c r="P77" s="202"/>
      <c r="Q77" s="328">
        <f>+Q76*F79*5%</f>
        <v>0</v>
      </c>
      <c r="AX77" s="48">
        <v>339.37</v>
      </c>
      <c r="AY77" s="48">
        <f t="shared" si="1"/>
        <v>356.33</v>
      </c>
      <c r="AZ77" s="44">
        <v>14.06</v>
      </c>
      <c r="BA77" s="1">
        <f>+AZ77*'DATOS PARA DEPURAR'!$C$23</f>
        <v>510490.48000000004</v>
      </c>
    </row>
    <row r="78" spans="1:53" hidden="1" x14ac:dyDescent="0.2">
      <c r="A78" s="49"/>
      <c r="B78" s="51"/>
      <c r="C78" s="51"/>
      <c r="D78" s="51"/>
      <c r="E78" s="50"/>
      <c r="F78" s="202">
        <f>+F76-F77</f>
        <v>-120</v>
      </c>
      <c r="G78" s="202"/>
      <c r="H78" s="432">
        <f>IF(H77&gt;H76,H76,H77)</f>
        <v>-760080</v>
      </c>
      <c r="I78" s="202"/>
      <c r="J78" s="202"/>
      <c r="K78" s="202"/>
      <c r="L78" s="202"/>
      <c r="M78" s="202"/>
      <c r="N78" s="202"/>
      <c r="O78" s="202"/>
      <c r="P78" s="202"/>
      <c r="Q78" s="432">
        <f>IF(Q77&gt;Q76,Q76,Q77)</f>
        <v>0</v>
      </c>
      <c r="R78" s="2" t="e">
        <f>(IF(#REF!&gt;#REF!,#REF!,IF(#REF!&gt;#REF!,#REF!,0))+Q16)</f>
        <v>#REF!</v>
      </c>
      <c r="AX78" s="44">
        <v>356.34</v>
      </c>
      <c r="AY78" s="44">
        <f t="shared" si="1"/>
        <v>373.3</v>
      </c>
      <c r="AZ78" s="44">
        <v>15.83</v>
      </c>
      <c r="BA78" s="1">
        <f>+AZ78*'DATOS PARA DEPURAR'!$C$23</f>
        <v>574755.64</v>
      </c>
    </row>
    <row r="79" spans="1:53" hidden="1" x14ac:dyDescent="0.2">
      <c r="A79" s="49"/>
      <c r="B79" s="51"/>
      <c r="C79" s="51"/>
      <c r="D79" s="51"/>
      <c r="E79" s="50"/>
      <c r="F79" s="202">
        <f>_xlfn.CEILING.PRECISE(F78/30,1)</f>
        <v>-4</v>
      </c>
      <c r="G79" s="202"/>
      <c r="H79" s="202"/>
      <c r="I79" s="202"/>
      <c r="J79" s="202"/>
      <c r="K79" s="202"/>
      <c r="L79" s="202"/>
      <c r="M79" s="202"/>
      <c r="N79" s="202"/>
      <c r="O79" s="202"/>
      <c r="P79" s="202"/>
      <c r="Q79" s="202"/>
      <c r="AX79" s="44">
        <v>373.31</v>
      </c>
      <c r="AY79" s="44">
        <f t="shared" si="1"/>
        <v>390.27</v>
      </c>
      <c r="AZ79" s="44">
        <v>17.690000000000001</v>
      </c>
      <c r="BA79" s="1">
        <f>+AZ79*'DATOS PARA DEPURAR'!$C$23</f>
        <v>642288.52</v>
      </c>
    </row>
    <row r="80" spans="1:53" hidden="1" x14ac:dyDescent="0.2">
      <c r="A80" s="49"/>
      <c r="B80" s="51"/>
      <c r="C80" s="51"/>
      <c r="D80" s="51"/>
      <c r="E80" s="50"/>
      <c r="F80" s="272" t="s">
        <v>444</v>
      </c>
      <c r="G80" s="329">
        <f>+I62</f>
        <v>3239300</v>
      </c>
      <c r="H80" s="202"/>
      <c r="I80" s="202"/>
      <c r="J80" s="202"/>
      <c r="K80" s="202"/>
      <c r="L80" s="202"/>
      <c r="M80" s="202"/>
      <c r="N80" s="202"/>
      <c r="O80" s="202"/>
      <c r="P80" s="202"/>
      <c r="Q80" s="202"/>
      <c r="R80" t="e">
        <f>IF(S72&gt;S76,Q16+#REF!,R78)</f>
        <v>#REF!</v>
      </c>
      <c r="AX80" s="44">
        <v>390.28</v>
      </c>
      <c r="AY80" s="44">
        <f t="shared" si="1"/>
        <v>407.24</v>
      </c>
      <c r="AZ80" s="44">
        <v>19.649999999999999</v>
      </c>
      <c r="BA80" s="1">
        <f>+AZ80*'DATOS PARA DEPURAR'!$C$23</f>
        <v>713452.2</v>
      </c>
    </row>
    <row r="81" spans="1:53" hidden="1" x14ac:dyDescent="0.2">
      <c r="A81" s="49"/>
      <c r="B81" s="51"/>
      <c r="C81" s="51"/>
      <c r="D81" s="51"/>
      <c r="E81" s="50"/>
      <c r="F81" s="272" t="s">
        <v>429</v>
      </c>
      <c r="G81" s="329">
        <f>IF('DATOS PARA DEPURAR'!C13="S",'IMAS TRABAJADOR POR CTA PROPIA'!I72,0)</f>
        <v>0</v>
      </c>
      <c r="H81" s="202"/>
      <c r="I81" s="202"/>
      <c r="J81" s="202"/>
      <c r="K81" s="202"/>
      <c r="L81" s="202"/>
      <c r="M81" s="202"/>
      <c r="N81" s="202"/>
      <c r="O81" s="202"/>
      <c r="P81" s="202"/>
      <c r="Q81" s="202"/>
      <c r="AX81" s="44">
        <v>407.25</v>
      </c>
      <c r="AY81" s="44">
        <f t="shared" si="1"/>
        <v>424.21000000000004</v>
      </c>
      <c r="AZ81" s="44">
        <v>21.69</v>
      </c>
      <c r="BA81" s="1">
        <f>+AZ81*'DATOS PARA DEPURAR'!$C$23</f>
        <v>787520.52</v>
      </c>
    </row>
    <row r="82" spans="1:53" hidden="1" x14ac:dyDescent="0.2">
      <c r="A82" s="49"/>
      <c r="B82" s="51"/>
      <c r="C82" s="51"/>
      <c r="D82" s="51"/>
      <c r="E82" s="50"/>
      <c r="F82" s="461" t="s">
        <v>445</v>
      </c>
      <c r="G82" s="329">
        <f>IF('DATOS PARA DEPURAR'!C15="S",H78,0)</f>
        <v>0</v>
      </c>
      <c r="H82" s="202">
        <f>'DATOS PARA DEPURAR'!E15</f>
        <v>0</v>
      </c>
      <c r="I82" s="202"/>
      <c r="J82" s="202"/>
      <c r="K82" s="202"/>
      <c r="L82" s="202"/>
      <c r="M82" s="202"/>
      <c r="N82" s="202"/>
      <c r="O82" s="202"/>
      <c r="P82" s="202"/>
      <c r="Q82" s="202"/>
      <c r="X82">
        <v>20000</v>
      </c>
      <c r="AA82">
        <v>408000</v>
      </c>
      <c r="AX82" s="44">
        <v>424.22</v>
      </c>
      <c r="AY82" s="44">
        <f t="shared" si="1"/>
        <v>441.18</v>
      </c>
      <c r="AZ82" s="44">
        <v>23.84</v>
      </c>
      <c r="BA82" s="1">
        <f>+AZ82*'DATOS PARA DEPURAR'!$C$23</f>
        <v>865582.72</v>
      </c>
    </row>
    <row r="83" spans="1:53" ht="13.5" hidden="1" thickBot="1" x14ac:dyDescent="0.25">
      <c r="A83" s="49"/>
      <c r="B83" s="51"/>
      <c r="C83" s="51"/>
      <c r="D83" s="51"/>
      <c r="E83" s="50"/>
      <c r="F83" s="202"/>
      <c r="G83" s="328">
        <f>IF((G80&lt;=0),G81+G82,IF(G81&lt;=0,G80,IF(SUM(G80:G81)&lt;=0,0,0)))</f>
        <v>3239300</v>
      </c>
      <c r="H83" s="202">
        <f>IF(I71&gt;0,H82,0)</f>
        <v>0</v>
      </c>
      <c r="I83" s="202"/>
      <c r="J83" s="202"/>
      <c r="K83" s="202"/>
      <c r="L83" s="202"/>
      <c r="M83" s="202"/>
      <c r="N83" s="202"/>
      <c r="O83" s="202"/>
      <c r="P83" s="202"/>
      <c r="Q83" s="202"/>
      <c r="X83">
        <v>20974</v>
      </c>
      <c r="AA83">
        <v>433700</v>
      </c>
      <c r="AX83" s="44">
        <v>441.19</v>
      </c>
      <c r="AY83" s="44">
        <f t="shared" si="1"/>
        <v>458.15000000000003</v>
      </c>
      <c r="AZ83" s="44">
        <v>26.07</v>
      </c>
      <c r="BA83" s="1">
        <f>+AZ83*'DATOS PARA DEPURAR'!$C$23</f>
        <v>946549.56</v>
      </c>
    </row>
    <row r="84" spans="1:53" hidden="1" x14ac:dyDescent="0.2">
      <c r="A84" s="49"/>
      <c r="B84" s="51"/>
      <c r="C84" s="51"/>
      <c r="D84" s="51"/>
      <c r="E84" s="50"/>
      <c r="L84" s="5">
        <v>0</v>
      </c>
      <c r="M84" s="6">
        <v>95</v>
      </c>
      <c r="O84" s="13">
        <f>IF(L82&lt;=95,0)</f>
        <v>0</v>
      </c>
      <c r="X84">
        <v>22045</v>
      </c>
      <c r="AA84">
        <v>461500</v>
      </c>
      <c r="AX84" s="44">
        <v>458.16</v>
      </c>
      <c r="AY84" s="44">
        <f t="shared" si="1"/>
        <v>475.11</v>
      </c>
      <c r="AZ84" s="44">
        <v>28.39</v>
      </c>
      <c r="BA84" s="1">
        <f>+AZ84*'DATOS PARA DEPURAR'!$C$23</f>
        <v>1030784.12</v>
      </c>
    </row>
    <row r="85" spans="1:53" hidden="1" x14ac:dyDescent="0.2">
      <c r="A85" s="49"/>
      <c r="B85" s="51"/>
      <c r="C85" s="51"/>
      <c r="D85" s="51"/>
      <c r="E85" s="50"/>
      <c r="L85" s="7" t="s">
        <v>9</v>
      </c>
      <c r="M85" s="8">
        <v>150</v>
      </c>
      <c r="O85" s="14" t="b">
        <f>IF(L82&gt;95,(IF(L82&lt;=150,ROUND((((+L82-95)*19%)*O82),-3),0)),FALSE)</f>
        <v>0</v>
      </c>
      <c r="P85" s="1">
        <f>+O85*'DATOS PARA DEPURAR'!C23</f>
        <v>0</v>
      </c>
      <c r="X85">
        <v>23763</v>
      </c>
      <c r="AA85">
        <v>469600</v>
      </c>
      <c r="AX85" s="44">
        <v>475.12</v>
      </c>
      <c r="AY85" s="44">
        <f t="shared" si="1"/>
        <v>492.08</v>
      </c>
      <c r="AZ85" s="44">
        <v>30.8</v>
      </c>
      <c r="BA85" s="1">
        <f>+AZ85*'DATOS PARA DEPURAR'!$C$23</f>
        <v>1118286.4000000001</v>
      </c>
    </row>
    <row r="86" spans="1:53" hidden="1" x14ac:dyDescent="0.2">
      <c r="A86" s="49"/>
      <c r="B86" s="51"/>
      <c r="C86" s="51"/>
      <c r="D86" s="51"/>
      <c r="E86" s="50"/>
      <c r="L86" s="7" t="s">
        <v>6</v>
      </c>
      <c r="M86" s="8">
        <v>360</v>
      </c>
      <c r="O86" s="14">
        <f>IF(L82&gt;150,IF(L82&lt;=360,ROUND((((+L82-150)*28%)*O82),-3),0))+10*O82</f>
        <v>0</v>
      </c>
      <c r="X86">
        <v>24555</v>
      </c>
      <c r="AA86">
        <v>515000</v>
      </c>
      <c r="AX86" s="44">
        <v>492.09</v>
      </c>
      <c r="AY86" s="44">
        <f t="shared" si="1"/>
        <v>509.05</v>
      </c>
      <c r="AZ86" s="44">
        <v>33.29</v>
      </c>
      <c r="BA86" s="1">
        <f>+AZ86*'DATOS PARA DEPURAR'!$C$23</f>
        <v>1208693.32</v>
      </c>
    </row>
    <row r="87" spans="1:53" ht="13.5" hidden="1" thickBot="1" x14ac:dyDescent="0.25">
      <c r="A87" s="49"/>
      <c r="B87" s="51"/>
      <c r="C87" s="51"/>
      <c r="D87" s="51"/>
      <c r="E87" s="50"/>
      <c r="I87" s="1"/>
      <c r="L87" s="9" t="s">
        <v>7</v>
      </c>
      <c r="M87" s="10"/>
      <c r="O87" s="15">
        <f>IF(L82&gt;360,ROUND((((+L82-360)*33%)*O82)+(69*O82),-3),0)</f>
        <v>0</v>
      </c>
      <c r="X87">
        <v>25132</v>
      </c>
      <c r="AA87">
        <v>535600</v>
      </c>
      <c r="AX87" s="44">
        <v>509.06</v>
      </c>
      <c r="AY87" s="44">
        <f t="shared" si="1"/>
        <v>526.02</v>
      </c>
      <c r="AZ87" s="44">
        <v>35.869999999999997</v>
      </c>
      <c r="BA87" s="1">
        <f>+AZ87*'DATOS PARA DEPURAR'!$C$23</f>
        <v>1302367.96</v>
      </c>
    </row>
    <row r="88" spans="1:53" ht="13.5" hidden="1" thickBot="1" x14ac:dyDescent="0.25">
      <c r="A88" s="49"/>
      <c r="B88" s="51"/>
      <c r="C88" s="51"/>
      <c r="D88" s="51"/>
      <c r="E88" s="50"/>
      <c r="X88">
        <v>26049</v>
      </c>
      <c r="AA88">
        <v>566700</v>
      </c>
      <c r="AX88" s="44">
        <v>526.03</v>
      </c>
      <c r="AY88" s="44">
        <f t="shared" si="1"/>
        <v>542.99</v>
      </c>
      <c r="AZ88" s="44">
        <v>38.54</v>
      </c>
      <c r="BA88" s="1">
        <f>+AZ88*'DATOS PARA DEPURAR'!$C$23</f>
        <v>1399310.32</v>
      </c>
    </row>
    <row r="89" spans="1:53" hidden="1" x14ac:dyDescent="0.2">
      <c r="A89" s="49"/>
      <c r="B89" s="51"/>
      <c r="C89" s="51"/>
      <c r="D89" s="51"/>
      <c r="E89" s="50"/>
      <c r="L89" s="1200" t="s">
        <v>11</v>
      </c>
      <c r="M89" s="1201"/>
      <c r="X89">
        <v>26841</v>
      </c>
      <c r="AA89">
        <v>589500</v>
      </c>
      <c r="AX89" s="44">
        <v>543</v>
      </c>
      <c r="AY89" s="44">
        <f t="shared" si="1"/>
        <v>559.96</v>
      </c>
      <c r="AZ89" s="44">
        <v>41.29</v>
      </c>
      <c r="BA89" s="1">
        <f>+AZ89*'DATOS PARA DEPURAR'!$C$23</f>
        <v>1499157.32</v>
      </c>
    </row>
    <row r="90" spans="1:53" ht="13.5" hidden="1" thickBot="1" x14ac:dyDescent="0.25">
      <c r="A90" s="49"/>
      <c r="B90" s="51"/>
      <c r="C90" s="51"/>
      <c r="D90" s="51"/>
      <c r="E90" s="50"/>
      <c r="L90" s="1202">
        <f>IF(O84=0,O84,IF(O85&gt;0,O85,IF(O86&gt;0,O86,IF(O87&gt;0,O87))))</f>
        <v>0</v>
      </c>
      <c r="M90" s="1203"/>
      <c r="AX90" s="44">
        <v>559.97</v>
      </c>
      <c r="AY90" s="44">
        <f t="shared" si="1"/>
        <v>576.93000000000006</v>
      </c>
      <c r="AZ90" s="44">
        <v>44.11</v>
      </c>
      <c r="BA90" s="1">
        <f>+AZ90*'DATOS PARA DEPURAR'!$C$23</f>
        <v>1601545.88</v>
      </c>
    </row>
    <row r="91" spans="1:53" hidden="1" x14ac:dyDescent="0.2">
      <c r="A91" s="49"/>
      <c r="B91" s="51"/>
      <c r="C91" s="51"/>
      <c r="D91" s="51"/>
      <c r="E91" s="50"/>
      <c r="AX91" s="44">
        <v>576.94000000000005</v>
      </c>
      <c r="AY91" s="44">
        <f t="shared" si="1"/>
        <v>593.89</v>
      </c>
      <c r="AZ91" s="44">
        <v>47.02</v>
      </c>
      <c r="BA91" s="1">
        <f>+AZ91*'DATOS PARA DEPURAR'!$C$23</f>
        <v>1707202.1600000001</v>
      </c>
    </row>
    <row r="92" spans="1:53" ht="13.5" hidden="1" thickBot="1" x14ac:dyDescent="0.25">
      <c r="A92" s="49"/>
      <c r="B92" s="51"/>
      <c r="C92" s="51"/>
      <c r="D92" s="51"/>
      <c r="E92" s="50"/>
      <c r="AX92" s="44">
        <v>593.9</v>
      </c>
      <c r="AY92" s="44">
        <f t="shared" si="1"/>
        <v>610.86</v>
      </c>
      <c r="AZ92" s="44">
        <v>50</v>
      </c>
      <c r="BA92" s="1">
        <f>+AZ92*'DATOS PARA DEPURAR'!$C$23</f>
        <v>1815400</v>
      </c>
    </row>
    <row r="93" spans="1:53" hidden="1" x14ac:dyDescent="0.2">
      <c r="A93" s="49"/>
      <c r="B93" s="51"/>
      <c r="C93" s="51"/>
      <c r="D93" s="51"/>
      <c r="E93" s="50"/>
      <c r="L93" s="16"/>
      <c r="M93" s="17"/>
      <c r="N93" s="17"/>
      <c r="O93" s="78">
        <f>IF(E59&gt;E60,E59,E60)</f>
        <v>0</v>
      </c>
      <c r="P93" s="18"/>
      <c r="Q93" s="19" t="s">
        <v>13</v>
      </c>
      <c r="R93" s="20"/>
      <c r="S93" s="20"/>
      <c r="T93" s="20"/>
      <c r="U93" s="20"/>
      <c r="V93" s="20"/>
      <c r="W93" s="17"/>
      <c r="X93" s="17"/>
      <c r="Y93" s="17"/>
      <c r="Z93" s="17"/>
      <c r="AA93" s="17"/>
      <c r="AB93" s="17"/>
      <c r="AC93" s="17"/>
      <c r="AD93" s="17"/>
      <c r="AE93" s="17"/>
      <c r="AF93" s="17"/>
      <c r="AG93" s="17"/>
      <c r="AH93" s="17"/>
      <c r="AI93" s="17"/>
      <c r="AJ93" s="17"/>
      <c r="AK93" s="17"/>
      <c r="AL93" s="17"/>
      <c r="AM93" s="17"/>
      <c r="AN93" s="17"/>
      <c r="AO93" s="21"/>
      <c r="AX93" s="44">
        <v>610.87</v>
      </c>
      <c r="AY93" s="44">
        <f t="shared" si="1"/>
        <v>627.83000000000004</v>
      </c>
      <c r="AZ93" s="44">
        <v>53.06</v>
      </c>
      <c r="BA93" s="1">
        <f>+AZ93*'DATOS PARA DEPURAR'!$C$23</f>
        <v>1926502.48</v>
      </c>
    </row>
    <row r="94" spans="1:53" hidden="1" x14ac:dyDescent="0.2">
      <c r="A94" s="49"/>
      <c r="B94" s="51"/>
      <c r="C94" s="51"/>
      <c r="D94" s="51"/>
      <c r="E94" s="50"/>
      <c r="L94" s="22"/>
      <c r="M94" s="23"/>
      <c r="N94" s="23"/>
      <c r="O94" s="23">
        <f>CEILING(O93,1)</f>
        <v>0</v>
      </c>
      <c r="P94" s="23"/>
      <c r="Q94" s="23"/>
      <c r="R94" s="23"/>
      <c r="S94" s="23"/>
      <c r="T94" s="23"/>
      <c r="U94" s="23"/>
      <c r="V94" s="23"/>
      <c r="W94" s="23"/>
      <c r="X94" s="23"/>
      <c r="Y94" s="23"/>
      <c r="Z94" s="23"/>
      <c r="AA94" s="23"/>
      <c r="AB94" s="23"/>
      <c r="AC94" s="23"/>
      <c r="AD94" s="23"/>
      <c r="AE94" s="23"/>
      <c r="AF94" s="23"/>
      <c r="AG94" s="23"/>
      <c r="AH94" s="23"/>
      <c r="AI94" s="23"/>
      <c r="AJ94" s="23" t="str">
        <f>FIXED(O93,2,FALSE)</f>
        <v>0,00</v>
      </c>
      <c r="AK94" s="23"/>
      <c r="AL94" s="23"/>
      <c r="AM94" s="23"/>
      <c r="AN94" s="23"/>
      <c r="AO94" s="24"/>
      <c r="AX94" s="44">
        <v>627.84</v>
      </c>
      <c r="AY94" s="44">
        <f t="shared" si="1"/>
        <v>644.79999999999995</v>
      </c>
      <c r="AZ94" s="44">
        <v>56.2</v>
      </c>
      <c r="BA94" s="1">
        <f>+AZ94*'DATOS PARA DEPURAR'!$C$23</f>
        <v>2040509.6</v>
      </c>
    </row>
    <row r="95" spans="1:53" hidden="1" x14ac:dyDescent="0.2">
      <c r="A95" s="49"/>
      <c r="B95" s="51"/>
      <c r="C95" s="51"/>
      <c r="D95" s="51"/>
      <c r="E95" s="50"/>
      <c r="L95" s="25"/>
      <c r="M95" s="26"/>
      <c r="N95" s="26"/>
      <c r="O95" s="26">
        <f>((RIGHT(O94,13))-(RIGHT(O94,12)))/1000000000000</f>
        <v>0</v>
      </c>
      <c r="P95" s="26"/>
      <c r="Q95" s="27">
        <f>((RIGHT(O94,12))-(RIGHT(O94,11)))/100000000000</f>
        <v>0</v>
      </c>
      <c r="R95" s="27">
        <f>((RIGHT(O94,11))-(RIGHT(O94,10)))/10000000000</f>
        <v>0</v>
      </c>
      <c r="S95" s="27"/>
      <c r="T95" s="27">
        <f>((RIGHT(O94,10))-(RIGHT(O94,9)))/1000000000</f>
        <v>0</v>
      </c>
      <c r="U95" s="26"/>
      <c r="V95" s="27">
        <f>((RIGHT(O94,9))-(RIGHT(O94,8)))/100000000</f>
        <v>0</v>
      </c>
      <c r="W95" s="27">
        <f>((RIGHT(O94,8))-(RIGHT(O94,7)))/10000000</f>
        <v>0</v>
      </c>
      <c r="X95" s="27"/>
      <c r="Y95" s="27">
        <f>((RIGHT(O94,7))-(RIGHT(O94,6)))/1000000</f>
        <v>0</v>
      </c>
      <c r="Z95" s="26"/>
      <c r="AA95" s="27">
        <f>((RIGHT(O94,6))-(RIGHT(O94,5)))/100000</f>
        <v>0</v>
      </c>
      <c r="AB95" s="27">
        <f>((RIGHT(O94,5))-(RIGHT(O94,4)))/10000</f>
        <v>0</v>
      </c>
      <c r="AC95" s="27"/>
      <c r="AD95" s="27">
        <f>((RIGHT(O94,4))-(RIGHT(O94,3)))/1000</f>
        <v>0</v>
      </c>
      <c r="AE95" s="26"/>
      <c r="AF95" s="28">
        <f>((RIGHT(O94,3))-(RIGHT(O94,2)))/100</f>
        <v>0</v>
      </c>
      <c r="AG95" s="28">
        <f>((RIGHT(O94,2))-(RIGHT(O94,1)))/10</f>
        <v>0</v>
      </c>
      <c r="AH95" s="28"/>
      <c r="AI95" s="28">
        <f>+((RIGHT(O94,1))-AJ95)/1</f>
        <v>0</v>
      </c>
      <c r="AJ95" s="26"/>
      <c r="AK95" s="26"/>
      <c r="AL95" s="26"/>
      <c r="AM95" s="26"/>
      <c r="AN95" s="26"/>
      <c r="AO95" s="29"/>
      <c r="AX95" s="44">
        <v>644.80999999999995</v>
      </c>
      <c r="AY95" s="44">
        <f t="shared" si="1"/>
        <v>661.77</v>
      </c>
      <c r="AZ95" s="44">
        <v>59.4</v>
      </c>
      <c r="BA95" s="1">
        <f>+AZ95*'DATOS PARA DEPURAR'!$C$23</f>
        <v>2156695.1999999997</v>
      </c>
    </row>
    <row r="96" spans="1:53" hidden="1" x14ac:dyDescent="0.2">
      <c r="A96" s="49"/>
      <c r="B96" s="51"/>
      <c r="C96" s="51"/>
      <c r="D96" s="51"/>
      <c r="E96" s="50"/>
      <c r="L96" s="22"/>
      <c r="M96" s="23"/>
      <c r="N96" s="23"/>
      <c r="O96" s="23" t="str">
        <f>IF((O95&gt;8),"NUEVE  ",IF((O95&gt;7),"OCHO   ",IF(O95&gt;6,"SIETE   ",IF(O95&gt;5,"SEIS   ",IF(O95&gt;4,"CINCO  ",IF(O95&gt;3,"CUATRO  ",IF(O95&gt;2,"TRES  ",IF(O95&gt;1,"DOS  ",""))))))))</f>
        <v/>
      </c>
      <c r="P96" s="23" t="str">
        <f>+IF((O94&gt;999999999999)*AND(O95=1)*AND(SUM(Q95:AI95)&gt;0),"UN  BILLON ",+IF(O95=1,"UN  BILLON ",IF((O94&gt;999999999999)*AND(O95&gt;1),"BILLONES  ","")))</f>
        <v/>
      </c>
      <c r="Q96" s="23" t="str">
        <f xml:space="preserve"> IF((Q95&gt;8),"NOVECIENTOS  ",IF((Q95&gt;7),"OCHOCIENTOS   ",IF(Q95&gt;6,"SETECIENTOS    ",IF(Q95&gt;5,"SEICIENTOS    ",IF(Q95&gt;4,"QUINIENTOS  ",IF(Q95&gt;3,"CUATROCIENTOS   ",IF(Q95&gt;2,"TRECIENTOS  ",+IF(Q95&gt;1,"DOCIENTOS",""))))))))</f>
        <v/>
      </c>
      <c r="R96" s="23" t="str">
        <f>IF((R95&gt;8),"NOVENTA  ",IF((R95&gt;7),"OCHENTA   ",IF(R95&gt;6,"SETENTA    ",IF(R95&gt;5,"SESENTA    ",IF(R95&gt;4,"CINCUENTA  ",IF(R95&gt;3,"CUARENTA   ",IF(R95&gt;2,"TREINTA  ",+IF(R95&gt;1,"VEINTI",""))))))))</f>
        <v/>
      </c>
      <c r="S96" s="23" t="str">
        <f>+IF((R95&gt;2)*AND(T95&gt;0),"Y  ","")</f>
        <v/>
      </c>
      <c r="T96" s="23" t="str">
        <f>IF((T95&gt;8),"NUEVE  ",IF((T95&gt;7),"OCHO   ",IF(T95&gt;6,"SIETE   ",IF(T95&gt;5,"SEIS   ",IF(T95&gt;4,"CINCO  ",IF(T95&gt;3,"CUATRO  ",IF(T95&gt;2,"TRES  ",IF(T95&gt;1,"DOS  ",""))))))))</f>
        <v/>
      </c>
      <c r="U96" s="23" t="str">
        <f>+IF((O93&gt;999999999)*AND(T95=1)*AND(SUM(V95:Y95)&gt;0),"UN  MIL ",+IF((T95=1)*AND(SUM(Q95:S95)&gt;0),"UN  MIL ",+IF((SUM(Q95:T95)&gt;1)," MIL ","")))</f>
        <v/>
      </c>
      <c r="V96" s="23" t="str">
        <f>IF((V95&gt;8),"NOVECIENTOS  ",IF((V95&gt;7),"OCHOCIENTOS   ",IF(V95&gt;6,"SETECIENTOS    ",IF(V95&gt;5,"SEICIENTOS    ",IF(V95&gt;4,"QUINIENTOS  ",IF(V95&gt;3,"CUATROCIENTOS   ",IF(V95&gt;2,"TRECIENTOS  ",+IF(V95&gt;1,"DOCIENTOS",""))))))))</f>
        <v/>
      </c>
      <c r="W96" s="23" t="str">
        <f>IF((W95&gt;8),"NOVENTA  ",IF((W95&gt;7),"OCHENTA   ",IF(W95&gt;6,"SETENTA    ",IF(W95&gt;5,"SESENTA    ",IF(W95&gt;4,"CINCUENTA  ",IF(W95&gt;3,"CUARENTA   ",IF(W95&gt;2,"TREINTA  ",+IF(W95&gt;1,"VEINTI",""))))))))</f>
        <v/>
      </c>
      <c r="X96" s="23" t="str">
        <f>+IF((W95&gt;2)*AND(Y95&gt;0),"Y  ","")</f>
        <v/>
      </c>
      <c r="Y96" s="23" t="str">
        <f>IF((Y95&gt;8),"NUEVE  ",IF((Y95&gt;7),"OCHO   ",IF(Y95&gt;6,"SIETE   ",IF(Y95&gt;5,"SEIS   ",IF(Y95&gt;4,"CINCO  ",IF(Y95&gt;3,"CUATRO  ",IF(Y95&gt;2,"TRES  ",IF(Y95&gt;1,"DOS  ",""))))))))</f>
        <v/>
      </c>
      <c r="Z96" s="23" t="str">
        <f>+IF((O94&gt;999999)*AND(Y95=1)*AND(SUM(AA95:AI95)&gt;0),"UN  MILLON ",+IF((Y95=1)*AND(SUM(O95:X95)&gt;0),"UN  MILLON ",+IF((SUM(Q95:Y95)&gt;0),"MILLONES  "," ")))</f>
        <v xml:space="preserve"> </v>
      </c>
      <c r="AA96" s="23" t="str">
        <f>IF((AA95&gt;8),"NOVECIENTOS  ",IF((AA95&gt;7),"OCHOCIENTOS   ",IF(AA95&gt;6,"SETECIENTOS    ",IF(AA95&gt;5,"SEICIENTOS    ",IF(AA95&gt;4,"QUINIENTOS  ",IF(AA95&gt;3,"CUATROCIENTOS   ",IF(AA95&gt;2,"TRECIENTOS  ",+IF(AA95&gt;1,"DOCIENTOS ",""))))))))</f>
        <v/>
      </c>
      <c r="AB96" s="23" t="str">
        <f>IF((AB95&gt;8),"NOVENTA  ",IF((AB95&gt;7),"OCHENTA   ",IF(AB95&gt;6,"SETENTA    ",IF(AB95&gt;5,"SESENTA    ",IF(AB95&gt;4,"CINCUENTA  ",IF(AB95&gt;3,"CUARENTA   ",IF(AB95&gt;2,"TREINTA  ",+IF(AB95&gt;1,"VEINTI",""))))))))</f>
        <v/>
      </c>
      <c r="AC96" s="23" t="str">
        <f>+IF((AB95&gt;2)*AND(AD95&gt;0),"Y  ","")</f>
        <v/>
      </c>
      <c r="AD96" s="23" t="str">
        <f>IF((AD95&gt;8),"NUEVE  ",IF((AD95&gt;7),"OCHO   ",IF(AD95&gt;6,"SIETE   ",IF(AD95&gt;5,"SEIS   ",IF(AD95&gt;4,"CINCO  ",IF(AD95&gt;3,"CUATRO  ",IF(AD95&gt;2,"TRES  ",IF(AD95&gt;1,"DOS  ",""))))))))</f>
        <v/>
      </c>
      <c r="AE96" s="23" t="str">
        <f>+IF((O94&gt;999)*AND(AD95=1)*AND(SUM(AF95:AI95)&gt;0),"UN  MIL ",+IF((AD95=1)*AND(SUM(AA95:AC95)&gt;0),"UN  MIL ",+IF((SUM(AA95:AD95)&gt;1)," MIL ","")))</f>
        <v/>
      </c>
      <c r="AF96" s="23" t="str">
        <f>IF((AF95&gt;8),"NOVECIENTOS  ",IF((AF95&gt;7),"OCHOCIENTOS   ",IF(AF95&gt;6,"SETECIENTOS    ",IF(AF95&gt;5,"SEICIENTOS    ",IF(AF95&gt;4,"QUINIENTOS  ",IF(AF95&gt;3,"CUATROCIENTOS   ",IF(AF95&gt;2,"TRECIENTOS  ",+IF(AF95&gt;1,"DOCIENTOS  ",""))))))))</f>
        <v/>
      </c>
      <c r="AG96" s="23" t="str">
        <f>IF((AG95&gt;8),"NOVENTA  ",IF((AG95&gt;7),"OCHENTA   ",IF(AG95&gt;6,"SETENTA    ",IF(AG95&gt;5,"SESENTA    ",IF(AG95&gt;4,"CINCUENTA  ",IF(AG95&gt;3,"CUARENTA   ",IF(AG95&gt;2,"TREINTA  ",+IF(AG95&gt;1,"VEINTI",""))))))))</f>
        <v/>
      </c>
      <c r="AH96" s="23" t="str">
        <f>+IF((AG95&gt;2)*AND(AI95&gt;0),"Y  ","")</f>
        <v/>
      </c>
      <c r="AI96" s="23" t="str">
        <f>IF((AI95&gt;8),"NUEVE   ",IF((AI95&gt;7),"OCHO   ",IF(AI95&gt;6,"SIETE   ",IF(AI95&gt;5,"SEIS   ",IF(AI95&gt;4,"CINCO   ",IF(AI95&gt;3,"CUATRO   ",IF(AI95&gt;2,"TRES   ",IF(AI95&gt;1,"DOS   ",""))))))))</f>
        <v/>
      </c>
      <c r="AJ96" s="23" t="str">
        <f>+IF((O94=1)*AND(AI95=1),"UN PESO",+IF((AI95=1)*AND(SUM(O95:AH95)&gt;0),"UN PESOS",IF((SUM(AK95:AM95)&gt;0)*AND(AI95=0)*AND(SUM(O95:AI95)&lt;1),"CERO PESOS  ","PESOS")))</f>
        <v>PESOS</v>
      </c>
      <c r="AK96" s="23" t="str">
        <f>IF((AK95&gt;8),"NOVENTA  ",IF((AK95&gt;7),"OCHENTA   ",IF(AK95&gt;6,"SETENTA    ",IF(AK95&gt;5,"SESENTA    ",IF(AK95&gt;4,"CINCUENTA  ",IF(AK95&gt;3,"CUARENTA   ",IF(AK95&gt;2,"TREINTA  ",+IF(AK95&gt;1,"VEINTI",""))))))))</f>
        <v/>
      </c>
      <c r="AL96" s="23" t="str">
        <f>+IF((AK95&gt;2)*AND(AM95&gt;0),"Y  ","")</f>
        <v/>
      </c>
      <c r="AM96" s="23" t="str">
        <f>IF((AM95&gt;8),"NUEVE   ",IF((AM95&gt;7),"OCHO   ",IF(AM95&gt;6,"SIETE   ",IF(AM95&gt;5,"SEIS   ",IF(AM95&gt;4,"CINCO   ",IF(AM95&gt;3,"CUATRO   ",IF(AM95&gt;2,"TRES   ",IF(AM95&gt;1,"DOS   ",""))))))))</f>
        <v/>
      </c>
      <c r="AN96" s="23" t="str">
        <f>+IF((SUM(AK95:AM95)=1)*AND(AM95=1),"UN  CENTAVO",+IF((AM95=1)*AND(AK95&gt;1),"UN  CENTAVOS",IF(AJ94&lt;0,"CERO CENTAVOS",IF((SUM(AK95:AM95)&gt;0)*AND(AJ94&gt;0.01)," CENTAVOS ","  "))))</f>
        <v xml:space="preserve">  </v>
      </c>
      <c r="AO96" s="24"/>
      <c r="AX96" s="44">
        <v>661.78</v>
      </c>
      <c r="AY96" s="44">
        <f t="shared" si="1"/>
        <v>678.74</v>
      </c>
      <c r="AZ96" s="44">
        <v>62.68</v>
      </c>
      <c r="BA96" s="1">
        <f>+AZ96*'DATOS PARA DEPURAR'!$C$23</f>
        <v>2275785.44</v>
      </c>
    </row>
    <row r="97" spans="1:53" hidden="1" x14ac:dyDescent="0.2">
      <c r="A97" s="49"/>
      <c r="B97" s="51"/>
      <c r="C97" s="51"/>
      <c r="D97" s="51"/>
      <c r="E97" s="50"/>
      <c r="L97" s="22"/>
      <c r="M97" s="23"/>
      <c r="N97" s="23"/>
      <c r="O97" s="23"/>
      <c r="P97" s="23"/>
      <c r="Q97" s="23" t="str">
        <f>+IF((Q95=1)*AND(SUM(R95:T95)&gt;0),"CIENTO",IF(Q95=1,"CIEN"," "))</f>
        <v xml:space="preserve"> </v>
      </c>
      <c r="R97" s="23" t="str">
        <f>IF((R95=2)*AND(T95=0),"VEINTE ",+IF((R95=1)*AND(T95&gt;5),"DIECI",+IF((R95=1)*AND(T95&gt;4),"QUINCE ",+IF((R95=1)*AND(T95&gt;3),"CATORCE ",+IF((R95=1)*AND(T95&gt;2),"TRECE ",+IF((R95=1)*AND(T95&gt;1),"DOCE ",+IF((R95=1)*AND(T95&gt;0),"ONCE ",IF(R95=1,"DIEZ ",""))))))))</f>
        <v/>
      </c>
      <c r="S97" s="23"/>
      <c r="T97" s="23"/>
      <c r="U97" s="23"/>
      <c r="V97" s="23" t="str">
        <f>+IF((V95=1)*AND(SUM(W95:Y95)&gt;0),"CIENTO  ",IF(V95=1,"CIEN"," "))</f>
        <v xml:space="preserve"> </v>
      </c>
      <c r="W97" s="23" t="str">
        <f>IF((W95=2)*AND(Y95=0),"VEINTE ",+IF((W95=1)*AND(Y95&gt;5),"DIECI",+IF((W95=1)*AND(Y95&gt;4),"QUINCE ",+IF((W95=1)*AND(Y95&gt;3),"CATORCE ",+IF((W95=1)*AND(Y95&gt;2),"TRECE ",+IF((W95=1)*AND(Y95&gt;1),"DOCE ",+IF((W95=1)*AND(Y95&gt;0),"ONCE ",IF(W95=1,"DIEZ ",""))))))))</f>
        <v/>
      </c>
      <c r="X97" s="23"/>
      <c r="Y97" s="23"/>
      <c r="Z97" s="23"/>
      <c r="AA97" s="23" t="str">
        <f>+IF((AA95=1)*AND(SUM(AB95:AD95)&gt;0),"CIENTO",IF(AA95=1,"CIEN"," "))</f>
        <v xml:space="preserve"> </v>
      </c>
      <c r="AB97" s="23" t="str">
        <f>IF((AB95=2)*AND(AD95=0),"VEINTE ",+IF((AB95=1)*AND(AD95&gt;5),"DIECI",+IF((AB95=1)*AND(AD95&gt;4),"QUINCE ",+IF((AB95=1)*AND(AD95&gt;3),"CATORCE ",+IF((AB95=1)*AND(AD95&gt;2),"TRECE ",+IF((AB95=1)*AND(AD95&gt;1),"DOCE ",+IF((AB95=1)*AND(AD95&gt;0),"ONCE ",IF(AB95=1,"DIEZ ",""))))))))</f>
        <v/>
      </c>
      <c r="AC97" s="23"/>
      <c r="AD97" s="23"/>
      <c r="AE97" s="23"/>
      <c r="AF97" s="23" t="str">
        <f>+IF((AF95=1)*AND(SUM(AG95:AI95)&gt;0),"CIENTO  ",IF(AF95=1,"CIEN"," "))</f>
        <v xml:space="preserve"> </v>
      </c>
      <c r="AG97" s="23" t="str">
        <f>IF((AG95=2)*AND(AI95=0),"VEINTE ",+IF((AG95=1)*AND(AI95&gt;5),"DIECI",+IF((AG95=1)*AND(AI95&gt;4),"QUINCE ",+IF((AG95=1)*AND(AI95&gt;3),"CATORCE ",+IF((AG95=1)*AND(AI95&gt;2),"TRECE ",+IF((AG95=1)*AND(AI95&gt;1),"DOCE ",+IF((AG95=1)*AND(AI95&gt;0),"ONCE ",IF(AG95=1,"DIEZ ",""))))))))</f>
        <v/>
      </c>
      <c r="AH97" s="23"/>
      <c r="AI97" s="23"/>
      <c r="AJ97" s="23"/>
      <c r="AK97" s="23" t="str">
        <f>IF((AK95=2)*AND(AM95=0),"VEINTE ",+IF((AK95=1)*AND(AM95&gt;5),"DIECI",+IF((AK95=1)*AND(AM95&gt;4),"QUINCE ",+IF((AK95=1)*AND(AM95&gt;3),"CATORCE ",+IF((AK95=1)*AND(AM95&gt;2),"TRECE ",+IF((AK95=1)*AND(AM95&gt;1),"DOCE ",+IF((AK95=1)*AND(AM95&gt;0),"ONCE ",IF(AK95=1,"DIEZ ",""))))))))</f>
        <v/>
      </c>
      <c r="AL97" s="23"/>
      <c r="AM97" s="23"/>
      <c r="AN97" s="23"/>
      <c r="AO97" s="24"/>
      <c r="AX97" s="44">
        <v>678.75</v>
      </c>
      <c r="AY97" s="44">
        <f t="shared" si="1"/>
        <v>695.71</v>
      </c>
      <c r="AZ97" s="44">
        <v>66.02</v>
      </c>
      <c r="BA97" s="1">
        <f>+AZ97*'DATOS PARA DEPURAR'!$C$23</f>
        <v>2397054.1599999997</v>
      </c>
    </row>
    <row r="98" spans="1:53" ht="13.5" hidden="1" thickBot="1" x14ac:dyDescent="0.25">
      <c r="A98" s="49"/>
      <c r="B98" s="51"/>
      <c r="C98" s="51"/>
      <c r="D98" s="51"/>
      <c r="E98" s="50"/>
      <c r="L98" s="30"/>
      <c r="M98" s="31"/>
      <c r="N98" s="31"/>
      <c r="O98" s="1193" t="str">
        <f>+IF(O93=0,"CERO"," ")&amp;IF((L96=""),L97,L96)&amp;IF(M97="VEINTE ","",M96)&amp;N96&amp;IF(M97="",O96,M97)&amp;IF(M97="DIECI",O96,"")&amp;P96&amp;IF((Q96=""),Q97,Q96)&amp;IF(R97="VEINTE ","",R96)&amp;S96&amp;IF(R97="",T96,R97)&amp;IF(R97="DIECI",T96,"")&amp;U96&amp;IF((V96=""),V97,V96)&amp;IF(W97="VEINTE ","",W96)&amp;X96&amp;IF(W97="",Y96,W97)&amp;IF(W97="DIECI",Y96,"")&amp;Z96&amp;IF((AA96=""),AA97,AA96)&amp;IF(AB97="VEINTE ","",AB96)&amp;AC96&amp;IF(AB97="",AD96,AB97)&amp;IF(AB97="DIECI",AD96,"")&amp;AE96&amp;IF((AF96=""),AF97,AF96)&amp;IF(AG97="VEINTE ","",AG96)&amp;AH96&amp;IF(AG97="",AI96,AG97)&amp;IF(AG97="DIECI",AI96,"")&amp;IF((SUM(V95:Y95)&gt;0)*AND(SUM(AA95:AI95)&lt;1),"DE  ","")&amp;AJ96&amp;IF((SUM(AK95:AM95)&gt;0),"  CON  ","")&amp;IF(AK97="VEINTE ","",AK96)&amp;AL96&amp;IF(AK97="",AM96,AK97)&amp;IF(AK97="DIECI",AM96,"")&amp;AN96&amp;"M/CTE"</f>
        <v>CERO     PESOS  M/CTE</v>
      </c>
      <c r="P98" s="1193"/>
      <c r="Q98" s="1193"/>
      <c r="R98" s="1193"/>
      <c r="S98" s="1193"/>
      <c r="T98" s="1193"/>
      <c r="U98" s="1193"/>
      <c r="V98" s="1193"/>
      <c r="W98" s="1193"/>
      <c r="X98" s="1193"/>
      <c r="Y98" s="1193"/>
      <c r="Z98" s="1193"/>
      <c r="AA98" s="1193"/>
      <c r="AB98" s="1193"/>
      <c r="AC98" s="1193"/>
      <c r="AD98" s="1193"/>
      <c r="AE98" s="1193"/>
      <c r="AF98" s="1193"/>
      <c r="AG98" s="1193"/>
      <c r="AH98" s="1193"/>
      <c r="AI98" s="1193"/>
      <c r="AJ98" s="1193"/>
      <c r="AK98" s="1193"/>
      <c r="AL98" s="1193"/>
      <c r="AM98" s="1193"/>
      <c r="AN98" s="1193"/>
      <c r="AO98" s="1194"/>
      <c r="AX98" s="44">
        <v>695.72</v>
      </c>
      <c r="AY98" s="44">
        <f t="shared" si="1"/>
        <v>712.68000000000006</v>
      </c>
      <c r="AZ98" s="44">
        <v>69.430000000000007</v>
      </c>
      <c r="BA98" s="1">
        <f>+AZ98*'DATOS PARA DEPURAR'!$C$23</f>
        <v>2520864.4400000004</v>
      </c>
    </row>
    <row r="99" spans="1:53" hidden="1" x14ac:dyDescent="0.2">
      <c r="A99" s="49"/>
      <c r="B99" s="51"/>
      <c r="C99" s="51"/>
      <c r="D99" s="51"/>
      <c r="E99" s="50"/>
      <c r="AX99" s="44">
        <v>712.69</v>
      </c>
      <c r="AY99" s="44">
        <f t="shared" si="1"/>
        <v>729.64</v>
      </c>
      <c r="AZ99" s="44">
        <v>72.900000000000006</v>
      </c>
      <c r="BA99" s="1">
        <f>+AZ99*'DATOS PARA DEPURAR'!$C$23</f>
        <v>2646853.2000000002</v>
      </c>
    </row>
    <row r="100" spans="1:53" hidden="1" x14ac:dyDescent="0.2">
      <c r="A100" s="49"/>
      <c r="B100" s="51"/>
      <c r="C100" s="51"/>
      <c r="D100" s="51"/>
      <c r="E100" s="50"/>
      <c r="AX100" s="44">
        <v>729.65</v>
      </c>
      <c r="AY100" s="44">
        <f t="shared" si="1"/>
        <v>746.61</v>
      </c>
      <c r="AZ100" s="44">
        <v>76.430000000000007</v>
      </c>
      <c r="BA100" s="1">
        <f>+AZ100*'DATOS PARA DEPURAR'!$C$23</f>
        <v>2775020.4400000004</v>
      </c>
    </row>
    <row r="101" spans="1:53" hidden="1" x14ac:dyDescent="0.2">
      <c r="A101" s="49"/>
      <c r="B101" s="51"/>
      <c r="C101" s="51"/>
      <c r="D101" s="51"/>
      <c r="E101" s="50"/>
      <c r="AX101" s="44">
        <v>746.62</v>
      </c>
      <c r="AY101" s="44">
        <f t="shared" si="1"/>
        <v>763.58</v>
      </c>
      <c r="AZ101" s="44">
        <v>80.03</v>
      </c>
      <c r="BA101" s="1">
        <f>+AZ101*'DATOS PARA DEPURAR'!$C$23</f>
        <v>2905729.24</v>
      </c>
    </row>
    <row r="102" spans="1:53" hidden="1" x14ac:dyDescent="0.2">
      <c r="A102" s="49"/>
      <c r="B102" s="51"/>
      <c r="C102" s="51"/>
      <c r="D102" s="51"/>
      <c r="E102" s="50"/>
      <c r="AX102" s="44">
        <v>763.59</v>
      </c>
      <c r="AY102" s="44">
        <f t="shared" si="1"/>
        <v>780.55</v>
      </c>
      <c r="AZ102" s="44">
        <v>83.68</v>
      </c>
      <c r="BA102" s="1">
        <f>+AZ102*'DATOS PARA DEPURAR'!$C$23</f>
        <v>3038253.4400000004</v>
      </c>
    </row>
    <row r="103" spans="1:53" hidden="1" x14ac:dyDescent="0.2">
      <c r="A103" s="49"/>
      <c r="B103" s="51"/>
      <c r="C103" s="51"/>
      <c r="D103" s="51"/>
      <c r="E103" s="50"/>
      <c r="AX103" s="44">
        <v>780.56</v>
      </c>
      <c r="AY103" s="44">
        <f t="shared" si="1"/>
        <v>797.52</v>
      </c>
      <c r="AZ103" s="44">
        <v>87.39</v>
      </c>
      <c r="BA103" s="1">
        <f>+AZ103*'DATOS PARA DEPURAR'!$C$23</f>
        <v>3172956.12</v>
      </c>
    </row>
    <row r="104" spans="1:53" hidden="1" x14ac:dyDescent="0.2">
      <c r="A104" s="49"/>
      <c r="B104" s="51"/>
      <c r="C104" s="51"/>
      <c r="D104" s="51"/>
      <c r="E104" s="50"/>
      <c r="AX104" s="44">
        <v>797.53</v>
      </c>
      <c r="AY104" s="44">
        <f t="shared" si="1"/>
        <v>814.49</v>
      </c>
      <c r="AZ104" s="44">
        <v>91.15</v>
      </c>
      <c r="BA104" s="1">
        <f>+AZ104*'DATOS PARA DEPURAR'!$C$23</f>
        <v>3309474.2</v>
      </c>
    </row>
    <row r="105" spans="1:53" hidden="1" x14ac:dyDescent="0.2">
      <c r="A105" s="49"/>
      <c r="B105" s="51"/>
      <c r="C105" s="51"/>
      <c r="D105" s="51"/>
      <c r="E105" s="50"/>
      <c r="AX105" s="44">
        <v>814.5</v>
      </c>
      <c r="AY105" s="44">
        <f t="shared" ref="AY105:AY122" si="4">+AX106-0.01</f>
        <v>831.46</v>
      </c>
      <c r="AZ105" s="44">
        <v>94.96</v>
      </c>
      <c r="BA105" s="1">
        <f>+AZ105*'DATOS PARA DEPURAR'!$C$23</f>
        <v>3447807.6799999997</v>
      </c>
    </row>
    <row r="106" spans="1:53" hidden="1" x14ac:dyDescent="0.2">
      <c r="A106" s="49"/>
      <c r="B106" s="51"/>
      <c r="C106" s="51"/>
      <c r="D106" s="51"/>
      <c r="E106" s="50"/>
      <c r="AX106" s="44">
        <v>831.47</v>
      </c>
      <c r="AY106" s="44">
        <f t="shared" si="4"/>
        <v>848.43000000000006</v>
      </c>
      <c r="AZ106" s="44">
        <v>98.81</v>
      </c>
      <c r="BA106" s="1">
        <f>+AZ106*'DATOS PARA DEPURAR'!$C$23</f>
        <v>3587593.48</v>
      </c>
    </row>
    <row r="107" spans="1:53" hidden="1" x14ac:dyDescent="0.2">
      <c r="A107" s="49"/>
      <c r="B107" s="51"/>
      <c r="C107" s="51"/>
      <c r="D107" s="51"/>
      <c r="E107" s="50"/>
      <c r="AX107" s="44">
        <v>848.44</v>
      </c>
      <c r="AY107" s="44">
        <f t="shared" si="4"/>
        <v>865.39</v>
      </c>
      <c r="AZ107" s="44">
        <v>102.72</v>
      </c>
      <c r="BA107" s="1">
        <f>+AZ107*'DATOS PARA DEPURAR'!$C$23</f>
        <v>3729557.76</v>
      </c>
    </row>
    <row r="108" spans="1:53" hidden="1" x14ac:dyDescent="0.2">
      <c r="A108" s="49"/>
      <c r="B108" s="51"/>
      <c r="C108" s="51"/>
      <c r="D108" s="51"/>
      <c r="E108" s="50"/>
      <c r="AX108" s="44">
        <v>865.4</v>
      </c>
      <c r="AY108" s="44">
        <f t="shared" si="4"/>
        <v>882.36</v>
      </c>
      <c r="AZ108" s="44">
        <v>106.67</v>
      </c>
      <c r="BA108" s="1">
        <f>+AZ108*'DATOS PARA DEPURAR'!$C$23</f>
        <v>3872974.36</v>
      </c>
    </row>
    <row r="109" spans="1:53" hidden="1" x14ac:dyDescent="0.2">
      <c r="A109" s="49"/>
      <c r="B109" s="51"/>
      <c r="C109" s="51"/>
      <c r="D109" s="51"/>
      <c r="E109" s="50"/>
      <c r="AX109" s="44">
        <v>882.37</v>
      </c>
      <c r="AY109" s="44">
        <f t="shared" si="4"/>
        <v>899.33</v>
      </c>
      <c r="AZ109" s="44">
        <v>110.65</v>
      </c>
      <c r="BA109" s="1">
        <f>+AZ109*'DATOS PARA DEPURAR'!$C$23</f>
        <v>4017480.2</v>
      </c>
    </row>
    <row r="110" spans="1:53" hidden="1" x14ac:dyDescent="0.2">
      <c r="A110" s="49"/>
      <c r="B110" s="51"/>
      <c r="C110" s="51"/>
      <c r="D110" s="51"/>
      <c r="E110" s="50"/>
      <c r="AX110" s="44">
        <v>899.34</v>
      </c>
      <c r="AY110" s="44">
        <f t="shared" si="4"/>
        <v>916.3</v>
      </c>
      <c r="AZ110" s="44">
        <v>114.68</v>
      </c>
      <c r="BA110" s="1">
        <f>+AZ110*'DATOS PARA DEPURAR'!$C$23</f>
        <v>4163801.4400000004</v>
      </c>
    </row>
    <row r="111" spans="1:53" hidden="1" x14ac:dyDescent="0.2">
      <c r="A111" s="49"/>
      <c r="B111" s="51"/>
      <c r="C111" s="51"/>
      <c r="D111" s="51"/>
      <c r="E111" s="50"/>
      <c r="AX111" s="44">
        <v>916.31</v>
      </c>
      <c r="AY111" s="44">
        <f t="shared" si="4"/>
        <v>933.27</v>
      </c>
      <c r="AZ111" s="44">
        <v>118.74</v>
      </c>
      <c r="BA111" s="1">
        <f>+AZ111*'DATOS PARA DEPURAR'!$C$23</f>
        <v>4311211.92</v>
      </c>
    </row>
    <row r="112" spans="1:53" hidden="1" x14ac:dyDescent="0.2">
      <c r="A112" s="49"/>
      <c r="B112" s="51"/>
      <c r="C112" s="51"/>
      <c r="D112" s="51"/>
      <c r="E112" s="50"/>
      <c r="AX112" s="44">
        <v>933.28</v>
      </c>
      <c r="AY112" s="44">
        <f t="shared" si="4"/>
        <v>950.24</v>
      </c>
      <c r="AZ112" s="44">
        <v>122.84</v>
      </c>
      <c r="BA112" s="1">
        <f>+AZ112*'DATOS PARA DEPURAR'!$C$23</f>
        <v>4460074.72</v>
      </c>
    </row>
    <row r="113" spans="1:53" hidden="1" x14ac:dyDescent="0.2">
      <c r="A113" s="49"/>
      <c r="B113" s="51"/>
      <c r="C113" s="51"/>
      <c r="D113" s="51"/>
      <c r="E113" s="50"/>
      <c r="AX113" s="44">
        <v>950.25</v>
      </c>
      <c r="AY113" s="44">
        <f t="shared" si="4"/>
        <v>967.21</v>
      </c>
      <c r="AZ113" s="44">
        <v>126.96</v>
      </c>
      <c r="BA113" s="1">
        <f>+AZ113*'DATOS PARA DEPURAR'!$C$23</f>
        <v>4609663.68</v>
      </c>
    </row>
    <row r="114" spans="1:53" hidden="1" x14ac:dyDescent="0.2">
      <c r="A114" s="49"/>
      <c r="B114" s="51"/>
      <c r="C114" s="51"/>
      <c r="D114" s="51"/>
      <c r="E114" s="50"/>
      <c r="AX114" s="44">
        <v>967.22</v>
      </c>
      <c r="AY114" s="44">
        <f t="shared" si="4"/>
        <v>984.18000000000006</v>
      </c>
      <c r="AZ114" s="44">
        <v>131.11000000000001</v>
      </c>
      <c r="BA114" s="1">
        <f>+AZ114*'DATOS PARA DEPURAR'!$C$23</f>
        <v>4760341.8800000008</v>
      </c>
    </row>
    <row r="115" spans="1:53" hidden="1" x14ac:dyDescent="0.2">
      <c r="A115" s="49"/>
      <c r="B115" s="51"/>
      <c r="C115" s="51"/>
      <c r="D115" s="51"/>
      <c r="E115" s="50"/>
      <c r="AX115" s="44">
        <v>984.19</v>
      </c>
      <c r="AY115" s="44">
        <f t="shared" si="4"/>
        <v>1001.14</v>
      </c>
      <c r="AZ115" s="44">
        <v>135.29</v>
      </c>
      <c r="BA115" s="1">
        <f>+AZ115*'DATOS PARA DEPURAR'!$C$23</f>
        <v>4912109.3199999994</v>
      </c>
    </row>
    <row r="116" spans="1:53" hidden="1" x14ac:dyDescent="0.2">
      <c r="A116" s="49"/>
      <c r="B116" s="51"/>
      <c r="C116" s="51"/>
      <c r="D116" s="51"/>
      <c r="E116" s="50"/>
      <c r="AX116" s="45">
        <v>1001.15</v>
      </c>
      <c r="AY116" s="44">
        <f t="shared" si="4"/>
        <v>1018.11</v>
      </c>
      <c r="AZ116" s="44">
        <v>139.49</v>
      </c>
      <c r="BA116" s="1">
        <f>+AZ116*'DATOS PARA DEPURAR'!$C$23</f>
        <v>5064602.92</v>
      </c>
    </row>
    <row r="117" spans="1:53" hidden="1" x14ac:dyDescent="0.2">
      <c r="A117" s="49"/>
      <c r="B117" s="51"/>
      <c r="C117" s="51"/>
      <c r="D117" s="51"/>
      <c r="E117" s="50"/>
      <c r="AX117" s="45">
        <v>1018.12</v>
      </c>
      <c r="AY117" s="44">
        <f t="shared" si="4"/>
        <v>1035.08</v>
      </c>
      <c r="AZ117" s="44">
        <v>143.71</v>
      </c>
      <c r="BA117" s="1">
        <f>+AZ117*'DATOS PARA DEPURAR'!$C$23</f>
        <v>5217822.6800000006</v>
      </c>
    </row>
    <row r="118" spans="1:53" hidden="1" x14ac:dyDescent="0.2">
      <c r="A118" s="49"/>
      <c r="B118" s="51"/>
      <c r="C118" s="51"/>
      <c r="D118" s="51"/>
      <c r="E118" s="50"/>
      <c r="AX118" s="45">
        <v>1035.0899999999999</v>
      </c>
      <c r="AY118" s="44">
        <f t="shared" si="4"/>
        <v>1052.05</v>
      </c>
      <c r="AZ118" s="44">
        <v>147.94</v>
      </c>
      <c r="BA118" s="1">
        <f>+AZ118*'DATOS PARA DEPURAR'!$C$23</f>
        <v>5371405.5199999996</v>
      </c>
    </row>
    <row r="119" spans="1:53" hidden="1" x14ac:dyDescent="0.2">
      <c r="A119" s="49"/>
      <c r="B119" s="51"/>
      <c r="C119" s="51"/>
      <c r="D119" s="51"/>
      <c r="E119" s="50"/>
      <c r="AX119" s="45">
        <v>1052.06</v>
      </c>
      <c r="AY119" s="44">
        <f t="shared" si="4"/>
        <v>1069.02</v>
      </c>
      <c r="AZ119" s="44">
        <v>152.19</v>
      </c>
      <c r="BA119" s="1">
        <f>+AZ119*'DATOS PARA DEPURAR'!$C$23</f>
        <v>5525714.5199999996</v>
      </c>
    </row>
    <row r="120" spans="1:53" hidden="1" x14ac:dyDescent="0.2">
      <c r="A120" s="49"/>
      <c r="B120" s="51"/>
      <c r="C120" s="51"/>
      <c r="D120" s="51"/>
      <c r="E120" s="50"/>
      <c r="AX120" s="45">
        <v>1069.03</v>
      </c>
      <c r="AY120" s="44">
        <f t="shared" si="4"/>
        <v>1085.99</v>
      </c>
      <c r="AZ120" s="44">
        <v>156.44999999999999</v>
      </c>
      <c r="BA120" s="1">
        <f>+AZ120*'DATOS PARA DEPURAR'!$C$23</f>
        <v>5680386.5999999996</v>
      </c>
    </row>
    <row r="121" spans="1:53" hidden="1" x14ac:dyDescent="0.2">
      <c r="A121" s="49"/>
      <c r="B121" s="51"/>
      <c r="C121" s="51"/>
      <c r="D121" s="51"/>
      <c r="E121" s="50"/>
      <c r="AX121" s="45">
        <v>1086</v>
      </c>
      <c r="AY121" s="44">
        <f t="shared" si="4"/>
        <v>1102.96</v>
      </c>
      <c r="AZ121" s="44">
        <v>160.72</v>
      </c>
      <c r="BA121" s="1">
        <f>+AZ121*'DATOS PARA DEPURAR'!$C$23</f>
        <v>5835421.7599999998</v>
      </c>
    </row>
    <row r="122" spans="1:53" hidden="1" x14ac:dyDescent="0.2">
      <c r="A122" s="49"/>
      <c r="B122" s="51"/>
      <c r="C122" s="51"/>
      <c r="D122" s="51"/>
      <c r="E122" s="50"/>
      <c r="AX122" s="45">
        <v>1102.97</v>
      </c>
      <c r="AY122" s="44">
        <f t="shared" si="4"/>
        <v>1119.92</v>
      </c>
      <c r="AZ122" s="44">
        <v>164.99</v>
      </c>
      <c r="BA122" s="1">
        <f>+AZ122*'DATOS PARA DEPURAR'!$C$23</f>
        <v>5990456.9199999999</v>
      </c>
    </row>
    <row r="123" spans="1:53" hidden="1" x14ac:dyDescent="0.2">
      <c r="A123" s="49"/>
      <c r="B123" s="51"/>
      <c r="C123" s="51"/>
      <c r="D123" s="51"/>
      <c r="E123" s="50"/>
      <c r="AX123" s="45">
        <v>1119.93</v>
      </c>
      <c r="AY123" s="44">
        <f>1136.92-0.01</f>
        <v>1136.9100000000001</v>
      </c>
      <c r="AZ123" s="44">
        <v>169.26</v>
      </c>
      <c r="BA123" s="1">
        <f>+AZ123*'DATOS PARA DEPURAR'!$C$23</f>
        <v>6145492.0800000001</v>
      </c>
    </row>
    <row r="124" spans="1:53" hidden="1" x14ac:dyDescent="0.2">
      <c r="A124" s="49"/>
      <c r="B124" s="51"/>
      <c r="C124" s="51"/>
      <c r="D124" s="51"/>
      <c r="E124" s="50"/>
      <c r="AX124" s="45">
        <v>1136.92</v>
      </c>
      <c r="AY124" s="44"/>
      <c r="AZ124" s="44" t="e">
        <f>27%*AX1-135.17</f>
        <v>#REF!</v>
      </c>
      <c r="BA124" s="1" t="e">
        <f>+AZ124*'DATOS PARA DEPURAR'!$C$23</f>
        <v>#REF!</v>
      </c>
    </row>
    <row r="125" spans="1:53" ht="13.5" hidden="1" thickBot="1" x14ac:dyDescent="0.25">
      <c r="A125" s="71"/>
      <c r="B125" s="72"/>
      <c r="C125" s="72"/>
      <c r="D125" s="72"/>
      <c r="E125" s="73"/>
    </row>
    <row r="126" spans="1:53" hidden="1" x14ac:dyDescent="0.2">
      <c r="AX126" s="42"/>
      <c r="AY126" s="46"/>
      <c r="AZ126" s="43"/>
    </row>
    <row r="127" spans="1:53" ht="15" hidden="1" x14ac:dyDescent="0.25">
      <c r="A127" s="98">
        <v>0</v>
      </c>
      <c r="B127" s="99">
        <v>1547.99</v>
      </c>
      <c r="C127" s="100">
        <v>0</v>
      </c>
      <c r="E127">
        <v>0</v>
      </c>
      <c r="G127" s="103">
        <f t="shared" ref="G127:G167" si="5">+E128-0.01</f>
        <v>1547.99</v>
      </c>
      <c r="H127" s="103"/>
      <c r="L127">
        <v>0</v>
      </c>
    </row>
    <row r="128" spans="1:53" ht="15" hidden="1" x14ac:dyDescent="0.25">
      <c r="A128" s="98">
        <v>1548</v>
      </c>
      <c r="B128" s="101">
        <f>+A129-0.01</f>
        <v>1587.99</v>
      </c>
      <c r="C128" s="100">
        <v>1.05</v>
      </c>
      <c r="E128" s="98">
        <v>1548</v>
      </c>
      <c r="G128" s="103">
        <f t="shared" si="5"/>
        <v>1587.99</v>
      </c>
      <c r="H128" s="103"/>
      <c r="L128" s="100">
        <v>1.08</v>
      </c>
    </row>
    <row r="129" spans="1:12" ht="15" hidden="1" x14ac:dyDescent="0.25">
      <c r="A129" s="98">
        <v>1588</v>
      </c>
      <c r="B129" s="101">
        <f t="shared" ref="B129:B192" si="6">+A130-0.01</f>
        <v>1628.99</v>
      </c>
      <c r="C129" s="100">
        <v>1.08</v>
      </c>
      <c r="E129" s="98">
        <v>1588</v>
      </c>
      <c r="G129" s="103">
        <f t="shared" si="5"/>
        <v>1628.99</v>
      </c>
      <c r="H129" s="103"/>
      <c r="L129" s="100">
        <v>1.1000000000000001</v>
      </c>
    </row>
    <row r="130" spans="1:12" ht="15" hidden="1" x14ac:dyDescent="0.25">
      <c r="A130" s="98">
        <v>1629</v>
      </c>
      <c r="B130" s="101">
        <f t="shared" si="6"/>
        <v>1669.99</v>
      </c>
      <c r="C130" s="100">
        <v>1.1100000000000001</v>
      </c>
      <c r="E130" s="98">
        <v>1629</v>
      </c>
      <c r="G130" s="103">
        <f t="shared" si="5"/>
        <v>1669.99</v>
      </c>
      <c r="H130" s="103"/>
      <c r="L130" s="100">
        <v>1.1299999999999999</v>
      </c>
    </row>
    <row r="131" spans="1:12" ht="15" hidden="1" x14ac:dyDescent="0.25">
      <c r="A131" s="98">
        <v>1670</v>
      </c>
      <c r="B131" s="101">
        <f t="shared" si="6"/>
        <v>1709.99</v>
      </c>
      <c r="C131" s="100">
        <v>1.1399999999999999</v>
      </c>
      <c r="E131" s="98">
        <v>1670</v>
      </c>
      <c r="G131" s="103">
        <f t="shared" si="5"/>
        <v>1709.99</v>
      </c>
      <c r="H131" s="103"/>
      <c r="L131" s="100">
        <v>1.1599999999999999</v>
      </c>
    </row>
    <row r="132" spans="1:12" ht="15" hidden="1" x14ac:dyDescent="0.25">
      <c r="A132" s="98">
        <v>1710</v>
      </c>
      <c r="B132" s="101">
        <f t="shared" si="6"/>
        <v>1750.99</v>
      </c>
      <c r="C132" s="100">
        <v>1.1599999999999999</v>
      </c>
      <c r="E132" s="98">
        <v>1710</v>
      </c>
      <c r="G132" s="103">
        <f t="shared" si="5"/>
        <v>1750.99</v>
      </c>
      <c r="H132" s="103"/>
      <c r="L132" s="100">
        <v>1.19</v>
      </c>
    </row>
    <row r="133" spans="1:12" ht="15" hidden="1" x14ac:dyDescent="0.25">
      <c r="A133" s="98">
        <v>1751</v>
      </c>
      <c r="B133" s="101">
        <f t="shared" si="6"/>
        <v>1791.99</v>
      </c>
      <c r="C133" s="100">
        <v>2.38</v>
      </c>
      <c r="E133" s="98">
        <v>1751</v>
      </c>
      <c r="G133" s="103">
        <f t="shared" si="5"/>
        <v>1791.99</v>
      </c>
      <c r="H133" s="103"/>
      <c r="L133" s="100">
        <v>2.4300000000000002</v>
      </c>
    </row>
    <row r="134" spans="1:12" ht="15" hidden="1" x14ac:dyDescent="0.25">
      <c r="A134" s="98">
        <v>1792</v>
      </c>
      <c r="B134" s="101">
        <f t="shared" si="6"/>
        <v>1832.99</v>
      </c>
      <c r="C134" s="100">
        <v>2.4300000000000002</v>
      </c>
      <c r="E134" s="98">
        <v>1792</v>
      </c>
      <c r="G134" s="103">
        <f t="shared" si="5"/>
        <v>1832.99</v>
      </c>
      <c r="H134" s="103"/>
      <c r="L134" s="100">
        <v>2.48</v>
      </c>
    </row>
    <row r="135" spans="1:12" ht="15" hidden="1" x14ac:dyDescent="0.25">
      <c r="A135" s="98">
        <v>1833</v>
      </c>
      <c r="B135" s="101">
        <f t="shared" si="6"/>
        <v>1872.99</v>
      </c>
      <c r="C135" s="100">
        <v>2.4900000000000002</v>
      </c>
      <c r="E135" s="98">
        <v>1833</v>
      </c>
      <c r="G135" s="103">
        <f t="shared" si="5"/>
        <v>1872.99</v>
      </c>
      <c r="H135" s="103"/>
      <c r="L135" s="100">
        <v>2.54</v>
      </c>
    </row>
    <row r="136" spans="1:12" ht="15" hidden="1" x14ac:dyDescent="0.25">
      <c r="A136" s="98">
        <v>1873</v>
      </c>
      <c r="B136" s="101">
        <f t="shared" si="6"/>
        <v>1913.99</v>
      </c>
      <c r="C136" s="100">
        <v>4.76</v>
      </c>
      <c r="E136" s="98">
        <v>1873</v>
      </c>
      <c r="G136" s="103">
        <f t="shared" si="5"/>
        <v>1913.99</v>
      </c>
      <c r="H136" s="103"/>
      <c r="L136" s="100">
        <v>4.8499999999999996</v>
      </c>
    </row>
    <row r="137" spans="1:12" ht="15" hidden="1" x14ac:dyDescent="0.25">
      <c r="A137" s="98">
        <v>1914</v>
      </c>
      <c r="B137" s="101">
        <f t="shared" si="6"/>
        <v>1954.99</v>
      </c>
      <c r="C137" s="100">
        <v>4.8600000000000003</v>
      </c>
      <c r="E137" s="98">
        <v>1914</v>
      </c>
      <c r="G137" s="103">
        <f t="shared" si="5"/>
        <v>1954.99</v>
      </c>
      <c r="H137" s="103"/>
      <c r="L137" s="100">
        <v>4.96</v>
      </c>
    </row>
    <row r="138" spans="1:12" ht="15" hidden="1" x14ac:dyDescent="0.25">
      <c r="A138" s="98">
        <v>1955</v>
      </c>
      <c r="B138" s="101">
        <f t="shared" si="6"/>
        <v>1995.99</v>
      </c>
      <c r="C138" s="100">
        <v>4.96</v>
      </c>
      <c r="E138" s="98">
        <v>1955</v>
      </c>
      <c r="G138" s="103">
        <f t="shared" si="5"/>
        <v>1995.99</v>
      </c>
      <c r="H138" s="103"/>
      <c r="L138" s="100">
        <v>5.0599999999999996</v>
      </c>
    </row>
    <row r="139" spans="1:12" ht="15" hidden="1" x14ac:dyDescent="0.25">
      <c r="A139" s="98">
        <v>1996</v>
      </c>
      <c r="B139" s="101">
        <f t="shared" si="6"/>
        <v>2035.99</v>
      </c>
      <c r="C139" s="100">
        <v>8.43</v>
      </c>
      <c r="E139" s="98">
        <v>1996</v>
      </c>
      <c r="G139" s="103">
        <f t="shared" si="5"/>
        <v>2035.99</v>
      </c>
      <c r="H139" s="103"/>
      <c r="L139" s="100">
        <v>8.6</v>
      </c>
    </row>
    <row r="140" spans="1:12" ht="15" hidden="1" x14ac:dyDescent="0.25">
      <c r="A140" s="98">
        <v>2036</v>
      </c>
      <c r="B140" s="101">
        <f t="shared" si="6"/>
        <v>2117.9899999999998</v>
      </c>
      <c r="C140" s="100">
        <v>8.7100000000000009</v>
      </c>
      <c r="E140" s="98">
        <v>2036</v>
      </c>
      <c r="G140" s="103">
        <f t="shared" si="5"/>
        <v>2117.9899999999998</v>
      </c>
      <c r="H140" s="103"/>
      <c r="L140" s="100">
        <v>8.89</v>
      </c>
    </row>
    <row r="141" spans="1:12" ht="15" hidden="1" x14ac:dyDescent="0.25">
      <c r="A141" s="98">
        <v>2118</v>
      </c>
      <c r="B141" s="101">
        <f t="shared" si="6"/>
        <v>2198.9899999999998</v>
      </c>
      <c r="C141" s="100">
        <v>13.74</v>
      </c>
      <c r="E141" s="98">
        <v>2118</v>
      </c>
      <c r="G141" s="103">
        <f t="shared" si="5"/>
        <v>2198.9899999999998</v>
      </c>
      <c r="H141" s="103"/>
      <c r="L141" s="100">
        <v>14.02</v>
      </c>
    </row>
    <row r="142" spans="1:12" ht="15" hidden="1" x14ac:dyDescent="0.25">
      <c r="A142" s="98">
        <v>2199</v>
      </c>
      <c r="B142" s="101">
        <f t="shared" si="6"/>
        <v>2280.9899999999998</v>
      </c>
      <c r="C142" s="100">
        <v>14.26</v>
      </c>
      <c r="E142" s="98">
        <v>2199</v>
      </c>
      <c r="G142" s="103">
        <f t="shared" si="5"/>
        <v>2280.9899999999998</v>
      </c>
      <c r="H142" s="103"/>
      <c r="L142" s="100">
        <v>20.92</v>
      </c>
    </row>
    <row r="143" spans="1:12" ht="15" hidden="1" x14ac:dyDescent="0.25">
      <c r="A143" s="98">
        <v>2281</v>
      </c>
      <c r="B143" s="101">
        <f t="shared" si="6"/>
        <v>2361.9899999999998</v>
      </c>
      <c r="C143" s="100">
        <v>19.809999999999999</v>
      </c>
      <c r="E143" s="98">
        <v>2281</v>
      </c>
      <c r="G143" s="103">
        <f t="shared" si="5"/>
        <v>2361.9899999999998</v>
      </c>
      <c r="H143" s="103"/>
      <c r="L143" s="100">
        <v>29.98</v>
      </c>
    </row>
    <row r="144" spans="1:12" ht="15" hidden="1" x14ac:dyDescent="0.25">
      <c r="A144" s="98">
        <v>2362</v>
      </c>
      <c r="B144" s="101">
        <f t="shared" si="6"/>
        <v>2442.9899999999998</v>
      </c>
      <c r="C144" s="100">
        <v>25.7</v>
      </c>
      <c r="E144" s="98">
        <v>2362</v>
      </c>
      <c r="G144" s="103">
        <f t="shared" si="5"/>
        <v>2442.9899999999998</v>
      </c>
      <c r="H144" s="103"/>
      <c r="L144" s="100">
        <v>39.03</v>
      </c>
    </row>
    <row r="145" spans="1:12" ht="15" hidden="1" x14ac:dyDescent="0.25">
      <c r="A145" s="98">
        <v>2443</v>
      </c>
      <c r="B145" s="101">
        <f t="shared" si="6"/>
        <v>2524.9899999999998</v>
      </c>
      <c r="C145" s="100">
        <v>26.57</v>
      </c>
      <c r="E145" s="98">
        <v>2443</v>
      </c>
      <c r="G145" s="103">
        <f t="shared" si="5"/>
        <v>2524.9899999999998</v>
      </c>
      <c r="H145" s="103"/>
      <c r="L145" s="100">
        <v>48.08</v>
      </c>
    </row>
    <row r="146" spans="1:12" ht="15" hidden="1" x14ac:dyDescent="0.25">
      <c r="A146" s="98">
        <v>2525</v>
      </c>
      <c r="B146" s="101">
        <f t="shared" si="6"/>
        <v>2605.9899999999998</v>
      </c>
      <c r="C146" s="100">
        <v>35.56</v>
      </c>
      <c r="E146" s="98">
        <v>2525</v>
      </c>
      <c r="G146" s="103">
        <f t="shared" si="5"/>
        <v>2605.9899999999998</v>
      </c>
      <c r="H146" s="103"/>
      <c r="L146" s="100">
        <v>57.14</v>
      </c>
    </row>
    <row r="147" spans="1:12" ht="15" hidden="1" x14ac:dyDescent="0.25">
      <c r="A147" s="98">
        <v>2606</v>
      </c>
      <c r="B147" s="101">
        <f t="shared" si="6"/>
        <v>2687.99</v>
      </c>
      <c r="C147" s="100">
        <v>45.05</v>
      </c>
      <c r="E147" s="98">
        <v>2606</v>
      </c>
      <c r="G147" s="103">
        <f t="shared" si="5"/>
        <v>2687.99</v>
      </c>
      <c r="H147" s="103"/>
      <c r="L147" s="100">
        <v>66.19</v>
      </c>
    </row>
    <row r="148" spans="1:12" ht="15" hidden="1" x14ac:dyDescent="0.25">
      <c r="A148" s="98">
        <v>2688</v>
      </c>
      <c r="B148" s="101">
        <f t="shared" si="6"/>
        <v>2768.99</v>
      </c>
      <c r="C148" s="100">
        <v>46.43</v>
      </c>
      <c r="E148" s="98">
        <v>2688</v>
      </c>
      <c r="G148" s="103">
        <f t="shared" si="5"/>
        <v>2768.99</v>
      </c>
      <c r="H148" s="103"/>
      <c r="L148" s="100">
        <v>75.239999999999995</v>
      </c>
    </row>
    <row r="149" spans="1:12" ht="15" hidden="1" x14ac:dyDescent="0.25">
      <c r="A149" s="98">
        <v>2769</v>
      </c>
      <c r="B149" s="101">
        <f t="shared" si="6"/>
        <v>2850.99</v>
      </c>
      <c r="C149" s="100">
        <v>55.58</v>
      </c>
      <c r="E149" s="98">
        <v>2769</v>
      </c>
      <c r="G149" s="103">
        <f t="shared" si="5"/>
        <v>2850.99</v>
      </c>
      <c r="H149" s="103"/>
      <c r="L149" s="100">
        <v>84.3</v>
      </c>
    </row>
    <row r="150" spans="1:12" ht="15" hidden="1" x14ac:dyDescent="0.25">
      <c r="A150" s="98">
        <v>2851</v>
      </c>
      <c r="B150" s="101">
        <f t="shared" si="6"/>
        <v>2931.99</v>
      </c>
      <c r="C150" s="100">
        <v>60.7</v>
      </c>
      <c r="E150" s="98">
        <v>2851</v>
      </c>
      <c r="G150" s="103">
        <f t="shared" si="5"/>
        <v>2931.99</v>
      </c>
      <c r="H150" s="103"/>
      <c r="L150" s="100">
        <v>93.35</v>
      </c>
    </row>
    <row r="151" spans="1:12" ht="15" hidden="1" x14ac:dyDescent="0.25">
      <c r="A151" s="98">
        <v>2932</v>
      </c>
      <c r="B151" s="101">
        <f t="shared" si="6"/>
        <v>3013.99</v>
      </c>
      <c r="C151" s="100">
        <v>66.02</v>
      </c>
      <c r="E151" s="98">
        <v>2932</v>
      </c>
      <c r="G151" s="103">
        <f t="shared" si="5"/>
        <v>3013.99</v>
      </c>
      <c r="H151" s="103"/>
      <c r="L151" s="100">
        <v>102.4</v>
      </c>
    </row>
    <row r="152" spans="1:12" ht="15" hidden="1" x14ac:dyDescent="0.25">
      <c r="A152" s="98">
        <v>3014</v>
      </c>
      <c r="B152" s="101">
        <f t="shared" si="6"/>
        <v>3094.99</v>
      </c>
      <c r="C152" s="100">
        <v>71.540000000000006</v>
      </c>
      <c r="E152" s="98">
        <v>3014</v>
      </c>
      <c r="G152" s="103">
        <f t="shared" si="5"/>
        <v>3094.99</v>
      </c>
      <c r="H152" s="103"/>
      <c r="L152" s="100">
        <v>111.46</v>
      </c>
    </row>
    <row r="153" spans="1:12" ht="15" hidden="1" x14ac:dyDescent="0.25">
      <c r="A153" s="98">
        <v>3095</v>
      </c>
      <c r="B153" s="101">
        <f t="shared" si="6"/>
        <v>3176.99</v>
      </c>
      <c r="C153" s="100">
        <v>77.239999999999995</v>
      </c>
      <c r="E153" s="98">
        <v>3095</v>
      </c>
      <c r="G153" s="103">
        <f t="shared" si="5"/>
        <v>3176.99</v>
      </c>
      <c r="H153" s="103"/>
      <c r="L153" s="100">
        <v>122.79</v>
      </c>
    </row>
    <row r="154" spans="1:12" ht="15" hidden="1" x14ac:dyDescent="0.25">
      <c r="A154" s="98">
        <v>3177</v>
      </c>
      <c r="B154" s="101">
        <f t="shared" si="6"/>
        <v>3257.99</v>
      </c>
      <c r="C154" s="100">
        <v>83.14</v>
      </c>
      <c r="E154" s="98">
        <v>3177</v>
      </c>
      <c r="G154" s="103">
        <f t="shared" si="5"/>
        <v>3257.99</v>
      </c>
      <c r="H154" s="103"/>
      <c r="L154" s="100">
        <v>136.13</v>
      </c>
    </row>
    <row r="155" spans="1:12" ht="15" hidden="1" x14ac:dyDescent="0.25">
      <c r="A155" s="98">
        <v>3258</v>
      </c>
      <c r="B155" s="101">
        <f t="shared" si="6"/>
        <v>3338.99</v>
      </c>
      <c r="C155" s="100">
        <v>89.23</v>
      </c>
      <c r="E155" s="98">
        <v>3258</v>
      </c>
      <c r="G155" s="103">
        <f t="shared" si="5"/>
        <v>3338.99</v>
      </c>
      <c r="H155" s="103"/>
      <c r="L155" s="100">
        <v>149.47</v>
      </c>
    </row>
    <row r="156" spans="1:12" ht="15" hidden="1" x14ac:dyDescent="0.25">
      <c r="A156" s="98">
        <v>3339</v>
      </c>
      <c r="B156" s="101">
        <f t="shared" si="6"/>
        <v>3420.99</v>
      </c>
      <c r="C156" s="100">
        <v>95.51</v>
      </c>
      <c r="E156" s="98">
        <v>3339</v>
      </c>
      <c r="G156" s="103">
        <f t="shared" si="5"/>
        <v>3420.99</v>
      </c>
      <c r="H156" s="103"/>
      <c r="L156" s="100">
        <v>162.82</v>
      </c>
    </row>
    <row r="157" spans="1:12" ht="15" hidden="1" x14ac:dyDescent="0.25">
      <c r="A157" s="98">
        <v>3421</v>
      </c>
      <c r="B157" s="101">
        <f t="shared" si="6"/>
        <v>3501.99</v>
      </c>
      <c r="C157" s="100">
        <v>101.98</v>
      </c>
      <c r="E157" s="98">
        <v>3421</v>
      </c>
      <c r="G157" s="103">
        <f t="shared" si="5"/>
        <v>3501.99</v>
      </c>
      <c r="H157" s="103"/>
      <c r="L157" s="100">
        <v>176.16</v>
      </c>
    </row>
    <row r="158" spans="1:12" ht="15" hidden="1" x14ac:dyDescent="0.25">
      <c r="A158" s="98">
        <v>3502</v>
      </c>
      <c r="B158" s="101">
        <f t="shared" si="6"/>
        <v>3583.99</v>
      </c>
      <c r="C158" s="100">
        <v>108.64</v>
      </c>
      <c r="E158" s="98">
        <v>3502</v>
      </c>
      <c r="G158" s="103">
        <f t="shared" si="5"/>
        <v>3583.99</v>
      </c>
      <c r="H158" s="103"/>
      <c r="L158" s="100">
        <v>189.5</v>
      </c>
    </row>
    <row r="159" spans="1:12" ht="15" hidden="1" x14ac:dyDescent="0.25">
      <c r="A159" s="98">
        <v>3584</v>
      </c>
      <c r="B159" s="101">
        <f t="shared" si="6"/>
        <v>3664.99</v>
      </c>
      <c r="C159" s="100">
        <v>115.49</v>
      </c>
      <c r="E159" s="98">
        <v>3584</v>
      </c>
      <c r="G159" s="103">
        <f t="shared" si="5"/>
        <v>3664.99</v>
      </c>
      <c r="H159" s="103"/>
      <c r="L159" s="100">
        <v>202.84</v>
      </c>
    </row>
    <row r="160" spans="1:12" ht="15" hidden="1" x14ac:dyDescent="0.25">
      <c r="A160" s="98">
        <v>3665</v>
      </c>
      <c r="B160" s="101">
        <f t="shared" si="6"/>
        <v>3746.99</v>
      </c>
      <c r="C160" s="100">
        <v>122.54</v>
      </c>
      <c r="E160" s="98">
        <v>3665</v>
      </c>
      <c r="G160" s="103">
        <f t="shared" si="5"/>
        <v>3746.99</v>
      </c>
      <c r="H160" s="103"/>
      <c r="L160" s="100">
        <v>216.18</v>
      </c>
    </row>
    <row r="161" spans="1:13" ht="15" hidden="1" x14ac:dyDescent="0.25">
      <c r="A161" s="98">
        <v>3747</v>
      </c>
      <c r="B161" s="101">
        <f t="shared" si="6"/>
        <v>3827.99</v>
      </c>
      <c r="C161" s="100">
        <v>129.76</v>
      </c>
      <c r="E161" s="98">
        <v>3747</v>
      </c>
      <c r="G161" s="103">
        <f t="shared" si="5"/>
        <v>3827.99</v>
      </c>
      <c r="H161" s="103"/>
      <c r="L161" s="100">
        <v>229.52</v>
      </c>
    </row>
    <row r="162" spans="1:13" ht="15" hidden="1" x14ac:dyDescent="0.25">
      <c r="A162" s="98">
        <v>3828</v>
      </c>
      <c r="B162" s="101">
        <f t="shared" si="6"/>
        <v>3909.99</v>
      </c>
      <c r="C162" s="100">
        <v>137.18</v>
      </c>
      <c r="E162" s="98">
        <v>3828</v>
      </c>
      <c r="G162" s="103">
        <f t="shared" si="5"/>
        <v>3909.99</v>
      </c>
      <c r="H162" s="103"/>
      <c r="L162" s="100">
        <v>242.86</v>
      </c>
    </row>
    <row r="163" spans="1:13" ht="15" hidden="1" x14ac:dyDescent="0.25">
      <c r="A163" s="98">
        <v>3910</v>
      </c>
      <c r="B163" s="101">
        <f t="shared" si="6"/>
        <v>3990.99</v>
      </c>
      <c r="C163" s="100">
        <v>144.78</v>
      </c>
      <c r="E163" s="98">
        <v>3910</v>
      </c>
      <c r="G163" s="103">
        <f t="shared" si="5"/>
        <v>3990.99</v>
      </c>
      <c r="H163" s="103"/>
      <c r="L163" s="100">
        <v>256.20999999999998</v>
      </c>
    </row>
    <row r="164" spans="1:13" ht="15" hidden="1" x14ac:dyDescent="0.25">
      <c r="A164" s="98">
        <v>3991</v>
      </c>
      <c r="B164" s="101">
        <f t="shared" si="6"/>
        <v>4071.99</v>
      </c>
      <c r="C164" s="100">
        <v>152.58000000000001</v>
      </c>
      <c r="E164" s="98">
        <v>3991</v>
      </c>
      <c r="G164" s="103">
        <f t="shared" si="5"/>
        <v>4071.99</v>
      </c>
      <c r="H164" s="103"/>
      <c r="L164" s="100">
        <v>269.55</v>
      </c>
    </row>
    <row r="165" spans="1:13" ht="15" hidden="1" x14ac:dyDescent="0.25">
      <c r="A165" s="98">
        <v>4072</v>
      </c>
      <c r="B165" s="101">
        <f t="shared" si="6"/>
        <v>4275.99</v>
      </c>
      <c r="C165" s="100">
        <v>168.71</v>
      </c>
      <c r="E165" s="98">
        <v>4072</v>
      </c>
      <c r="G165" s="103">
        <f t="shared" si="5"/>
        <v>4275.99</v>
      </c>
      <c r="H165" s="103"/>
      <c r="L165" s="100">
        <v>282.89</v>
      </c>
    </row>
    <row r="166" spans="1:13" ht="15" hidden="1" x14ac:dyDescent="0.25">
      <c r="A166" s="98">
        <v>4276</v>
      </c>
      <c r="B166" s="101">
        <f t="shared" si="6"/>
        <v>4479.99</v>
      </c>
      <c r="C166" s="100">
        <v>189.92</v>
      </c>
      <c r="E166" s="98">
        <v>4276</v>
      </c>
      <c r="G166" s="103">
        <f t="shared" si="5"/>
        <v>4479.99</v>
      </c>
      <c r="H166" s="103"/>
      <c r="L166" s="100">
        <v>316.24</v>
      </c>
      <c r="M166">
        <f>+L166*26841</f>
        <v>8488197.8399999999</v>
      </c>
    </row>
    <row r="167" spans="1:13" ht="15" hidden="1" x14ac:dyDescent="0.25">
      <c r="A167" s="98">
        <v>4480</v>
      </c>
      <c r="B167" s="101">
        <f t="shared" si="6"/>
        <v>4682.99</v>
      </c>
      <c r="C167" s="100">
        <v>212.27</v>
      </c>
      <c r="E167" s="98">
        <v>4480</v>
      </c>
      <c r="G167" s="103">
        <f t="shared" si="5"/>
        <v>4682.99</v>
      </c>
      <c r="H167" s="103"/>
      <c r="L167" s="100">
        <v>349.6</v>
      </c>
    </row>
    <row r="168" spans="1:13" ht="15" hidden="1" x14ac:dyDescent="0.25">
      <c r="A168" s="98">
        <v>4683</v>
      </c>
      <c r="B168" s="101">
        <f t="shared" si="6"/>
        <v>4886.99</v>
      </c>
      <c r="C168" s="100">
        <v>235.75</v>
      </c>
      <c r="E168" s="98">
        <v>4683</v>
      </c>
      <c r="G168" s="103">
        <v>4700</v>
      </c>
      <c r="H168" s="103"/>
      <c r="L168" s="100">
        <v>382.95</v>
      </c>
    </row>
    <row r="169" spans="1:13" ht="15" hidden="1" x14ac:dyDescent="0.25">
      <c r="A169" s="98">
        <v>4887</v>
      </c>
      <c r="B169" s="101">
        <f t="shared" si="6"/>
        <v>5090.99</v>
      </c>
      <c r="C169" s="100">
        <v>260.33999999999997</v>
      </c>
    </row>
    <row r="170" spans="1:13" ht="15" hidden="1" x14ac:dyDescent="0.25">
      <c r="A170" s="98">
        <v>5091</v>
      </c>
      <c r="B170" s="101">
        <f t="shared" si="6"/>
        <v>5293.99</v>
      </c>
      <c r="C170" s="100">
        <v>286.02999999999997</v>
      </c>
    </row>
    <row r="171" spans="1:13" ht="15" hidden="1" x14ac:dyDescent="0.25">
      <c r="A171" s="98">
        <v>5294</v>
      </c>
      <c r="B171" s="101">
        <f t="shared" si="6"/>
        <v>5497.99</v>
      </c>
      <c r="C171" s="100">
        <v>312.81</v>
      </c>
    </row>
    <row r="172" spans="1:13" ht="15" hidden="1" x14ac:dyDescent="0.25">
      <c r="A172" s="98">
        <v>5498</v>
      </c>
      <c r="B172" s="101">
        <f t="shared" si="6"/>
        <v>5700.99</v>
      </c>
      <c r="C172" s="100">
        <v>340.66</v>
      </c>
    </row>
    <row r="173" spans="1:13" ht="15" hidden="1" x14ac:dyDescent="0.25">
      <c r="A173" s="98">
        <v>5701</v>
      </c>
      <c r="B173" s="101">
        <f t="shared" si="6"/>
        <v>5904.99</v>
      </c>
      <c r="C173" s="100">
        <v>369.57</v>
      </c>
    </row>
    <row r="174" spans="1:13" ht="15" hidden="1" x14ac:dyDescent="0.25">
      <c r="A174" s="98">
        <v>5905</v>
      </c>
      <c r="B174" s="101">
        <f t="shared" si="6"/>
        <v>6108.99</v>
      </c>
      <c r="C174" s="100">
        <v>399.52</v>
      </c>
    </row>
    <row r="175" spans="1:13" ht="15" hidden="1" x14ac:dyDescent="0.25">
      <c r="A175" s="98">
        <v>6109</v>
      </c>
      <c r="B175" s="101">
        <f t="shared" si="6"/>
        <v>6311.99</v>
      </c>
      <c r="C175" s="100">
        <v>430.49</v>
      </c>
    </row>
    <row r="176" spans="1:13" ht="15" hidden="1" x14ac:dyDescent="0.25">
      <c r="A176" s="98">
        <v>6312</v>
      </c>
      <c r="B176" s="101">
        <f t="shared" si="6"/>
        <v>6515.99</v>
      </c>
      <c r="C176" s="100">
        <v>462.46</v>
      </c>
    </row>
    <row r="177" spans="1:3" ht="15" hidden="1" x14ac:dyDescent="0.25">
      <c r="A177" s="98">
        <v>6516</v>
      </c>
      <c r="B177" s="101">
        <f t="shared" si="6"/>
        <v>6719.99</v>
      </c>
      <c r="C177" s="100">
        <v>495.43</v>
      </c>
    </row>
    <row r="178" spans="1:3" ht="15" hidden="1" x14ac:dyDescent="0.25">
      <c r="A178" s="98">
        <v>6720</v>
      </c>
      <c r="B178" s="101">
        <f t="shared" si="6"/>
        <v>6922.99</v>
      </c>
      <c r="C178" s="100">
        <v>529.36</v>
      </c>
    </row>
    <row r="179" spans="1:3" ht="15" hidden="1" x14ac:dyDescent="0.25">
      <c r="A179" s="98">
        <v>6923</v>
      </c>
      <c r="B179" s="101">
        <f t="shared" si="6"/>
        <v>7126.99</v>
      </c>
      <c r="C179" s="100">
        <v>564.23</v>
      </c>
    </row>
    <row r="180" spans="1:3" ht="15" hidden="1" x14ac:dyDescent="0.25">
      <c r="A180" s="98">
        <v>7127</v>
      </c>
      <c r="B180" s="101">
        <f t="shared" si="6"/>
        <v>7329.99</v>
      </c>
      <c r="C180" s="100">
        <v>600.04</v>
      </c>
    </row>
    <row r="181" spans="1:3" ht="15" hidden="1" x14ac:dyDescent="0.25">
      <c r="A181" s="98">
        <v>7330</v>
      </c>
      <c r="B181" s="101">
        <f t="shared" si="6"/>
        <v>7533.99</v>
      </c>
      <c r="C181" s="100">
        <v>636.75</v>
      </c>
    </row>
    <row r="182" spans="1:3" ht="15" hidden="1" x14ac:dyDescent="0.25">
      <c r="A182" s="98">
        <v>7534</v>
      </c>
      <c r="B182" s="101">
        <f t="shared" si="6"/>
        <v>7737.99</v>
      </c>
      <c r="C182" s="100">
        <v>674.35</v>
      </c>
    </row>
    <row r="183" spans="1:3" ht="15" hidden="1" x14ac:dyDescent="0.25">
      <c r="A183" s="98">
        <v>7738</v>
      </c>
      <c r="B183" s="101">
        <f t="shared" si="6"/>
        <v>7940.99</v>
      </c>
      <c r="C183" s="100">
        <v>712.8</v>
      </c>
    </row>
    <row r="184" spans="1:3" ht="15" hidden="1" x14ac:dyDescent="0.25">
      <c r="A184" s="98">
        <v>7941</v>
      </c>
      <c r="B184" s="101">
        <f t="shared" si="6"/>
        <v>8144.99</v>
      </c>
      <c r="C184" s="100">
        <v>752.1</v>
      </c>
    </row>
    <row r="185" spans="1:3" ht="15" hidden="1" x14ac:dyDescent="0.25">
      <c r="A185" s="98">
        <v>8145</v>
      </c>
      <c r="B185" s="101">
        <f t="shared" si="6"/>
        <v>8348.99</v>
      </c>
      <c r="C185" s="100">
        <v>792.22</v>
      </c>
    </row>
    <row r="186" spans="1:3" ht="15" hidden="1" x14ac:dyDescent="0.25">
      <c r="A186" s="98">
        <v>8349</v>
      </c>
      <c r="B186" s="101">
        <f t="shared" si="6"/>
        <v>8551.99</v>
      </c>
      <c r="C186" s="100">
        <v>833.12</v>
      </c>
    </row>
    <row r="187" spans="1:3" ht="15" hidden="1" x14ac:dyDescent="0.25">
      <c r="A187" s="98">
        <v>8552</v>
      </c>
      <c r="B187" s="101">
        <f t="shared" si="6"/>
        <v>8755.99</v>
      </c>
      <c r="C187" s="100">
        <v>874.79</v>
      </c>
    </row>
    <row r="188" spans="1:3" ht="15" hidden="1" x14ac:dyDescent="0.25">
      <c r="A188" s="98">
        <v>8756</v>
      </c>
      <c r="B188" s="101">
        <f t="shared" si="6"/>
        <v>8958.99</v>
      </c>
      <c r="C188" s="100">
        <v>917.21</v>
      </c>
    </row>
    <row r="189" spans="1:3" ht="15" hidden="1" x14ac:dyDescent="0.25">
      <c r="A189" s="98">
        <v>8959</v>
      </c>
      <c r="B189" s="101">
        <f t="shared" si="6"/>
        <v>9162.99</v>
      </c>
      <c r="C189" s="100">
        <v>960.34</v>
      </c>
    </row>
    <row r="190" spans="1:3" ht="15" hidden="1" x14ac:dyDescent="0.25">
      <c r="A190" s="98">
        <v>9163</v>
      </c>
      <c r="B190" s="101">
        <f t="shared" si="6"/>
        <v>9366.99</v>
      </c>
      <c r="C190" s="102">
        <v>1004.16</v>
      </c>
    </row>
    <row r="191" spans="1:3" ht="15" hidden="1" x14ac:dyDescent="0.25">
      <c r="A191" s="98">
        <v>9367</v>
      </c>
      <c r="B191" s="101">
        <f t="shared" si="6"/>
        <v>9569.99</v>
      </c>
      <c r="C191" s="102">
        <v>1048.6400000000001</v>
      </c>
    </row>
    <row r="192" spans="1:3" ht="15" hidden="1" x14ac:dyDescent="0.25">
      <c r="A192" s="98">
        <v>9570</v>
      </c>
      <c r="B192" s="101">
        <f t="shared" si="6"/>
        <v>9773.99</v>
      </c>
      <c r="C192" s="102">
        <v>1093.75</v>
      </c>
    </row>
    <row r="193" spans="1:3" ht="15" hidden="1" x14ac:dyDescent="0.25">
      <c r="A193" s="98">
        <v>9774</v>
      </c>
      <c r="B193" s="101">
        <f t="shared" ref="B193:B210" si="7">+A194-0.01</f>
        <v>9977.99</v>
      </c>
      <c r="C193" s="102">
        <v>1139.48</v>
      </c>
    </row>
    <row r="194" spans="1:3" ht="15" hidden="1" x14ac:dyDescent="0.25">
      <c r="A194" s="98">
        <v>9978</v>
      </c>
      <c r="B194" s="101">
        <f t="shared" si="7"/>
        <v>10180.99</v>
      </c>
      <c r="C194" s="102">
        <v>1185.78</v>
      </c>
    </row>
    <row r="195" spans="1:3" ht="15" hidden="1" x14ac:dyDescent="0.25">
      <c r="A195" s="98">
        <v>10181</v>
      </c>
      <c r="B195" s="101">
        <f t="shared" si="7"/>
        <v>10384.99</v>
      </c>
      <c r="C195" s="102">
        <v>1232.6199999999999</v>
      </c>
    </row>
    <row r="196" spans="1:3" ht="15" hidden="1" x14ac:dyDescent="0.25">
      <c r="A196" s="98">
        <v>10385</v>
      </c>
      <c r="B196" s="101">
        <f t="shared" si="7"/>
        <v>10587.99</v>
      </c>
      <c r="C196" s="102">
        <v>1279.99</v>
      </c>
    </row>
    <row r="197" spans="1:3" ht="15" hidden="1" x14ac:dyDescent="0.25">
      <c r="A197" s="98">
        <v>10588</v>
      </c>
      <c r="B197" s="101">
        <f t="shared" si="7"/>
        <v>10791.99</v>
      </c>
      <c r="C197" s="102">
        <v>1327.85</v>
      </c>
    </row>
    <row r="198" spans="1:3" ht="15" hidden="1" x14ac:dyDescent="0.25">
      <c r="A198" s="98">
        <v>10792</v>
      </c>
      <c r="B198" s="101">
        <f t="shared" si="7"/>
        <v>10995.99</v>
      </c>
      <c r="C198" s="102">
        <v>1376.16</v>
      </c>
    </row>
    <row r="199" spans="1:3" ht="15" hidden="1" x14ac:dyDescent="0.25">
      <c r="A199" s="98">
        <v>10996</v>
      </c>
      <c r="B199" s="101">
        <f t="shared" si="7"/>
        <v>11198.99</v>
      </c>
      <c r="C199" s="102">
        <v>1424.9</v>
      </c>
    </row>
    <row r="200" spans="1:3" ht="15" hidden="1" x14ac:dyDescent="0.25">
      <c r="A200" s="98">
        <v>11199</v>
      </c>
      <c r="B200" s="101">
        <f t="shared" si="7"/>
        <v>11402.99</v>
      </c>
      <c r="C200" s="102">
        <v>1474.04</v>
      </c>
    </row>
    <row r="201" spans="1:3" ht="15" hidden="1" x14ac:dyDescent="0.25">
      <c r="A201" s="98">
        <v>11403</v>
      </c>
      <c r="B201" s="101">
        <f t="shared" si="7"/>
        <v>11606.99</v>
      </c>
      <c r="C201" s="102">
        <v>1523.54</v>
      </c>
    </row>
    <row r="202" spans="1:3" ht="15" hidden="1" x14ac:dyDescent="0.25">
      <c r="A202" s="98">
        <v>11607</v>
      </c>
      <c r="B202" s="101">
        <f t="shared" si="7"/>
        <v>11809.99</v>
      </c>
      <c r="C202" s="102">
        <v>1573.37</v>
      </c>
    </row>
    <row r="203" spans="1:3" ht="15" hidden="1" x14ac:dyDescent="0.25">
      <c r="A203" s="98">
        <v>11810</v>
      </c>
      <c r="B203" s="101">
        <f t="shared" si="7"/>
        <v>12013.99</v>
      </c>
      <c r="C203" s="102">
        <v>1623.49</v>
      </c>
    </row>
    <row r="204" spans="1:3" ht="15" hidden="1" x14ac:dyDescent="0.25">
      <c r="A204" s="98">
        <v>12014</v>
      </c>
      <c r="B204" s="101">
        <f t="shared" si="7"/>
        <v>12216.99</v>
      </c>
      <c r="C204" s="102">
        <v>1673.89</v>
      </c>
    </row>
    <row r="205" spans="1:3" ht="15" hidden="1" x14ac:dyDescent="0.25">
      <c r="A205" s="98">
        <v>12217</v>
      </c>
      <c r="B205" s="101">
        <f t="shared" si="7"/>
        <v>12420.99</v>
      </c>
      <c r="C205" s="102">
        <v>1724.51</v>
      </c>
    </row>
    <row r="206" spans="1:3" ht="15" hidden="1" x14ac:dyDescent="0.25">
      <c r="A206" s="98">
        <v>12421</v>
      </c>
      <c r="B206" s="101">
        <f t="shared" si="7"/>
        <v>12624.99</v>
      </c>
      <c r="C206" s="102">
        <v>1775.33</v>
      </c>
    </row>
    <row r="207" spans="1:3" ht="15" hidden="1" x14ac:dyDescent="0.25">
      <c r="A207" s="98">
        <v>12625</v>
      </c>
      <c r="B207" s="101">
        <f t="shared" si="7"/>
        <v>12827.99</v>
      </c>
      <c r="C207" s="102">
        <v>1826.31</v>
      </c>
    </row>
    <row r="208" spans="1:3" ht="15" hidden="1" x14ac:dyDescent="0.25">
      <c r="A208" s="98">
        <v>12828</v>
      </c>
      <c r="B208" s="101">
        <f t="shared" si="7"/>
        <v>13031.99</v>
      </c>
      <c r="C208" s="102">
        <v>1877.42</v>
      </c>
    </row>
    <row r="209" spans="1:3" ht="15" hidden="1" x14ac:dyDescent="0.25">
      <c r="A209" s="98">
        <v>13032</v>
      </c>
      <c r="B209" s="101">
        <f t="shared" si="7"/>
        <v>13235.99</v>
      </c>
      <c r="C209" s="102">
        <v>1928.63</v>
      </c>
    </row>
    <row r="210" spans="1:3" ht="15" hidden="1" x14ac:dyDescent="0.25">
      <c r="A210" s="98">
        <v>13236</v>
      </c>
      <c r="B210" s="101">
        <f t="shared" si="7"/>
        <v>13438.99</v>
      </c>
      <c r="C210" s="102">
        <v>1979.89</v>
      </c>
    </row>
    <row r="211" spans="1:3" ht="15" hidden="1" x14ac:dyDescent="0.25">
      <c r="A211" s="98">
        <v>13439</v>
      </c>
      <c r="B211" s="101">
        <f>13643-0.01</f>
        <v>13642.99</v>
      </c>
      <c r="C211" s="102">
        <v>2031.18</v>
      </c>
    </row>
    <row r="212" spans="1:3" ht="25.5" hidden="1" x14ac:dyDescent="0.25">
      <c r="A212" s="100" t="s">
        <v>86</v>
      </c>
      <c r="B212" s="99"/>
      <c r="C212" s="100" t="s">
        <v>87</v>
      </c>
    </row>
    <row r="213" spans="1:3" hidden="1" x14ac:dyDescent="0.2"/>
  </sheetData>
  <sheetProtection algorithmName="SHA-512" hashValue="6SUKUOZongO11cllc+9fkHaNl6fA+Ay7KrOCqlk5gB0jhmYYENWp7MTYlbFM1vKowAYnrQIA7A6Jes//ly5XcQ==" saltValue="ecriXAlKL3p7EHGeHeRvfA==" spinCount="100000" sheet="1" objects="1" scenarios="1"/>
  <protectedRanges>
    <protectedRange sqref="O93" name="Rango1"/>
  </protectedRanges>
  <mergeCells count="46">
    <mergeCell ref="B26:D26"/>
    <mergeCell ref="B29:D29"/>
    <mergeCell ref="B31:D31"/>
    <mergeCell ref="B28:D28"/>
    <mergeCell ref="B23:D23"/>
    <mergeCell ref="B25:D25"/>
    <mergeCell ref="B27:D27"/>
    <mergeCell ref="L5:M5"/>
    <mergeCell ref="B4:D4"/>
    <mergeCell ref="B6:D6"/>
    <mergeCell ref="B12:D12"/>
    <mergeCell ref="L12:M12"/>
    <mergeCell ref="L1:M1"/>
    <mergeCell ref="C2:E2"/>
    <mergeCell ref="L2:M2"/>
    <mergeCell ref="C3:E3"/>
    <mergeCell ref="L3:M3"/>
    <mergeCell ref="B13:D13"/>
    <mergeCell ref="B14:D14"/>
    <mergeCell ref="L16:M16"/>
    <mergeCell ref="L7:M7"/>
    <mergeCell ref="B8:D8"/>
    <mergeCell ref="L8:M8"/>
    <mergeCell ref="B20:D20"/>
    <mergeCell ref="L24:O24"/>
    <mergeCell ref="B16:D16"/>
    <mergeCell ref="L18:M18"/>
    <mergeCell ref="B19:D19"/>
    <mergeCell ref="B17:D17"/>
    <mergeCell ref="B24:D24"/>
    <mergeCell ref="O98:AO98"/>
    <mergeCell ref="A21:E21"/>
    <mergeCell ref="R72:R73"/>
    <mergeCell ref="S72:T73"/>
    <mergeCell ref="L89:M89"/>
    <mergeCell ref="L90:M90"/>
    <mergeCell ref="A42:E42"/>
    <mergeCell ref="L67:N69"/>
    <mergeCell ref="Q67:R69"/>
    <mergeCell ref="U67:W69"/>
    <mergeCell ref="N27:O27"/>
    <mergeCell ref="A41:E41"/>
    <mergeCell ref="B33:D33"/>
    <mergeCell ref="B35:D35"/>
    <mergeCell ref="B37:D37"/>
    <mergeCell ref="B39:D39"/>
  </mergeCells>
  <hyperlinks>
    <hyperlink ref="B46" r:id="rId1"/>
  </hyperlinks>
  <pageMargins left="0.51181102362204722" right="0.51181102362204722" top="0.35433070866141736" bottom="0.35433070866141736" header="0.31496062992125984" footer="0.31496062992125984"/>
  <pageSetup orientation="portrait" verticalDpi="4294967293" r:id="rId2"/>
  <drawing r:id="rId3"/>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view="pageBreakPreview" zoomScale="160" zoomScaleNormal="100" zoomScaleSheetLayoutView="160" workbookViewId="0">
      <selection activeCell="E22" sqref="E22"/>
    </sheetView>
  </sheetViews>
  <sheetFormatPr baseColWidth="10" defaultRowHeight="12.75" x14ac:dyDescent="0.2"/>
  <cols>
    <col min="3" max="3" width="33.5703125" customWidth="1"/>
    <col min="5" max="5" width="12.28515625" customWidth="1"/>
  </cols>
  <sheetData>
    <row r="1" spans="1:7" ht="26.25" customHeight="1" x14ac:dyDescent="0.2">
      <c r="A1" s="1328" t="s">
        <v>574</v>
      </c>
      <c r="B1" s="1329"/>
      <c r="C1" s="1329"/>
      <c r="D1" s="1329"/>
      <c r="E1" s="1329"/>
      <c r="F1" s="1329"/>
    </row>
    <row r="2" spans="1:7" ht="26.25" customHeight="1" x14ac:dyDescent="0.2">
      <c r="A2" s="1330" t="s">
        <v>511</v>
      </c>
      <c r="B2" s="1330"/>
      <c r="C2" s="571" t="str">
        <f>+'DATOS PARA DEPURAR'!C7</f>
        <v>OJEDA RIOJAS DAVID MATEO</v>
      </c>
      <c r="D2" s="570" t="s">
        <v>360</v>
      </c>
      <c r="E2" s="1331">
        <f>+'DATOS PARA DEPURAR'!E7</f>
        <v>18927495</v>
      </c>
      <c r="F2" s="1331"/>
    </row>
    <row r="3" spans="1:7" ht="24" customHeight="1" x14ac:dyDescent="0.2">
      <c r="A3" s="2375" t="s">
        <v>507</v>
      </c>
      <c r="B3" s="2375"/>
      <c r="C3" s="2375"/>
      <c r="D3" s="2375"/>
      <c r="E3" s="1327">
        <f>+'RENTA GENERAL LABORAL'!F53</f>
        <v>71154504</v>
      </c>
      <c r="F3" s="1327"/>
    </row>
    <row r="4" spans="1:7" ht="22.5" customHeight="1" x14ac:dyDescent="0.2">
      <c r="A4" s="2375" t="s">
        <v>556</v>
      </c>
      <c r="B4" s="2375"/>
      <c r="C4" s="2375"/>
      <c r="D4" s="2375"/>
      <c r="E4" s="1327">
        <f>+'RENTA CEDULAR PENSION'!F21</f>
        <v>0</v>
      </c>
      <c r="F4" s="1327"/>
    </row>
    <row r="5" spans="1:7" ht="22.5" customHeight="1" x14ac:dyDescent="0.2">
      <c r="A5" s="1320" t="s">
        <v>573</v>
      </c>
      <c r="B5" s="1321"/>
      <c r="C5" s="1321"/>
      <c r="D5" s="1321"/>
      <c r="E5" s="1327">
        <f>SUM(E3:E4)</f>
        <v>71154504</v>
      </c>
      <c r="F5" s="1327"/>
    </row>
    <row r="6" spans="1:7" ht="17.25" customHeight="1" x14ac:dyDescent="0.2">
      <c r="A6" s="1320" t="s">
        <v>575</v>
      </c>
      <c r="B6" s="1321"/>
      <c r="C6" s="1321"/>
      <c r="D6" s="1321"/>
      <c r="E6" s="1322">
        <f>+C20</f>
        <v>7987000</v>
      </c>
      <c r="F6" s="1321"/>
    </row>
    <row r="7" spans="1:7" hidden="1" x14ac:dyDescent="0.2"/>
    <row r="8" spans="1:7" hidden="1" x14ac:dyDescent="0.2"/>
    <row r="9" spans="1:7" hidden="1" x14ac:dyDescent="0.2"/>
    <row r="10" spans="1:7" ht="13.5" hidden="1" thickBot="1" x14ac:dyDescent="0.25"/>
    <row r="11" spans="1:7" hidden="1" x14ac:dyDescent="0.2">
      <c r="C11" s="608" t="s">
        <v>8</v>
      </c>
      <c r="D11" s="609"/>
      <c r="E11" s="610"/>
      <c r="F11" s="611" t="s">
        <v>10</v>
      </c>
      <c r="G11" s="153"/>
    </row>
    <row r="12" spans="1:7" ht="15.75" hidden="1" thickBot="1" x14ac:dyDescent="0.3">
      <c r="C12" s="1318">
        <f>+E5/F12</f>
        <v>2146.0521172638437</v>
      </c>
      <c r="D12" s="1319"/>
      <c r="E12" s="610"/>
      <c r="F12" s="612">
        <v>33156</v>
      </c>
      <c r="G12" s="153"/>
    </row>
    <row r="13" spans="1:7" ht="13.5" hidden="1" thickBot="1" x14ac:dyDescent="0.25">
      <c r="C13" s="610"/>
      <c r="D13" s="610"/>
      <c r="E13" s="610"/>
      <c r="F13" s="610"/>
      <c r="G13" s="153"/>
    </row>
    <row r="14" spans="1:7" hidden="1" x14ac:dyDescent="0.2">
      <c r="C14" s="613">
        <v>0</v>
      </c>
      <c r="D14" s="614">
        <v>1090</v>
      </c>
      <c r="E14" s="610"/>
      <c r="F14" s="615" t="b">
        <f>IF(C12&lt;=1090,0)</f>
        <v>0</v>
      </c>
      <c r="G14" s="153" t="s">
        <v>576</v>
      </c>
    </row>
    <row r="15" spans="1:7" ht="15" hidden="1" x14ac:dyDescent="0.25">
      <c r="C15" s="616" t="s">
        <v>176</v>
      </c>
      <c r="D15" s="617">
        <v>1700</v>
      </c>
      <c r="E15" s="610"/>
      <c r="F15" s="618">
        <f>IF(C12&gt;1090,(IF(C12&lt;=1700,ROUND((((+C12-1090)*19%)*F12),-3),0)),FALSE)</f>
        <v>0</v>
      </c>
      <c r="G15" s="153" t="s">
        <v>577</v>
      </c>
    </row>
    <row r="16" spans="1:7" ht="15" hidden="1" x14ac:dyDescent="0.25">
      <c r="C16" s="616" t="s">
        <v>177</v>
      </c>
      <c r="D16" s="617">
        <v>4100</v>
      </c>
      <c r="E16" s="610"/>
      <c r="F16" s="618">
        <f>IF(C12&gt;1700,IF(C12&lt;=4100,ROUND((((+C12-1700)*28%+116)*F12),-3),0))</f>
        <v>7987000</v>
      </c>
      <c r="G16" s="153" t="s">
        <v>578</v>
      </c>
    </row>
    <row r="17" spans="3:7" ht="15.75" hidden="1" thickBot="1" x14ac:dyDescent="0.3">
      <c r="C17" s="619" t="s">
        <v>178</v>
      </c>
      <c r="D17" s="620"/>
      <c r="E17" s="610"/>
      <c r="F17" s="621">
        <f>IF(C12&gt;4100,ROUND((((+C12-4100)*33%)*F12)+(788*F12),-3),0)</f>
        <v>0</v>
      </c>
      <c r="G17" s="153" t="s">
        <v>579</v>
      </c>
    </row>
    <row r="18" spans="3:7" ht="13.5" hidden="1" thickBot="1" x14ac:dyDescent="0.25">
      <c r="C18" s="610"/>
      <c r="D18" s="610"/>
      <c r="E18" s="610"/>
      <c r="F18" s="610"/>
      <c r="G18" s="153"/>
    </row>
    <row r="19" spans="3:7" hidden="1" x14ac:dyDescent="0.2">
      <c r="C19" s="1309" t="s">
        <v>179</v>
      </c>
      <c r="D19" s="1310"/>
      <c r="E19" s="610"/>
      <c r="F19" s="610"/>
      <c r="G19" s="153"/>
    </row>
    <row r="20" spans="3:7" ht="15.75" hidden="1" thickBot="1" x14ac:dyDescent="0.3">
      <c r="C20" s="1311">
        <f>IF(F14=0,F14,IF(F15&gt;0,F15,IF(F16&gt;0,F16,IF(F17&gt;0,F17))))</f>
        <v>7987000</v>
      </c>
      <c r="D20" s="1312"/>
      <c r="E20" s="610"/>
      <c r="F20" s="610"/>
      <c r="G20" s="153"/>
    </row>
  </sheetData>
  <sheetProtection algorithmName="SHA-512" hashValue="428M5cTaupiM5g7/Z3xxa4UBKlLLrFSQ8SHDia1lIMHbXugUBbDVRt7exKgKN4msfUEWcGw1EjORqShj3nBGuA==" saltValue="pCfz1wJYjPDV/IwEf6QIUg==" spinCount="100000" sheet="1" objects="1" scenarios="1"/>
  <mergeCells count="14">
    <mergeCell ref="A5:D5"/>
    <mergeCell ref="E3:F3"/>
    <mergeCell ref="E4:F4"/>
    <mergeCell ref="E5:F5"/>
    <mergeCell ref="A1:F1"/>
    <mergeCell ref="A2:B2"/>
    <mergeCell ref="E2:F2"/>
    <mergeCell ref="A3:D3"/>
    <mergeCell ref="A4:D4"/>
    <mergeCell ref="A6:D6"/>
    <mergeCell ref="E6:F6"/>
    <mergeCell ref="C12:D12"/>
    <mergeCell ref="C19:D19"/>
    <mergeCell ref="C20:D20"/>
  </mergeCells>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rgb="FFFFFF00"/>
  </sheetPr>
  <dimension ref="A1:AZ166"/>
  <sheetViews>
    <sheetView view="pageBreakPreview" topLeftCell="C1" zoomScaleNormal="100" zoomScaleSheetLayoutView="100" workbookViewId="0">
      <selection activeCell="C170" sqref="C170"/>
    </sheetView>
  </sheetViews>
  <sheetFormatPr baseColWidth="10" defaultRowHeight="12.75" x14ac:dyDescent="0.2"/>
  <cols>
    <col min="1" max="1" width="3" style="202" customWidth="1"/>
    <col min="2" max="2" width="4.42578125" style="202" customWidth="1"/>
    <col min="3" max="3" width="33.140625" style="202" customWidth="1"/>
    <col min="4" max="4" width="3.7109375" style="200" customWidth="1"/>
    <col min="5" max="5" width="13.5703125" style="202" customWidth="1"/>
    <col min="6" max="7" width="4" style="202" customWidth="1"/>
    <col min="8" max="8" width="30.42578125" style="202" customWidth="1"/>
    <col min="9" max="9" width="3.140625" style="200" customWidth="1"/>
    <col min="10" max="10" width="12.85546875" style="202" customWidth="1"/>
    <col min="11" max="11" width="12" style="262" hidden="1" customWidth="1"/>
    <col min="12" max="12" width="30.28515625" style="202" hidden="1" customWidth="1"/>
    <col min="13" max="13" width="14.7109375" style="202" hidden="1" customWidth="1"/>
    <col min="14" max="14" width="0.140625" style="202" hidden="1" customWidth="1"/>
    <col min="15" max="15" width="11.5703125" style="202" hidden="1" customWidth="1"/>
    <col min="16" max="16" width="63.7109375" style="202" hidden="1" customWidth="1"/>
    <col min="17" max="17" width="13.42578125" style="202" hidden="1" customWidth="1"/>
    <col min="18" max="18" width="0.140625" style="202" hidden="1" customWidth="1"/>
    <col min="19" max="19" width="7" style="202" hidden="1" customWidth="1"/>
    <col min="20" max="25" width="0.140625" style="202" hidden="1" customWidth="1"/>
    <col min="26" max="26" width="14.5703125" style="202" hidden="1" customWidth="1"/>
    <col min="27" max="27" width="17.7109375" style="202" hidden="1" customWidth="1"/>
    <col min="28" max="28" width="12.28515625" style="202" hidden="1" customWidth="1"/>
    <col min="29" max="29" width="9.7109375" style="202" hidden="1" customWidth="1"/>
    <col min="30" max="33" width="11.42578125" style="202" hidden="1" customWidth="1"/>
    <col min="34" max="34" width="5.140625" style="202" hidden="1" customWidth="1"/>
    <col min="35" max="35" width="11.42578125" style="202" hidden="1" customWidth="1"/>
    <col min="36" max="37" width="0" style="202" hidden="1" customWidth="1"/>
    <col min="38" max="47" width="11.42578125" style="202" hidden="1" customWidth="1"/>
    <col min="48" max="48" width="1.7109375" style="202" hidden="1" customWidth="1"/>
    <col min="49" max="52" width="11.42578125" style="202" hidden="1" customWidth="1"/>
    <col min="53" max="16384" width="11.42578125" style="202"/>
  </cols>
  <sheetData>
    <row r="1" spans="1:29" ht="21" customHeight="1" x14ac:dyDescent="0.25">
      <c r="A1" s="1276" t="str">
        <f>+'DATOS PARA DEPURAR'!C7</f>
        <v>OJEDA RIOJAS DAVID MATEO</v>
      </c>
      <c r="B1" s="1276"/>
      <c r="C1" s="1276"/>
      <c r="D1" s="1276"/>
      <c r="E1" s="1276"/>
      <c r="F1" s="1276"/>
      <c r="G1" s="1284" t="s">
        <v>372</v>
      </c>
      <c r="H1" s="1284"/>
      <c r="I1" s="1284"/>
      <c r="J1" s="1284"/>
      <c r="P1" s="272" t="s">
        <v>410</v>
      </c>
    </row>
    <row r="2" spans="1:29" ht="21" customHeight="1" x14ac:dyDescent="0.2">
      <c r="A2" s="1277">
        <f>+'DATOS PARA DEPURAR'!E7</f>
        <v>18927495</v>
      </c>
      <c r="B2" s="1277"/>
      <c r="C2" s="1277"/>
      <c r="D2" s="1277"/>
      <c r="E2" s="1277"/>
      <c r="F2" s="1277"/>
      <c r="G2" s="1284"/>
      <c r="H2" s="1284"/>
      <c r="I2" s="1284"/>
      <c r="J2" s="1284"/>
      <c r="P2" s="272" t="s">
        <v>411</v>
      </c>
      <c r="Q2" s="404">
        <f>IF(N32&gt;(0),N32*5%*'[1]DATOS PARA DEPURAR'!I9,0)</f>
        <v>0</v>
      </c>
      <c r="S2" s="329">
        <f>MIN(Q2:Q3)</f>
        <v>0</v>
      </c>
      <c r="AA2" s="404">
        <f>IF(J32&gt;(0),J32*5%*'DATOS PARA DEPURAR'!E11,0)</f>
        <v>881000</v>
      </c>
      <c r="AB2" s="329"/>
      <c r="AC2" s="329">
        <f>MIN(AA2:AA3)</f>
        <v>881000</v>
      </c>
    </row>
    <row r="3" spans="1:29" ht="21" customHeight="1" x14ac:dyDescent="0.2">
      <c r="A3" s="1283"/>
      <c r="B3" s="1283"/>
      <c r="C3" s="1283"/>
      <c r="D3" s="1283"/>
      <c r="E3" s="1283"/>
      <c r="F3" s="1283"/>
      <c r="G3" s="1283"/>
      <c r="H3" s="1283"/>
      <c r="I3" s="1283"/>
      <c r="J3" s="1283"/>
      <c r="P3" s="272" t="s">
        <v>24</v>
      </c>
      <c r="Q3" s="278">
        <f>+N32</f>
        <v>0</v>
      </c>
      <c r="AA3" s="278">
        <f>+J32</f>
        <v>17620000</v>
      </c>
      <c r="AC3" s="329">
        <f>MIN(AA5:AA7)</f>
        <v>0</v>
      </c>
    </row>
    <row r="4" spans="1:29" ht="19.5" customHeight="1" x14ac:dyDescent="0.2">
      <c r="A4" s="1281" t="s">
        <v>113</v>
      </c>
      <c r="B4" s="1280" t="s">
        <v>110</v>
      </c>
      <c r="C4" s="1280"/>
      <c r="D4" s="263">
        <v>30</v>
      </c>
      <c r="E4" s="264">
        <f>+'PATRIMONIO BRUTO'!F91</f>
        <v>32262993</v>
      </c>
      <c r="F4" s="1285" t="s">
        <v>129</v>
      </c>
      <c r="G4" s="1278" t="s">
        <v>114</v>
      </c>
      <c r="H4" s="1278"/>
      <c r="I4" s="263">
        <f>+D41+1</f>
        <v>67</v>
      </c>
      <c r="J4" s="265">
        <f>+'DEPURACION POR IMAS EMPLEADO'!I37+'DEPURACION POR IMAS EMPLEADO'!J30+'DEPURACION POR IMAS EMPLEADO'!I39</f>
        <v>0</v>
      </c>
      <c r="P4" s="272" t="s">
        <v>412</v>
      </c>
      <c r="Q4" s="202">
        <f>IF(N32=0,I14*0.5%*'[1]DATOS PARA DEPURAR'!I9,0)</f>
        <v>0</v>
      </c>
      <c r="S4" s="329">
        <f>MIN(Q4:Q6)</f>
        <v>0</v>
      </c>
      <c r="AA4" s="404">
        <f>IF(J32=0,E14*0.5%*'DATOS PARA DEPURAR'!E11,0)</f>
        <v>0</v>
      </c>
      <c r="AB4" s="202">
        <f>MIN(M4:M6)</f>
        <v>0</v>
      </c>
      <c r="AC4" s="329">
        <f>IF(AA4&gt;AC3,AA4,AC3)</f>
        <v>0</v>
      </c>
    </row>
    <row r="5" spans="1:29" ht="19.5" customHeight="1" x14ac:dyDescent="0.2">
      <c r="A5" s="1282"/>
      <c r="B5" s="1266" t="s">
        <v>111</v>
      </c>
      <c r="C5" s="1266"/>
      <c r="D5" s="198">
        <f>+D4+1</f>
        <v>31</v>
      </c>
      <c r="E5" s="266">
        <f>+'PATRIMONIO BRUTO'!F133</f>
        <v>0</v>
      </c>
      <c r="F5" s="1286"/>
      <c r="G5" s="1279" t="s">
        <v>115</v>
      </c>
      <c r="H5" s="1279"/>
      <c r="I5" s="198">
        <f t="shared" ref="I5:I40" si="0">+I4+1</f>
        <v>68</v>
      </c>
      <c r="J5" s="267">
        <f>IF(('DATOS PARA DEPURAR'!D94="s"),'DATOS PARA DEPURAR'!E94,0)</f>
        <v>0</v>
      </c>
      <c r="P5" s="272" t="s">
        <v>413</v>
      </c>
      <c r="Q5" s="202">
        <f>IF(N32=0,I14*5%,0)</f>
        <v>3.85</v>
      </c>
      <c r="AA5" s="404">
        <f>IF(J32=0,E14*5%,0)</f>
        <v>0</v>
      </c>
    </row>
    <row r="6" spans="1:29" ht="19.5" customHeight="1" x14ac:dyDescent="0.2">
      <c r="A6" s="1282"/>
      <c r="B6" s="1253" t="s">
        <v>112</v>
      </c>
      <c r="C6" s="1253"/>
      <c r="D6" s="268">
        <f t="shared" ref="D6:D41" si="1">+D5+1</f>
        <v>32</v>
      </c>
      <c r="E6" s="269">
        <f>IF((E4-E5)&gt;0,(E4-E5),0)</f>
        <v>32262993</v>
      </c>
      <c r="F6" s="1286"/>
      <c r="G6" s="1267" t="s">
        <v>93</v>
      </c>
      <c r="H6" s="1267"/>
      <c r="I6" s="268">
        <f t="shared" si="0"/>
        <v>69</v>
      </c>
      <c r="J6" s="270">
        <f>SUM('DEPURACION POR IMAS EMPLEADO'!I40:I41)+K6</f>
        <v>0</v>
      </c>
      <c r="K6" s="262">
        <f>IF((J5)&gt;0,('DATOS PARA DEPURAR'!E205),0)</f>
        <v>0</v>
      </c>
      <c r="P6" s="272" t="s">
        <v>414</v>
      </c>
      <c r="Q6" s="202">
        <f>IF(N32=0,S6*2,0)</f>
        <v>0</v>
      </c>
      <c r="S6" s="278">
        <f>+N32-N33-N34-N35+N36</f>
        <v>0</v>
      </c>
      <c r="AA6" s="404" t="b">
        <f>IF(J32=0,IF(E14&gt;0,AB6*2,0))</f>
        <v>0</v>
      </c>
      <c r="AB6" s="404">
        <f>-J32+J33+J34+J35-J36</f>
        <v>-4823000</v>
      </c>
      <c r="AC6" s="404"/>
    </row>
    <row r="7" spans="1:29" ht="17.25" customHeight="1" x14ac:dyDescent="0.2">
      <c r="A7" s="1262" t="s">
        <v>120</v>
      </c>
      <c r="B7" s="1266" t="s">
        <v>119</v>
      </c>
      <c r="C7" s="1266"/>
      <c r="D7" s="198">
        <f t="shared" si="1"/>
        <v>33</v>
      </c>
      <c r="E7" s="266">
        <f>+'DATOS PARA DEPURAR'!E46-'DATOS PARA DEPURAR'!E43-'DATOS PARA DEPURAR'!E31</f>
        <v>115714603</v>
      </c>
      <c r="F7" s="1286"/>
      <c r="G7" s="1250" t="s">
        <v>94</v>
      </c>
      <c r="H7" s="1250"/>
      <c r="I7" s="198">
        <f t="shared" si="0"/>
        <v>70</v>
      </c>
      <c r="J7" s="267">
        <f>'DEPURACION POR IMAS EMPLEADO'!I42</f>
        <v>0</v>
      </c>
      <c r="P7" s="272" t="s">
        <v>415</v>
      </c>
      <c r="AA7" s="404" t="b">
        <f>IF(J32=0,IF(E14&gt;0,2500*'DATOS PARA DEPURAR'!C23,0))</f>
        <v>0</v>
      </c>
      <c r="AB7" s="404"/>
      <c r="AC7" s="404">
        <f>MIN(AA9:AA11)</f>
        <v>0</v>
      </c>
    </row>
    <row r="8" spans="1:29" ht="18" customHeight="1" thickBot="1" x14ac:dyDescent="0.25">
      <c r="A8" s="1262"/>
      <c r="B8" s="1269" t="s">
        <v>121</v>
      </c>
      <c r="C8" s="1269"/>
      <c r="D8" s="268">
        <f t="shared" si="1"/>
        <v>34</v>
      </c>
      <c r="E8" s="269">
        <f>+'DATOS PARA DEPURAR'!E43</f>
        <v>0</v>
      </c>
      <c r="F8" s="1287"/>
      <c r="G8" s="1267" t="s">
        <v>95</v>
      </c>
      <c r="H8" s="1267"/>
      <c r="I8" s="268">
        <f t="shared" si="0"/>
        <v>71</v>
      </c>
      <c r="J8" s="270">
        <f>+J4+J5-J6-J7</f>
        <v>0</v>
      </c>
      <c r="P8" s="272" t="s">
        <v>395</v>
      </c>
      <c r="AA8" s="404" t="b">
        <f>IF(J32=0,IF(E14=0,'DATOS PARA DEPURAR'!E19*1%*'DATOS PARA DEPURAR'!E11,0))</f>
        <v>0</v>
      </c>
      <c r="AB8" s="404"/>
      <c r="AC8" s="404" t="b">
        <f>IF(AA8&gt;AC7,AA8,AC7)</f>
        <v>0</v>
      </c>
    </row>
    <row r="9" spans="1:29" x14ac:dyDescent="0.2">
      <c r="A9" s="1262"/>
      <c r="B9" s="1265" t="s">
        <v>122</v>
      </c>
      <c r="C9" s="1266"/>
      <c r="D9" s="198">
        <f t="shared" si="1"/>
        <v>35</v>
      </c>
      <c r="E9" s="266">
        <f>+'DATOS PARA DEPURAR'!E55</f>
        <v>10000000</v>
      </c>
      <c r="F9" s="1268" t="s">
        <v>128</v>
      </c>
      <c r="G9" s="1250" t="s">
        <v>116</v>
      </c>
      <c r="H9" s="1250"/>
      <c r="I9" s="198">
        <f t="shared" si="0"/>
        <v>72</v>
      </c>
      <c r="J9" s="267">
        <f>+'DEPURACION POR IMAS EMPLEADO'!F14</f>
        <v>0</v>
      </c>
      <c r="P9" s="272" t="s">
        <v>413</v>
      </c>
      <c r="AA9" s="404" t="b">
        <f>IF(J32=0,IF(E14=0,'DATOS PARA DEPURAR'!E19*10%,0))</f>
        <v>0</v>
      </c>
      <c r="AB9" s="404"/>
      <c r="AC9" s="404"/>
    </row>
    <row r="10" spans="1:29" x14ac:dyDescent="0.2">
      <c r="A10" s="1262"/>
      <c r="B10" s="1252" t="s">
        <v>123</v>
      </c>
      <c r="C10" s="1253"/>
      <c r="D10" s="268">
        <f t="shared" si="1"/>
        <v>36</v>
      </c>
      <c r="E10" s="269">
        <f>+'DATOS PARA DEPURAR'!E82</f>
        <v>0</v>
      </c>
      <c r="F10" s="1268"/>
      <c r="G10" s="1267" t="s">
        <v>58</v>
      </c>
      <c r="H10" s="1267"/>
      <c r="I10" s="268">
        <f t="shared" si="0"/>
        <v>73</v>
      </c>
      <c r="J10" s="270">
        <f>IF((J9)&gt;0,('DATOS PARA DEPURAR'!E128),0)</f>
        <v>0</v>
      </c>
      <c r="K10" s="271"/>
      <c r="P10" s="272" t="s">
        <v>414</v>
      </c>
      <c r="AA10" s="404" t="b">
        <f>IF(J32=0,IF(E14=0,AB10*2,0))</f>
        <v>0</v>
      </c>
      <c r="AB10" s="404">
        <f>-J32+J33+J34+J35-J36</f>
        <v>-4823000</v>
      </c>
      <c r="AC10" s="404"/>
    </row>
    <row r="11" spans="1:29" x14ac:dyDescent="0.2">
      <c r="A11" s="1262"/>
      <c r="B11" s="1265" t="s">
        <v>124</v>
      </c>
      <c r="C11" s="1266"/>
      <c r="D11" s="198">
        <f t="shared" si="1"/>
        <v>37</v>
      </c>
      <c r="E11" s="266">
        <f>+'DATOS PARA DEPURAR'!E79</f>
        <v>20000000</v>
      </c>
      <c r="F11" s="1268"/>
      <c r="G11" s="1250" t="s">
        <v>59</v>
      </c>
      <c r="H11" s="1250"/>
      <c r="I11" s="198">
        <f t="shared" si="0"/>
        <v>74</v>
      </c>
      <c r="J11" s="267">
        <f>IF((J9)&gt;0,'DATOS PARA DEPURAR'!E263,0)</f>
        <v>0</v>
      </c>
      <c r="K11" s="271"/>
      <c r="L11" s="272" t="s">
        <v>331</v>
      </c>
      <c r="M11" s="272" t="s">
        <v>332</v>
      </c>
      <c r="P11" s="272" t="s">
        <v>415</v>
      </c>
      <c r="AA11" s="404" t="b">
        <f>IF(J32=0,IF(E14=0,2500*'DATOS PARA DEPURAR'!C23,0))</f>
        <v>0</v>
      </c>
      <c r="AB11" s="404"/>
      <c r="AC11" s="404"/>
    </row>
    <row r="12" spans="1:29" ht="18" customHeight="1" x14ac:dyDescent="0.2">
      <c r="A12" s="1262"/>
      <c r="B12" s="1252" t="s">
        <v>125</v>
      </c>
      <c r="C12" s="1253"/>
      <c r="D12" s="268">
        <f t="shared" si="1"/>
        <v>38</v>
      </c>
      <c r="E12" s="269">
        <f>('DATOS PARA DEPURAR'!E55+'DATOS PARA DEPURAR'!E46+'DATOS PARA DEPURAR'!E95)-('DEPURACION ORDINARIO 2017'!E7+'DEPURACION ORDINARIO 2017'!E8+'DEPURACION ORDINARIO 2017'!E9+'DEPURACION ORDINARIO 2017'!E10+E11+'DEPURACION ORDINARIO 2017'!E13+'DATOS PARA DEPURAR'!E73+'DATOS PARA DEPURAR'!E74+'DATOS PARA DEPURAR'!E75+'DATOS PARA DEPURAR'!E76+'DATOS PARA DEPURAR'!E64+'DATOS PARA DEPURAR'!E65+'DATOS PARA DEPURAR'!E67)-L12-L13</f>
        <v>0</v>
      </c>
      <c r="F12" s="1268"/>
      <c r="G12" s="1269" t="s">
        <v>60</v>
      </c>
      <c r="H12" s="1269"/>
      <c r="I12" s="268">
        <f t="shared" si="0"/>
        <v>75</v>
      </c>
      <c r="J12" s="270">
        <f>IF((J9)&gt;0,'DATOS PARA DEPURAR'!D255+'DATOS PARA DEPURAR'!D256+'DATOS PARA DEPURAR'!E227,0)</f>
        <v>0</v>
      </c>
      <c r="K12" s="271"/>
      <c r="L12" s="202">
        <f>IF(('DATOS PARA DEPURAR'!D60)="S",'DATOS PARA DEPURAR'!E60,0)</f>
        <v>0</v>
      </c>
      <c r="M12" s="202">
        <f>IF(('DATOS PARA DEPURAR'!D60)="N",'DATOS PARA DEPURAR'!E60,0)</f>
        <v>0</v>
      </c>
      <c r="AA12" s="413" t="s">
        <v>423</v>
      </c>
      <c r="AB12" s="413">
        <f>10*'DATOS PARA DEPURAR'!E24</f>
        <v>380040</v>
      </c>
      <c r="AC12" s="329">
        <f>+AB12</f>
        <v>380040</v>
      </c>
    </row>
    <row r="13" spans="1:29" ht="18" customHeight="1" x14ac:dyDescent="0.2">
      <c r="A13" s="1262"/>
      <c r="B13" s="1265" t="s">
        <v>126</v>
      </c>
      <c r="C13" s="1266"/>
      <c r="D13" s="198">
        <f t="shared" si="1"/>
        <v>39</v>
      </c>
      <c r="E13" s="266">
        <f>IF(('DATOS PARA DEPURAR'!D94="N"),'DATOS PARA DEPURAR'!E94,0)</f>
        <v>0</v>
      </c>
      <c r="F13" s="1268"/>
      <c r="G13" s="1250" t="s">
        <v>61</v>
      </c>
      <c r="H13" s="1250"/>
      <c r="I13" s="198">
        <f t="shared" si="0"/>
        <v>76</v>
      </c>
      <c r="J13" s="267">
        <f>IF((J9)&gt;0,'DATOS PARA DEPURAR'!E262,0)</f>
        <v>0</v>
      </c>
      <c r="K13" s="271"/>
      <c r="L13" s="202">
        <f>IF(('DATOS PARA DEPURAR'!D62)="S",'DATOS PARA DEPURAR'!E62,0)</f>
        <v>0</v>
      </c>
      <c r="M13" s="202">
        <f>IF(('DATOS PARA DEPURAR'!D62)="N",'DATOS PARA DEPURAR'!E62,0)</f>
        <v>0</v>
      </c>
      <c r="AC13" s="404">
        <f>MAX(AC2:AC12)</f>
        <v>881000</v>
      </c>
    </row>
    <row r="14" spans="1:29" ht="17.25" customHeight="1" x14ac:dyDescent="0.2">
      <c r="A14" s="1262"/>
      <c r="B14" s="1264" t="s">
        <v>127</v>
      </c>
      <c r="C14" s="1264"/>
      <c r="D14" s="268">
        <f t="shared" si="1"/>
        <v>40</v>
      </c>
      <c r="E14" s="269">
        <f>SUM(E7:E13)</f>
        <v>145714603</v>
      </c>
      <c r="F14" s="1268"/>
      <c r="G14" s="1263" t="s">
        <v>69</v>
      </c>
      <c r="H14" s="1263"/>
      <c r="I14" s="268">
        <f t="shared" si="0"/>
        <v>77</v>
      </c>
      <c r="J14" s="270">
        <f>IF((J9&gt;0),K14,0)</f>
        <v>0</v>
      </c>
      <c r="K14" s="271">
        <f>IF(('DATOS PARA DEPURAR'!E215)&lt;=L17,('DATOS PARA DEPURAR'!E215),L17)</f>
        <v>0</v>
      </c>
      <c r="L14" s="272" t="s">
        <v>365</v>
      </c>
      <c r="AC14" s="202">
        <f>IF('DATOS PARA DEPURAR'!C11="EXTEMPORANEA",'DEPURACION ORDINARIO 2017'!AC13,0)</f>
        <v>881000</v>
      </c>
    </row>
    <row r="15" spans="1:29" x14ac:dyDescent="0.2">
      <c r="A15" s="1262"/>
      <c r="B15" s="1270" t="s">
        <v>130</v>
      </c>
      <c r="C15" s="273" t="s">
        <v>124</v>
      </c>
      <c r="D15" s="198">
        <f t="shared" si="1"/>
        <v>41</v>
      </c>
      <c r="E15" s="266">
        <f>+'DATOS PARA DEPURAR'!E128</f>
        <v>0</v>
      </c>
      <c r="F15" s="1268"/>
      <c r="G15" s="1250" t="s">
        <v>62</v>
      </c>
      <c r="H15" s="1250"/>
      <c r="I15" s="198">
        <f t="shared" si="0"/>
        <v>78</v>
      </c>
      <c r="J15" s="267">
        <f>IF((J9)&gt;0,'DATOS PARA DEPURAR'!E216,0)</f>
        <v>0</v>
      </c>
      <c r="K15" s="274"/>
      <c r="L15" s="275">
        <f>2300*'DATOS PARA DEPURAR'!C23</f>
        <v>83508400</v>
      </c>
      <c r="M15" s="272" t="s">
        <v>366</v>
      </c>
      <c r="P15" s="272" t="s">
        <v>429</v>
      </c>
      <c r="Q15" s="331" t="s">
        <v>455</v>
      </c>
      <c r="S15" s="202">
        <f>IF(J33+J34+J35-J32-J36&gt;0,J33+J34+J35-J32-J36,0)</f>
        <v>0</v>
      </c>
      <c r="Z15" s="461" t="s">
        <v>454</v>
      </c>
    </row>
    <row r="16" spans="1:29" ht="18.75" customHeight="1" x14ac:dyDescent="0.2">
      <c r="A16" s="1262"/>
      <c r="B16" s="1270"/>
      <c r="C16" s="276" t="s">
        <v>131</v>
      </c>
      <c r="D16" s="268">
        <f t="shared" si="1"/>
        <v>42</v>
      </c>
      <c r="E16" s="269">
        <f>+'DATOS PARA DEPURAR'!E71</f>
        <v>0</v>
      </c>
      <c r="F16" s="1268"/>
      <c r="G16" s="1269" t="s">
        <v>63</v>
      </c>
      <c r="H16" s="1269"/>
      <c r="I16" s="268">
        <f t="shared" si="0"/>
        <v>79</v>
      </c>
      <c r="J16" s="270">
        <f>IF((J9)&gt;0,'DATOS PARA DEPURAR'!E217,0)</f>
        <v>0</v>
      </c>
      <c r="K16" s="274"/>
      <c r="L16" s="275">
        <f>+E14*60%</f>
        <v>87428761.799999997</v>
      </c>
      <c r="M16" s="272" t="s">
        <v>367</v>
      </c>
      <c r="Q16" s="272">
        <f>IF(S15&gt;0,S15,0)</f>
        <v>0</v>
      </c>
      <c r="Z16" s="202">
        <f>IF(J37&gt;0,J37,0)</f>
        <v>4823000</v>
      </c>
    </row>
    <row r="17" spans="1:27" ht="24" x14ac:dyDescent="0.2">
      <c r="A17" s="1262"/>
      <c r="B17" s="1270"/>
      <c r="C17" s="277" t="s">
        <v>132</v>
      </c>
      <c r="D17" s="198">
        <f t="shared" si="1"/>
        <v>43</v>
      </c>
      <c r="E17" s="266">
        <f>+'DATOS PARA DEPURAR'!E126</f>
        <v>0</v>
      </c>
      <c r="F17" s="1268"/>
      <c r="G17" s="1273" t="s">
        <v>64</v>
      </c>
      <c r="H17" s="1273"/>
      <c r="I17" s="198">
        <f t="shared" si="0"/>
        <v>80</v>
      </c>
      <c r="J17" s="267">
        <f>IF((J9)&gt;0,(SUM('DEPURACION POR IMAS EMPLEADO'!I28:I29)),0)</f>
        <v>0</v>
      </c>
      <c r="K17" s="274"/>
      <c r="L17" s="278">
        <f>MIN(L15:L16)</f>
        <v>83508400</v>
      </c>
      <c r="P17" s="331" t="s">
        <v>430</v>
      </c>
      <c r="Q17" s="202">
        <f>IF((('DATOS PARA DEPURAR'!C14)*(-1)-Q16)&gt;0,(('DATOS PARA DEPURAR'!C14)*(-1)-Q16)*10%,0)</f>
        <v>46500</v>
      </c>
      <c r="Z17" s="202">
        <f>IF((Z16-'DATOS PARA DEPURAR'!C14)&gt;0,(Z16-'DATOS PARA DEPURAR'!C14)*10%,0)</f>
        <v>528800</v>
      </c>
    </row>
    <row r="18" spans="1:27" ht="18.75" customHeight="1" x14ac:dyDescent="0.2">
      <c r="A18" s="1262"/>
      <c r="B18" s="1270"/>
      <c r="C18" s="279" t="s">
        <v>133</v>
      </c>
      <c r="D18" s="268">
        <f t="shared" si="1"/>
        <v>44</v>
      </c>
      <c r="E18" s="269">
        <f>+'DATOS PARA DEPURAR'!E130-'DEPURACION ORDINARIO 2017'!E15-'DEPURACION ORDINARIO 2017'!E16-'DEPURACION ORDINARIO 2017'!E17-'DATOS PARA DEPURAR'!E115-'DATOS PARA DEPURAR'!E118</f>
        <v>0</v>
      </c>
      <c r="F18" s="1268"/>
      <c r="G18" s="1274" t="s">
        <v>117</v>
      </c>
      <c r="H18" s="1274"/>
      <c r="I18" s="268">
        <f t="shared" si="0"/>
        <v>81</v>
      </c>
      <c r="J18" s="270">
        <f>IF((J9)&gt;0,('DATOS PARA DEPURAR'!E37+'DATOS PARA DEPURAR'!E38+'DATOS PARA DEPURAR'!E39+'DATOS PARA DEPURAR'!E40),0)</f>
        <v>0</v>
      </c>
      <c r="K18" s="274"/>
      <c r="Q18" s="329">
        <f>+AC12</f>
        <v>380040</v>
      </c>
      <c r="Z18" s="329">
        <f>+AC12</f>
        <v>380040</v>
      </c>
    </row>
    <row r="19" spans="1:27" x14ac:dyDescent="0.2">
      <c r="A19" s="1262"/>
      <c r="B19" s="1270"/>
      <c r="C19" s="280" t="s">
        <v>134</v>
      </c>
      <c r="D19" s="198">
        <f t="shared" si="1"/>
        <v>45</v>
      </c>
      <c r="E19" s="266">
        <f>SUM(E15:E18)</f>
        <v>0</v>
      </c>
      <c r="F19" s="1268"/>
      <c r="G19" s="1250" t="s">
        <v>70</v>
      </c>
      <c r="H19" s="1250"/>
      <c r="I19" s="198">
        <f t="shared" si="0"/>
        <v>82</v>
      </c>
      <c r="J19" s="267">
        <f>IF((J9)&gt;0,('DATOS PARA DEPURAR'!E77),0)</f>
        <v>0</v>
      </c>
      <c r="K19" s="281"/>
      <c r="L19" s="358">
        <f>384*'DATOS PARA DEPURAR'!C23</f>
        <v>13942272</v>
      </c>
      <c r="Q19" s="202">
        <f>MAX(Q17:Q18)</f>
        <v>380040</v>
      </c>
      <c r="Z19" s="404">
        <f>MAX(Z17:Z18)</f>
        <v>528800</v>
      </c>
      <c r="AA19" s="202">
        <f>IF('DATOS PARA DEPURAR'!C13="S",'DEPURACION ORDINARIO 2017'!AA23,0)</f>
        <v>0</v>
      </c>
    </row>
    <row r="20" spans="1:27" ht="17.25" customHeight="1" x14ac:dyDescent="0.2">
      <c r="A20" s="1262"/>
      <c r="B20" s="1252" t="s">
        <v>135</v>
      </c>
      <c r="C20" s="1253"/>
      <c r="D20" s="268">
        <f t="shared" si="1"/>
        <v>46</v>
      </c>
      <c r="E20" s="269">
        <f>+E14-E19</f>
        <v>145714603</v>
      </c>
      <c r="F20" s="1268"/>
      <c r="G20" s="1275" t="s">
        <v>118</v>
      </c>
      <c r="H20" s="1275"/>
      <c r="I20" s="268">
        <f t="shared" si="0"/>
        <v>83</v>
      </c>
      <c r="J20" s="270">
        <f>IF((J9-SUM(J10:J19))&gt;0,(J9-SUM(J10:J19)),0)</f>
        <v>0</v>
      </c>
      <c r="K20" s="281"/>
      <c r="L20" s="352">
        <f>IF('DATOS PARA DEPURAR'!E222="S",(E7+M20)*10%,0)</f>
        <v>0</v>
      </c>
      <c r="M20" s="202">
        <f>IF('DATOS PARA DEPURAR'!E103="S",SUM('DATOS PARA DEPURAR'!E50:E53),0)</f>
        <v>0</v>
      </c>
      <c r="P20" s="331" t="s">
        <v>431</v>
      </c>
      <c r="Q20" s="202">
        <f>IF('DATOS PARA DEPURAR'!E14="S",'DEPURACION ORDINARIO 2017'!Q17*2,0)</f>
        <v>0</v>
      </c>
      <c r="Z20" s="202">
        <f>IF('DATOS PARA DEPURAR'!E14="S",'DEPURACION ORDINARIO 2017'!Z17*2,0)</f>
        <v>0</v>
      </c>
    </row>
    <row r="21" spans="1:27" ht="9" customHeight="1" thickBot="1" x14ac:dyDescent="0.25">
      <c r="A21" s="1259" t="s">
        <v>361</v>
      </c>
      <c r="B21" s="1260"/>
      <c r="C21" s="1260"/>
      <c r="D21" s="1260"/>
      <c r="E21" s="1260"/>
      <c r="F21" s="1260"/>
      <c r="G21" s="1260"/>
      <c r="H21" s="1260"/>
      <c r="I21" s="1260"/>
      <c r="J21" s="1261"/>
      <c r="K21" s="281"/>
      <c r="L21" s="359">
        <f>MIN(L19:L20)</f>
        <v>0</v>
      </c>
      <c r="Q21" s="329">
        <f>+AC12</f>
        <v>380040</v>
      </c>
      <c r="Z21" s="418">
        <f>+AC12</f>
        <v>380040</v>
      </c>
    </row>
    <row r="22" spans="1:27" ht="21" customHeight="1" x14ac:dyDescent="0.2">
      <c r="A22" s="1307" t="s">
        <v>145</v>
      </c>
      <c r="B22" s="1308" t="s">
        <v>137</v>
      </c>
      <c r="C22" s="1308"/>
      <c r="D22" s="198">
        <f>+D20+1</f>
        <v>47</v>
      </c>
      <c r="E22" s="266">
        <f>+'DATOS PARA DEPURAR'!E206</f>
        <v>0</v>
      </c>
      <c r="F22" s="1300" t="s">
        <v>172</v>
      </c>
      <c r="G22" s="1251" t="s">
        <v>143</v>
      </c>
      <c r="H22" s="1251"/>
      <c r="I22" s="282">
        <f>+I20+1</f>
        <v>84</v>
      </c>
      <c r="J22" s="283">
        <f>+L31</f>
        <v>17620000</v>
      </c>
      <c r="K22" s="412">
        <f>+L31</f>
        <v>17620000</v>
      </c>
      <c r="L22" s="284" t="s">
        <v>8</v>
      </c>
      <c r="M22" s="285"/>
      <c r="O22" s="286" t="s">
        <v>10</v>
      </c>
      <c r="Q22" s="202">
        <f>MAX(Q20:Q21)</f>
        <v>380040</v>
      </c>
      <c r="Z22" s="202">
        <f>MAX(Z20:Z21)</f>
        <v>380040</v>
      </c>
    </row>
    <row r="23" spans="1:27" ht="24" customHeight="1" thickBot="1" x14ac:dyDescent="0.3">
      <c r="A23" s="1307"/>
      <c r="B23" s="1252" t="s">
        <v>138</v>
      </c>
      <c r="C23" s="1253"/>
      <c r="D23" s="268">
        <f t="shared" si="1"/>
        <v>48</v>
      </c>
      <c r="E23" s="269">
        <f>IF((L20)&gt;0,L21,0)</f>
        <v>0</v>
      </c>
      <c r="F23" s="1300"/>
      <c r="G23" s="1305" t="s">
        <v>175</v>
      </c>
      <c r="H23" s="1305"/>
      <c r="I23" s="268">
        <f t="shared" si="0"/>
        <v>85</v>
      </c>
      <c r="J23" s="270">
        <f>_xlfn.CEILING.PRECISE(H50,1000)</f>
        <v>0</v>
      </c>
      <c r="K23" s="281">
        <f>_xlfn.CEILING.PRECISE(H50,1000)</f>
        <v>0</v>
      </c>
      <c r="L23" s="1271">
        <f>+E41/O23</f>
        <v>3018.9388289082294</v>
      </c>
      <c r="M23" s="1272"/>
      <c r="O23" s="287">
        <f>+'DATOS PARA DEPURAR'!C23</f>
        <v>36308</v>
      </c>
      <c r="S23" s="202">
        <f>IF(Q20&gt;0,Q22,Q19)</f>
        <v>380040</v>
      </c>
      <c r="AA23" s="202">
        <f>IF(Z20&gt;0,Z22,Z19)</f>
        <v>528800</v>
      </c>
    </row>
    <row r="24" spans="1:27" ht="21" customHeight="1" thickBot="1" x14ac:dyDescent="0.25">
      <c r="A24" s="1307"/>
      <c r="B24" s="1306" t="s">
        <v>139</v>
      </c>
      <c r="C24" s="1306"/>
      <c r="D24" s="198">
        <f t="shared" si="1"/>
        <v>49</v>
      </c>
      <c r="E24" s="266">
        <f>+'DATOS PARA DEPURAR'!E220</f>
        <v>0</v>
      </c>
      <c r="F24" s="1300"/>
      <c r="G24" s="1254" t="s">
        <v>144</v>
      </c>
      <c r="H24" s="288" t="s">
        <v>167</v>
      </c>
      <c r="I24" s="198">
        <f t="shared" si="0"/>
        <v>86</v>
      </c>
      <c r="J24" s="267">
        <f>IF(J166&gt;0,'DATOS PARA DEPURAR'!E312,0)</f>
        <v>0</v>
      </c>
      <c r="P24" s="272" t="s">
        <v>442</v>
      </c>
      <c r="Z24" s="202">
        <f>IF(S15&gt;0,S23,AA23)</f>
        <v>528800</v>
      </c>
    </row>
    <row r="25" spans="1:27" ht="20.25" customHeight="1" x14ac:dyDescent="0.2">
      <c r="A25" s="1307"/>
      <c r="B25" s="1252" t="s">
        <v>140</v>
      </c>
      <c r="C25" s="1253"/>
      <c r="D25" s="268">
        <f t="shared" si="1"/>
        <v>50</v>
      </c>
      <c r="E25" s="269">
        <f>'DATOS PARA DEPURAR'!E209+'DATOS PARA DEPURAR'!E213+'DATOS PARA DEPURAR'!E216+'DATOS PARA DEPURAR'!E217+'DATOS PARA DEPURAR'!E218+'DATOS PARA DEPURAR'!E223+'DATOS PARA DEPURAR'!E225+'DATOS PARA DEPURAR'!E226+'DATOS PARA DEPURAR'!E227+'DATOS PARA DEPURAR'!E135+'DATOS PARA DEPURAR'!E145+'DATOS PARA DEPURAR'!E153+'DATOS PARA DEPURAR'!E159+'DATOS PARA DEPURAR'!E172+'DATOS PARA DEPURAR'!E180+SUM(L37:L38)+'DATOS PARA DEPURAR'!E189+'DATOS PARA DEPURAR'!E208</f>
        <v>189298</v>
      </c>
      <c r="F25" s="1300"/>
      <c r="G25" s="1254"/>
      <c r="H25" s="289" t="s">
        <v>168</v>
      </c>
      <c r="I25" s="268">
        <f t="shared" si="0"/>
        <v>87</v>
      </c>
      <c r="J25" s="270">
        <f>IF(J166&gt;0,'DATOS PARA DEPURAR'!E313,0)</f>
        <v>0</v>
      </c>
      <c r="L25" s="290">
        <v>0</v>
      </c>
      <c r="M25" s="291">
        <v>1090</v>
      </c>
      <c r="O25" s="292" t="b">
        <f>IF(L23&lt;=1090,0)</f>
        <v>0</v>
      </c>
      <c r="P25" s="202">
        <f>+'DATOS PARA DEPURAR'!E16</f>
        <v>44301</v>
      </c>
      <c r="AA25" s="202">
        <f>+Z24/0.1</f>
        <v>5288000</v>
      </c>
    </row>
    <row r="26" spans="1:27" ht="22.5" customHeight="1" x14ac:dyDescent="0.25">
      <c r="A26" s="1307"/>
      <c r="B26" s="1265" t="s">
        <v>141</v>
      </c>
      <c r="C26" s="1266"/>
      <c r="D26" s="198">
        <f t="shared" si="1"/>
        <v>51</v>
      </c>
      <c r="E26" s="266">
        <f>IF((E13&gt;0),('DATOS PARA DEPURAR'!E205),0)</f>
        <v>0</v>
      </c>
      <c r="F26" s="1300"/>
      <c r="G26" s="1254"/>
      <c r="H26" s="288" t="s">
        <v>169</v>
      </c>
      <c r="I26" s="198">
        <f t="shared" si="0"/>
        <v>88</v>
      </c>
      <c r="J26" s="267">
        <f>IF(J166&gt;0,'DATOS PARA DEPURAR'!E314,0)</f>
        <v>0</v>
      </c>
      <c r="L26" s="293" t="s">
        <v>176</v>
      </c>
      <c r="M26" s="294">
        <v>1700</v>
      </c>
      <c r="O26" s="295">
        <f>IF(L23&gt;1090,(IF(L23&lt;=1700,ROUND((((+L23-1090)*19%)*O23),-3),0)),FALSE)</f>
        <v>0</v>
      </c>
      <c r="P26" s="202">
        <f>+'DATOS PARA DEPURAR'!C16</f>
        <v>44421</v>
      </c>
      <c r="AA26" s="328">
        <f>+AA25*P28*5%</f>
        <v>-1057600</v>
      </c>
    </row>
    <row r="27" spans="1:27" ht="17.25" customHeight="1" x14ac:dyDescent="0.25">
      <c r="A27" s="1307"/>
      <c r="B27" s="1252" t="s">
        <v>142</v>
      </c>
      <c r="C27" s="1253"/>
      <c r="D27" s="268">
        <f t="shared" si="1"/>
        <v>52</v>
      </c>
      <c r="E27" s="269">
        <f>SUM(E22:E26)</f>
        <v>189298</v>
      </c>
      <c r="F27" s="1300"/>
      <c r="G27" s="1254"/>
      <c r="H27" s="296" t="s">
        <v>170</v>
      </c>
      <c r="I27" s="268">
        <f t="shared" si="0"/>
        <v>89</v>
      </c>
      <c r="J27" s="270">
        <f>IF(J166&gt;0,'DATOS PARA DEPURAR'!E316,0)</f>
        <v>0</v>
      </c>
      <c r="L27" s="293" t="s">
        <v>177</v>
      </c>
      <c r="M27" s="294">
        <v>4100</v>
      </c>
      <c r="O27" s="295">
        <f>IF(L23&gt;1700,IF(L23&lt;=4100,ROUND((((+L23-1700)*28%+116)*O23),-3),0))</f>
        <v>17620000</v>
      </c>
      <c r="P27" s="202">
        <f>+P25-P26</f>
        <v>-120</v>
      </c>
      <c r="AA27" s="432">
        <f>IF(AA26&gt;AA25,AA25,AA26)</f>
        <v>-1057600</v>
      </c>
    </row>
    <row r="28" spans="1:27" ht="18" customHeight="1" thickBot="1" x14ac:dyDescent="0.3">
      <c r="A28" s="1301" t="s">
        <v>152</v>
      </c>
      <c r="B28" s="1265" t="s">
        <v>146</v>
      </c>
      <c r="C28" s="1266"/>
      <c r="D28" s="198">
        <f t="shared" si="1"/>
        <v>53</v>
      </c>
      <c r="E28" s="266">
        <f>IF((E20-E27)&gt;0,E20-E27,0)</f>
        <v>145525305</v>
      </c>
      <c r="F28" s="1300"/>
      <c r="G28" s="1254"/>
      <c r="H28" s="297" t="s">
        <v>171</v>
      </c>
      <c r="I28" s="198">
        <f t="shared" si="0"/>
        <v>90</v>
      </c>
      <c r="J28" s="267">
        <f>SUM(J24:J27)</f>
        <v>0</v>
      </c>
      <c r="K28" s="262">
        <f>SUM(K24:K27)</f>
        <v>0</v>
      </c>
      <c r="L28" s="298" t="s">
        <v>178</v>
      </c>
      <c r="M28" s="299"/>
      <c r="O28" s="300">
        <f>IF(L23&gt;4100,ROUND((((+L23-4100)*33%)*O23)+(788*O23),-3),0)</f>
        <v>0</v>
      </c>
      <c r="P28" s="202">
        <f>_xlfn.CEILING.PRECISE(P27/30,1)</f>
        <v>-4</v>
      </c>
    </row>
    <row r="29" spans="1:27" ht="18" customHeight="1" thickBot="1" x14ac:dyDescent="0.25">
      <c r="A29" s="1301"/>
      <c r="B29" s="1252" t="s">
        <v>148</v>
      </c>
      <c r="C29" s="1253"/>
      <c r="D29" s="268">
        <f t="shared" si="1"/>
        <v>54</v>
      </c>
      <c r="E29" s="269">
        <f>IF((E27-E20)&gt;0,E27-E20,0)</f>
        <v>0</v>
      </c>
      <c r="F29" s="1300"/>
      <c r="G29" s="1294" t="s">
        <v>173</v>
      </c>
      <c r="H29" s="1294"/>
      <c r="I29" s="268">
        <f t="shared" si="0"/>
        <v>91</v>
      </c>
      <c r="J29" s="270">
        <f>IF(J22&gt;J23,J22-J28,IF(J23&gt;J22,J23-J28,0))</f>
        <v>17620000</v>
      </c>
      <c r="K29" s="262">
        <f>IF(K22&gt;K23,K22-K28,IF(K23&gt;K22,K23-K28,0))</f>
        <v>17620000</v>
      </c>
      <c r="P29" s="272" t="s">
        <v>444</v>
      </c>
      <c r="Q29" s="202">
        <f>+AC14</f>
        <v>881000</v>
      </c>
    </row>
    <row r="30" spans="1:27" ht="18" customHeight="1" x14ac:dyDescent="0.2">
      <c r="A30" s="1301"/>
      <c r="B30" s="1265" t="s">
        <v>147</v>
      </c>
      <c r="C30" s="1266"/>
      <c r="D30" s="198">
        <f t="shared" si="1"/>
        <v>55</v>
      </c>
      <c r="E30" s="266">
        <f>IF((H87)&gt;0,H87,0)</f>
        <v>0</v>
      </c>
      <c r="F30" s="1300"/>
      <c r="G30" s="1295" t="s">
        <v>106</v>
      </c>
      <c r="H30" s="1295"/>
      <c r="I30" s="198">
        <f t="shared" si="0"/>
        <v>92</v>
      </c>
      <c r="J30" s="267">
        <f>SUM('DEPURACION POR IMAS EMPLEADO'!K30:K31)</f>
        <v>0</v>
      </c>
      <c r="L30" s="1246" t="s">
        <v>179</v>
      </c>
      <c r="M30" s="1247"/>
      <c r="P30" s="272" t="s">
        <v>429</v>
      </c>
      <c r="Q30" s="202">
        <f>IF('DATOS PARA DEPURAR'!C13="S",'DEPURACION ORDINARIO 2017'!Z24,0)</f>
        <v>0</v>
      </c>
    </row>
    <row r="31" spans="1:27" ht="18" customHeight="1" thickBot="1" x14ac:dyDescent="0.3">
      <c r="A31" s="1301"/>
      <c r="B31" s="1252" t="s">
        <v>149</v>
      </c>
      <c r="C31" s="1253"/>
      <c r="D31" s="268">
        <f t="shared" si="1"/>
        <v>56</v>
      </c>
      <c r="E31" s="269">
        <f>IF(E28&gt;0,E28-E30,0)</f>
        <v>145525305</v>
      </c>
      <c r="F31" s="1300"/>
      <c r="G31" s="1297" t="s">
        <v>174</v>
      </c>
      <c r="H31" s="1297"/>
      <c r="I31" s="268">
        <f t="shared" si="0"/>
        <v>93</v>
      </c>
      <c r="J31" s="301">
        <f>+'DATOS PARA DEPURAR'!E307</f>
        <v>0</v>
      </c>
      <c r="L31" s="1248">
        <f>IF(O25=0,O25,IF(O26&gt;0,O26,IF(O27&gt;0,O27,IF(O28&gt;0,O28))))</f>
        <v>17620000</v>
      </c>
      <c r="M31" s="1249"/>
      <c r="P31" s="461" t="s">
        <v>445</v>
      </c>
      <c r="Q31" s="329">
        <f>IF('DATOS PARA DEPURAR'!C15="S",AA27,0)</f>
        <v>0</v>
      </c>
      <c r="Z31" s="202">
        <f>+'DATOS PARA DEPURAR'!E15</f>
        <v>0</v>
      </c>
    </row>
    <row r="32" spans="1:27" ht="18" customHeight="1" x14ac:dyDescent="0.2">
      <c r="A32" s="1301"/>
      <c r="B32" s="1265" t="s">
        <v>150</v>
      </c>
      <c r="C32" s="1266"/>
      <c r="D32" s="198">
        <f t="shared" si="1"/>
        <v>57</v>
      </c>
      <c r="E32" s="266">
        <f>IF(('DATOS PARA DEPURAR'!E21=1),0,'DEPURACION ORDINARIO 2017'!C83)</f>
        <v>8784563.5899011195</v>
      </c>
      <c r="F32" s="1300"/>
      <c r="G32" s="1295" t="s">
        <v>108</v>
      </c>
      <c r="H32" s="1295"/>
      <c r="I32" s="198">
        <f t="shared" si="0"/>
        <v>94</v>
      </c>
      <c r="J32" s="302">
        <f>+J29+J30-J31</f>
        <v>17620000</v>
      </c>
      <c r="Q32" s="202">
        <f>IF((Q29&lt;=0),Q30+Q31,IF(Q30&lt;=0,Q29,IF(SUM(Q29:Q30)&lt;=0,0,0)))</f>
        <v>881000</v>
      </c>
      <c r="Z32" s="202">
        <f>IF(Z24&gt;0,Z31,0)</f>
        <v>0</v>
      </c>
    </row>
    <row r="33" spans="1:16" ht="24" customHeight="1" thickBot="1" x14ac:dyDescent="0.25">
      <c r="A33" s="1301"/>
      <c r="B33" s="1300" t="s">
        <v>151</v>
      </c>
      <c r="C33" s="289" t="s">
        <v>153</v>
      </c>
      <c r="D33" s="268">
        <f t="shared" si="1"/>
        <v>58</v>
      </c>
      <c r="E33" s="269">
        <f>+'DATOS PARA DEPURAR'!E262+'DATOS PARA DEPURAR'!E264+'DATOS PARA DEPURAR'!E266+'DATOS PARA DEPURAR'!E273</f>
        <v>0</v>
      </c>
      <c r="F33" s="1300"/>
      <c r="G33" s="1294" t="s">
        <v>485</v>
      </c>
      <c r="H33" s="1294"/>
      <c r="I33" s="268">
        <f t="shared" si="0"/>
        <v>95</v>
      </c>
      <c r="J33" s="270">
        <f>IF('DATOS PARA DEPURAR'!E20&gt;0,'DATOS PARA DEPURAR'!E20,0)</f>
        <v>1820000</v>
      </c>
    </row>
    <row r="34" spans="1:16" ht="17.25" customHeight="1" x14ac:dyDescent="0.2">
      <c r="A34" s="1301"/>
      <c r="B34" s="1300"/>
      <c r="C34" s="303" t="s">
        <v>154</v>
      </c>
      <c r="D34" s="198">
        <f t="shared" si="1"/>
        <v>59</v>
      </c>
      <c r="E34" s="266">
        <f>+'DATOS PARA DEPURAR'!D255+'DATOS PARA DEPURAR'!D256</f>
        <v>0</v>
      </c>
      <c r="F34" s="1300"/>
      <c r="G34" s="1302" t="s">
        <v>612</v>
      </c>
      <c r="H34" s="1302"/>
      <c r="I34" s="198">
        <f t="shared" si="0"/>
        <v>96</v>
      </c>
      <c r="J34" s="267">
        <f>IF('DATOS PARA DEPURAR'!C21&gt;0,'DATOS PARA DEPURAR'!C21,0)</f>
        <v>0</v>
      </c>
      <c r="L34" s="339" t="s">
        <v>190</v>
      </c>
      <c r="M34" s="340"/>
      <c r="N34" s="340"/>
      <c r="O34" s="340"/>
      <c r="P34" s="341"/>
    </row>
    <row r="35" spans="1:16" ht="17.25" customHeight="1" x14ac:dyDescent="0.2">
      <c r="A35" s="1301"/>
      <c r="B35" s="1300"/>
      <c r="C35" s="304" t="s">
        <v>155</v>
      </c>
      <c r="D35" s="268">
        <f t="shared" si="1"/>
        <v>60</v>
      </c>
      <c r="E35" s="269">
        <f>IF(('DATOS PARA DEPURAR'!D260&lt;=0),('DEPURACION ORDINARIO 2017'!C69),(C73))</f>
        <v>0</v>
      </c>
      <c r="F35" s="1300"/>
      <c r="G35" s="1296" t="s">
        <v>589</v>
      </c>
      <c r="H35" s="1296"/>
      <c r="I35" s="268">
        <f t="shared" si="0"/>
        <v>97</v>
      </c>
      <c r="J35" s="270">
        <f>+'DATOS PARA DEPURAR'!E308</f>
        <v>12096000</v>
      </c>
      <c r="K35" s="262">
        <f>IF((L35)&gt;0,L35,0)</f>
        <v>26474111</v>
      </c>
      <c r="L35" s="342">
        <f>IF((M35*25%)&lt;=(2880*'DATOS PARA DEPURAR'!C23),(M35*25%),(2880*'DATOS PARA DEPURAR'!C23))</f>
        <v>26474111</v>
      </c>
      <c r="M35" s="337">
        <f>E7-'DATOS PARA DEPURAR'!E42+L36-SUM('DATOS PARA DEPURAR'!E262:E267)-'DATOS PARA DEPURAR'!E215-'DATOS PARA DEPURAR'!E216-'DATOS PARA DEPURAR'!E217-'DATOS PARA DEPURAR'!C220-'DATOS PARA DEPURAR'!C223-'DATOS PARA DEPURAR'!E227-'DATOS PARA DEPURAR'!E226-'DATOS PARA DEPURAR'!E225-'DEPURACION ORDINARIO 2017'!E23-'DATOS PARA DEPURAR'!E255</f>
        <v>105896444</v>
      </c>
      <c r="N35" s="194"/>
      <c r="O35" s="194"/>
      <c r="P35" s="343"/>
    </row>
    <row r="36" spans="1:16" ht="17.25" customHeight="1" x14ac:dyDescent="0.2">
      <c r="A36" s="1301"/>
      <c r="B36" s="1300"/>
      <c r="C36" s="303" t="s">
        <v>156</v>
      </c>
      <c r="D36" s="198">
        <f t="shared" si="1"/>
        <v>61</v>
      </c>
      <c r="E36" s="266">
        <f>IF((C65&gt;0),C65,0)</f>
        <v>0</v>
      </c>
      <c r="F36" s="1300"/>
      <c r="G36" s="1295" t="s">
        <v>590</v>
      </c>
      <c r="H36" s="1295"/>
      <c r="I36" s="198">
        <f t="shared" si="0"/>
        <v>98</v>
      </c>
      <c r="J36" s="267">
        <f>+P42</f>
        <v>1119000</v>
      </c>
      <c r="L36" s="344">
        <f>IF(('DATOS PARA DEPURAR'!E103)="S",('DATOS PARA DEPURAR'!E50+'DATOS PARA DEPURAR'!E52),0)</f>
        <v>0</v>
      </c>
      <c r="M36" s="194">
        <f>50531/0.25</f>
        <v>202124</v>
      </c>
      <c r="N36" s="194"/>
      <c r="O36" s="194"/>
      <c r="P36" s="343"/>
    </row>
    <row r="37" spans="1:16" ht="17.25" customHeight="1" x14ac:dyDescent="0.2">
      <c r="A37" s="1301"/>
      <c r="B37" s="1300"/>
      <c r="C37" s="304" t="s">
        <v>157</v>
      </c>
      <c r="D37" s="268">
        <f t="shared" si="1"/>
        <v>62</v>
      </c>
      <c r="E37" s="269">
        <f>'DATOS PARA DEPURAR'!E275-'DATOS PARA DEPURAR'!E255-'DATOS PARA DEPURAR'!E271-'DATOS PARA DEPURAR'!E270-'DATOS PARA DEPURAR'!E262-'DATOS PARA DEPURAR'!E264-'DATOS PARA DEPURAR'!E266-'DATOS PARA DEPURAR'!E273</f>
        <v>9439563</v>
      </c>
      <c r="F37" s="1300"/>
      <c r="G37" s="1296" t="s">
        <v>180</v>
      </c>
      <c r="H37" s="1296"/>
      <c r="I37" s="268">
        <f t="shared" si="0"/>
        <v>99</v>
      </c>
      <c r="J37" s="270">
        <f>IF((J32+J36-J33-J34-J35)&gt;0,J32+J36-J33-J34-J35,0)</f>
        <v>4823000</v>
      </c>
      <c r="L37" s="344">
        <f>IF('DATOS PARA DEPURAR'!D60="N",'DATOS PARA DEPURAR'!E166,0)</f>
        <v>0</v>
      </c>
      <c r="M37" s="194">
        <f>+M36/2</f>
        <v>101062</v>
      </c>
      <c r="N37" s="194"/>
      <c r="O37" s="337">
        <f>IF((J29)&gt;0,J29,0)</f>
        <v>17620000</v>
      </c>
      <c r="P37" s="343"/>
    </row>
    <row r="38" spans="1:16" ht="17.25" customHeight="1" x14ac:dyDescent="0.2">
      <c r="A38" s="1301"/>
      <c r="B38" s="1300"/>
      <c r="C38" s="303" t="s">
        <v>158</v>
      </c>
      <c r="D38" s="198">
        <f t="shared" si="1"/>
        <v>63</v>
      </c>
      <c r="E38" s="266">
        <f>+K35+'DATOS PARA DEPURAR'!E270</f>
        <v>26474111</v>
      </c>
      <c r="F38" s="1300"/>
      <c r="G38" s="1304" t="s">
        <v>181</v>
      </c>
      <c r="H38" s="1304"/>
      <c r="I38" s="305">
        <f t="shared" si="0"/>
        <v>100</v>
      </c>
      <c r="J38" s="267">
        <f>+K38</f>
        <v>881000</v>
      </c>
      <c r="K38" s="262">
        <f>+Q32</f>
        <v>881000</v>
      </c>
      <c r="L38" s="344">
        <f>IF('DATOS PARA DEPURAR'!D62="N",'DATOS PARA DEPURAR'!E167,0)</f>
        <v>0</v>
      </c>
      <c r="M38" s="194"/>
      <c r="N38" s="194"/>
      <c r="O38" s="337">
        <f>IF(((O37)*('DEPURACION POR IMAS EMPLEADO'!K44)-('DATOS PARA DEPURAR'!E301))&gt;0,(O37)*('DEPURACION POR IMAS EMPLEADO'!K44)-('DATOS PARA DEPURAR'!E301),0)</f>
        <v>1119000</v>
      </c>
      <c r="P38" s="343"/>
    </row>
    <row r="39" spans="1:16" ht="17.25" customHeight="1" x14ac:dyDescent="0.2">
      <c r="A39" s="1301"/>
      <c r="B39" s="1300"/>
      <c r="C39" s="306" t="s">
        <v>159</v>
      </c>
      <c r="D39" s="268">
        <f t="shared" si="1"/>
        <v>64</v>
      </c>
      <c r="E39" s="269">
        <f>SUM(E33:E38)</f>
        <v>35913674</v>
      </c>
      <c r="F39" s="1300"/>
      <c r="G39" s="1296" t="s">
        <v>182</v>
      </c>
      <c r="H39" s="1296"/>
      <c r="I39" s="307">
        <f t="shared" si="0"/>
        <v>101</v>
      </c>
      <c r="J39" s="270">
        <f>IF((J32+J36-J33-J34-J35+J38)&gt;0,J32+J36-J33-J34-J35+J38,0)</f>
        <v>5704000</v>
      </c>
      <c r="L39" s="344"/>
      <c r="M39" s="194"/>
      <c r="N39" s="194"/>
      <c r="O39" s="194"/>
      <c r="P39" s="345">
        <f>+O38</f>
        <v>1119000</v>
      </c>
    </row>
    <row r="40" spans="1:16" ht="17.25" customHeight="1" x14ac:dyDescent="0.2">
      <c r="A40" s="1303" t="s">
        <v>160</v>
      </c>
      <c r="B40" s="1266"/>
      <c r="C40" s="1266"/>
      <c r="D40" s="198">
        <f t="shared" si="1"/>
        <v>65</v>
      </c>
      <c r="E40" s="266">
        <v>0</v>
      </c>
      <c r="F40" s="1300"/>
      <c r="G40" s="1299" t="s">
        <v>183</v>
      </c>
      <c r="H40" s="1299"/>
      <c r="I40" s="305">
        <f t="shared" si="0"/>
        <v>102</v>
      </c>
      <c r="J40" s="267">
        <f>IF(J33+J34+J35-J32-J36-J38&gt;0,J33+J34+J35-J32-J36-J38,0)</f>
        <v>0</v>
      </c>
      <c r="L40" s="344">
        <v>1</v>
      </c>
      <c r="M40" s="194"/>
      <c r="N40" s="194"/>
      <c r="O40" s="337">
        <f>IF((O41)&gt;0,(O41+O37)/(2),0)</f>
        <v>44880000</v>
      </c>
      <c r="P40" s="343">
        <f>IF((O40*'DEPURACION POR IMAS EMPLEADO'!K44)-('DATOS PARA DEPURAR'!E301)&gt;0,(O40*'DEPURACION POR IMAS EMPLEADO'!K44)-('DATOS PARA DEPURAR'!E301),0)</f>
        <v>21564000</v>
      </c>
    </row>
    <row r="41" spans="1:16" x14ac:dyDescent="0.2">
      <c r="A41" s="1255" t="s">
        <v>161</v>
      </c>
      <c r="B41" s="1256"/>
      <c r="C41" s="1256"/>
      <c r="D41" s="308">
        <f t="shared" si="1"/>
        <v>66</v>
      </c>
      <c r="E41" s="309">
        <f>IF((E44)&gt;0,E44,0)</f>
        <v>109611631</v>
      </c>
      <c r="F41" s="310"/>
      <c r="G41" s="311"/>
      <c r="H41" s="311"/>
      <c r="I41" s="308"/>
      <c r="J41" s="312"/>
      <c r="L41" s="344">
        <v>2</v>
      </c>
      <c r="M41" s="194"/>
      <c r="N41" s="194"/>
      <c r="O41" s="337">
        <f>+'DATOS PARA DEPURAR'!C20</f>
        <v>72140000</v>
      </c>
      <c r="P41" s="345">
        <f>MIN(P39:P40)</f>
        <v>1119000</v>
      </c>
    </row>
    <row r="42" spans="1:16" ht="21" customHeight="1" x14ac:dyDescent="0.2">
      <c r="A42" s="1298" t="str">
        <f>IF(E20&gt;0,C105,C99)</f>
        <v>YAOP</v>
      </c>
      <c r="B42" s="1298"/>
      <c r="C42" s="1298"/>
      <c r="D42" s="1298"/>
      <c r="E42" s="1298"/>
      <c r="F42" s="1298"/>
      <c r="G42" s="1298"/>
      <c r="H42" s="1298"/>
      <c r="I42" s="1298"/>
      <c r="J42" s="1298"/>
      <c r="L42" s="344">
        <v>3</v>
      </c>
      <c r="M42" s="350">
        <f>+'DATOS PARA DEPURAR'!C24/'DATOS PARA DEPURAR'!C23</f>
        <v>96.080423047262315</v>
      </c>
      <c r="N42" s="194"/>
      <c r="O42" s="194">
        <f>LOOKUP(M42,L43:M49,O43:O49)</f>
        <v>1</v>
      </c>
      <c r="P42" s="343">
        <f>IF((P41)&gt;0,P41,P39)</f>
        <v>1119000</v>
      </c>
    </row>
    <row r="43" spans="1:16" ht="0.75" hidden="1" customHeight="1" x14ac:dyDescent="0.2">
      <c r="L43" s="344">
        <v>0</v>
      </c>
      <c r="M43" s="194">
        <f>350-0.01</f>
        <v>349.99</v>
      </c>
      <c r="N43" s="194"/>
      <c r="O43" s="338">
        <v>1</v>
      </c>
      <c r="P43" s="343">
        <f>IF(M42&lt;=M43,O42,0)</f>
        <v>1</v>
      </c>
    </row>
    <row r="44" spans="1:16" ht="0.75" hidden="1" customHeight="1" x14ac:dyDescent="0.2">
      <c r="C44" s="272" t="s">
        <v>161</v>
      </c>
      <c r="E44" s="202">
        <f>IF(E31&lt;E32,E32+E40-E39,IF(E32&lt;E31,E31-E39+E40,0))</f>
        <v>109611631</v>
      </c>
      <c r="J44" s="200"/>
      <c r="L44" s="344">
        <v>350</v>
      </c>
      <c r="M44" s="194">
        <f>410-0.01</f>
        <v>409.99</v>
      </c>
      <c r="N44" s="194"/>
      <c r="O44" s="338">
        <v>0.9</v>
      </c>
      <c r="P44" s="343"/>
    </row>
    <row r="45" spans="1:16" ht="0.75" hidden="1" customHeight="1" x14ac:dyDescent="0.2">
      <c r="L45" s="344">
        <v>410</v>
      </c>
      <c r="M45" s="194">
        <f>470-0.01</f>
        <v>469.99</v>
      </c>
      <c r="N45" s="194"/>
      <c r="O45" s="338">
        <v>0.8</v>
      </c>
      <c r="P45" s="343"/>
    </row>
    <row r="46" spans="1:16" ht="0.75" hidden="1" customHeight="1" thickBot="1" x14ac:dyDescent="0.25">
      <c r="L46" s="344">
        <v>470</v>
      </c>
      <c r="M46" s="194">
        <f>530-0.01</f>
        <v>529.99</v>
      </c>
      <c r="N46" s="194"/>
      <c r="O46" s="338">
        <v>0.6</v>
      </c>
      <c r="P46" s="343"/>
    </row>
    <row r="47" spans="1:16" ht="0.75" hidden="1" customHeight="1" thickBot="1" x14ac:dyDescent="0.3">
      <c r="C47" s="313" t="s">
        <v>35</v>
      </c>
      <c r="D47" s="314"/>
      <c r="E47" s="315" t="s">
        <v>81</v>
      </c>
      <c r="F47" s="315"/>
      <c r="H47" s="316" t="s">
        <v>82</v>
      </c>
      <c r="L47" s="344">
        <v>530</v>
      </c>
      <c r="M47" s="194">
        <f>590-0.01</f>
        <v>589.99</v>
      </c>
      <c r="N47" s="194"/>
      <c r="O47" s="338">
        <v>0.4</v>
      </c>
      <c r="P47" s="343"/>
    </row>
    <row r="48" spans="1:16" ht="0.75" hidden="1" customHeight="1" thickBot="1" x14ac:dyDescent="0.25">
      <c r="C48" s="317" t="s">
        <v>18</v>
      </c>
      <c r="D48" s="317"/>
      <c r="E48" s="318">
        <f>+J9/'DATOS PARA DEPURAR'!$C$23</f>
        <v>0</v>
      </c>
      <c r="F48" s="318"/>
      <c r="H48" s="319">
        <f>+E48*'DATOS PARA DEPURAR'!$C$23</f>
        <v>0</v>
      </c>
      <c r="L48" s="344">
        <v>590</v>
      </c>
      <c r="M48" s="194">
        <f>650-0.01</f>
        <v>649.99</v>
      </c>
      <c r="N48" s="194"/>
      <c r="O48" s="338">
        <v>0.2</v>
      </c>
      <c r="P48" s="343"/>
    </row>
    <row r="49" spans="3:16" ht="0.75" hidden="1" customHeight="1" thickBot="1" x14ac:dyDescent="0.25">
      <c r="C49" s="320" t="s">
        <v>83</v>
      </c>
      <c r="D49" s="320"/>
      <c r="E49" s="318">
        <f>+J20/'DATOS PARA DEPURAR'!$C$23</f>
        <v>0</v>
      </c>
      <c r="F49" s="318"/>
      <c r="H49" s="319">
        <f>+E49*'DATOS PARA DEPURAR'!$C$23</f>
        <v>0</v>
      </c>
      <c r="L49" s="346">
        <v>650</v>
      </c>
      <c r="M49" s="347">
        <v>10000</v>
      </c>
      <c r="N49" s="347"/>
      <c r="O49" s="348">
        <v>0.1</v>
      </c>
      <c r="P49" s="349"/>
    </row>
    <row r="50" spans="3:16" ht="0.75" hidden="1" customHeight="1" thickBot="1" x14ac:dyDescent="0.25">
      <c r="C50" s="320" t="s">
        <v>84</v>
      </c>
      <c r="D50" s="320"/>
      <c r="E50" s="188">
        <f>+E53</f>
        <v>0</v>
      </c>
      <c r="F50" s="188"/>
      <c r="H50" s="319">
        <f>+E50*'DATOS PARA DEPURAR'!$C$23</f>
        <v>0</v>
      </c>
    </row>
    <row r="51" spans="3:16" ht="0.75" hidden="1" customHeight="1" x14ac:dyDescent="0.25">
      <c r="C51" s="321"/>
      <c r="D51" s="321"/>
      <c r="E51" s="198"/>
      <c r="F51" s="198"/>
      <c r="G51" s="322"/>
      <c r="H51" s="319">
        <f>+E51*'DATOS PARA DEPURAR'!$C$23</f>
        <v>0</v>
      </c>
      <c r="J51" s="323">
        <v>0</v>
      </c>
      <c r="K51" s="324">
        <v>1547.99</v>
      </c>
      <c r="L51" s="325">
        <v>0</v>
      </c>
    </row>
    <row r="52" spans="3:16" ht="0.75" hidden="1" customHeight="1" x14ac:dyDescent="0.25">
      <c r="J52" s="323">
        <v>1548</v>
      </c>
      <c r="K52" s="326">
        <f>+J53-0.01</f>
        <v>1587.99</v>
      </c>
      <c r="L52" s="325">
        <v>1.05</v>
      </c>
    </row>
    <row r="53" spans="3:16" ht="0.75" hidden="1" customHeight="1" x14ac:dyDescent="0.25">
      <c r="E53" s="202">
        <f>IF(E49&lt;=13642.99,H53,IF(E49&gt;13642.99,(E49*27%)-1622,0))</f>
        <v>0</v>
      </c>
      <c r="H53" s="202">
        <f>LOOKUP(E49,J51:K135,L51:L135)</f>
        <v>0</v>
      </c>
      <c r="J53" s="323">
        <v>1588</v>
      </c>
      <c r="K53" s="326">
        <f t="shared" ref="K53:K116" si="2">+J54-0.01</f>
        <v>1628.99</v>
      </c>
      <c r="L53" s="325">
        <v>1.08</v>
      </c>
    </row>
    <row r="54" spans="3:16" ht="0.75" hidden="1" customHeight="1" x14ac:dyDescent="0.25">
      <c r="C54" s="327">
        <f>+E49-1622</f>
        <v>-1622</v>
      </c>
      <c r="J54" s="323">
        <v>1629</v>
      </c>
      <c r="K54" s="326">
        <f t="shared" si="2"/>
        <v>1669.99</v>
      </c>
      <c r="L54" s="325">
        <v>1.1100000000000001</v>
      </c>
    </row>
    <row r="55" spans="3:16" ht="0.75" hidden="1" customHeight="1" x14ac:dyDescent="0.25">
      <c r="C55" s="202">
        <f>+C54*0.27</f>
        <v>-437.94000000000005</v>
      </c>
      <c r="J55" s="323">
        <v>1670</v>
      </c>
      <c r="K55" s="326">
        <f t="shared" si="2"/>
        <v>1709.99</v>
      </c>
      <c r="L55" s="325">
        <v>1.1399999999999999</v>
      </c>
    </row>
    <row r="56" spans="3:16" ht="0.75" hidden="1" customHeight="1" x14ac:dyDescent="0.25">
      <c r="C56" s="202">
        <f>C55*26841</f>
        <v>-11754747.540000001</v>
      </c>
      <c r="J56" s="323">
        <v>1710</v>
      </c>
      <c r="K56" s="326">
        <f t="shared" si="2"/>
        <v>1750.99</v>
      </c>
      <c r="L56" s="325">
        <v>1.1599999999999999</v>
      </c>
    </row>
    <row r="57" spans="3:16" ht="0.75" hidden="1" customHeight="1" x14ac:dyDescent="0.25">
      <c r="J57" s="323">
        <v>1751</v>
      </c>
      <c r="K57" s="326">
        <f t="shared" si="2"/>
        <v>1791.99</v>
      </c>
      <c r="L57" s="325">
        <v>2.38</v>
      </c>
    </row>
    <row r="58" spans="3:16" ht="0.75" hidden="1" customHeight="1" x14ac:dyDescent="0.25">
      <c r="J58" s="323">
        <v>1792</v>
      </c>
      <c r="K58" s="326">
        <f t="shared" si="2"/>
        <v>1832.99</v>
      </c>
      <c r="L58" s="325">
        <v>2.4300000000000002</v>
      </c>
    </row>
    <row r="59" spans="3:16" ht="0.75" hidden="1" customHeight="1" x14ac:dyDescent="0.25">
      <c r="C59" s="202" t="s">
        <v>333</v>
      </c>
      <c r="J59" s="323">
        <v>1833</v>
      </c>
      <c r="K59" s="326">
        <f t="shared" si="2"/>
        <v>1872.99</v>
      </c>
      <c r="L59" s="325">
        <v>2.4900000000000002</v>
      </c>
    </row>
    <row r="60" spans="3:16" ht="0.75" hidden="1" customHeight="1" x14ac:dyDescent="0.25">
      <c r="C60" s="328">
        <f>3800*'DATOS PARA DEPURAR'!C23</f>
        <v>137970400</v>
      </c>
      <c r="J60" s="323">
        <v>1873</v>
      </c>
      <c r="K60" s="326">
        <f t="shared" si="2"/>
        <v>1913.99</v>
      </c>
      <c r="L60" s="325">
        <v>4.76</v>
      </c>
    </row>
    <row r="61" spans="3:16" ht="0.75" hidden="1" customHeight="1" x14ac:dyDescent="0.25">
      <c r="C61" s="328">
        <f>(SUM('DATOS PARA DEPURAR'!E50:E53)+('DATOS PARA DEPURAR'!E28))*0.3</f>
        <v>24140258.699999999</v>
      </c>
      <c r="J61" s="323">
        <v>1914</v>
      </c>
      <c r="K61" s="326">
        <f t="shared" si="2"/>
        <v>1954.99</v>
      </c>
      <c r="L61" s="325">
        <v>4.8600000000000003</v>
      </c>
    </row>
    <row r="62" spans="3:16" ht="0.75" hidden="1" customHeight="1" x14ac:dyDescent="0.25">
      <c r="C62" s="329">
        <f>MIN(C60:C61)</f>
        <v>24140258.699999999</v>
      </c>
      <c r="J62" s="323">
        <v>1955</v>
      </c>
      <c r="K62" s="326">
        <f t="shared" si="2"/>
        <v>1995.99</v>
      </c>
      <c r="L62" s="325">
        <v>4.96</v>
      </c>
    </row>
    <row r="63" spans="3:16" ht="0.75" hidden="1" customHeight="1" x14ac:dyDescent="0.25">
      <c r="J63" s="323">
        <v>1996</v>
      </c>
      <c r="K63" s="326">
        <f t="shared" si="2"/>
        <v>2035.99</v>
      </c>
      <c r="L63" s="325">
        <v>8.43</v>
      </c>
    </row>
    <row r="64" spans="3:16" ht="0.75" hidden="1" customHeight="1" x14ac:dyDescent="0.25">
      <c r="C64" s="272" t="s">
        <v>334</v>
      </c>
      <c r="J64" s="323">
        <v>2036</v>
      </c>
      <c r="K64" s="326">
        <f t="shared" si="2"/>
        <v>2117.9899999999998</v>
      </c>
      <c r="L64" s="325">
        <v>8.7100000000000009</v>
      </c>
    </row>
    <row r="65" spans="3:12" ht="0.75" hidden="1" customHeight="1" x14ac:dyDescent="0.25">
      <c r="C65" s="328">
        <f>IF(SUM('DATOS PARA DEPURAR'!D255:D260)&lt;=('DATOS PARA DEPURAR'!E255),('DATOS PARA DEPURAR'!D260),IF(SUM('DATOS PARA DEPURAR'!D255:D260)&gt;('DATOS PARA DEPURAR'!E255),('DATOS PARA DEPURAR'!E255-'DATOS PARA DEPURAR'!D255-'DATOS PARA DEPURAR'!D257),0))</f>
        <v>0</v>
      </c>
      <c r="J65" s="323">
        <v>2118</v>
      </c>
      <c r="K65" s="326">
        <f t="shared" si="2"/>
        <v>2198.9899999999998</v>
      </c>
      <c r="L65" s="325">
        <v>13.74</v>
      </c>
    </row>
    <row r="66" spans="3:12" ht="0.75" hidden="1" customHeight="1" x14ac:dyDescent="0.25">
      <c r="C66" s="272" t="s">
        <v>335</v>
      </c>
      <c r="J66" s="323">
        <v>2199</v>
      </c>
      <c r="K66" s="326">
        <f t="shared" si="2"/>
        <v>2280.9899999999998</v>
      </c>
      <c r="L66" s="325">
        <v>14.26</v>
      </c>
    </row>
    <row r="67" spans="3:12" ht="0.75" hidden="1" customHeight="1" x14ac:dyDescent="0.25">
      <c r="C67" s="275">
        <f>IF(SUM('DATOS PARA DEPURAR'!D255:D257)&lt;=('DATOS PARA DEPURAR'!E255+'DATOS PARA DEPURAR'!D256),'DATOS PARA DEPURAR'!D257,'DATOS PARA DEPURAR'!E255-'DATOS PARA DEPURAR'!D255-'DATOS PARA DEPURAR'!D256)</f>
        <v>0</v>
      </c>
      <c r="J67" s="323">
        <v>2281</v>
      </c>
      <c r="K67" s="326">
        <f t="shared" si="2"/>
        <v>2361.9899999999998</v>
      </c>
      <c r="L67" s="325">
        <v>19.809999999999999</v>
      </c>
    </row>
    <row r="68" spans="3:12" ht="0.75" hidden="1" customHeight="1" x14ac:dyDescent="0.25">
      <c r="C68" s="275">
        <f>+'DATOS PARA DEPURAR'!D257</f>
        <v>0</v>
      </c>
      <c r="J68" s="323">
        <v>2362</v>
      </c>
      <c r="K68" s="326">
        <f t="shared" si="2"/>
        <v>2442.9899999999998</v>
      </c>
      <c r="L68" s="325">
        <v>25.7</v>
      </c>
    </row>
    <row r="69" spans="3:12" ht="0.75" hidden="1" customHeight="1" x14ac:dyDescent="0.25">
      <c r="C69" s="278">
        <f>MIN(C67:C68)</f>
        <v>0</v>
      </c>
      <c r="E69" s="272" t="s">
        <v>336</v>
      </c>
      <c r="J69" s="323">
        <v>2443</v>
      </c>
      <c r="K69" s="326">
        <f t="shared" si="2"/>
        <v>2524.9899999999998</v>
      </c>
      <c r="L69" s="325">
        <v>26.57</v>
      </c>
    </row>
    <row r="70" spans="3:12" ht="0.75" hidden="1" customHeight="1" x14ac:dyDescent="0.25">
      <c r="J70" s="323">
        <v>2525</v>
      </c>
      <c r="K70" s="326">
        <f t="shared" si="2"/>
        <v>2605.9899999999998</v>
      </c>
      <c r="L70" s="325">
        <v>35.56</v>
      </c>
    </row>
    <row r="71" spans="3:12" ht="0.75" hidden="1" customHeight="1" x14ac:dyDescent="0.25">
      <c r="C71" s="275">
        <f>IF(('DATOS PARA DEPURAR'!D260&lt;=0),('DEPURACION ORDINARIO 2017'!C69),0)</f>
        <v>0</v>
      </c>
      <c r="J71" s="323">
        <v>2606</v>
      </c>
      <c r="K71" s="326">
        <f t="shared" si="2"/>
        <v>2687.99</v>
      </c>
      <c r="L71" s="325">
        <v>45.05</v>
      </c>
    </row>
    <row r="72" spans="3:12" ht="0.75" hidden="1" customHeight="1" x14ac:dyDescent="0.25">
      <c r="C72" s="328">
        <f>IF(SUM('DATOS PARA DEPURAR'!D255:D260)&gt;('DATOS PARA DEPURAR'!E255),('DEPURACION ORDINARIO 2017'!C69),('DATOS PARA DEPURAR'!D257))</f>
        <v>0</v>
      </c>
      <c r="J72" s="323">
        <v>2688</v>
      </c>
      <c r="K72" s="326">
        <f t="shared" si="2"/>
        <v>2768.99</v>
      </c>
      <c r="L72" s="325">
        <v>46.43</v>
      </c>
    </row>
    <row r="73" spans="3:12" ht="0.75" hidden="1" customHeight="1" x14ac:dyDescent="0.25">
      <c r="C73" s="278">
        <f>IF(C71&gt;C72,(MIN(C71:C72)),C72)</f>
        <v>0</v>
      </c>
      <c r="H73" s="411">
        <f>IF(('DATOS PARA DEPURAR'!E21)=2,('DATOS PARA DEPURAR'!C19/'DATOS PARA DEPURAR'!E19),IF(('DATOS PARA DEPURAR'!E21)=3,('DATOS PARA DEPURAR'!C19/'DATOS PARA DEPURAR'!E19),0))</f>
        <v>1.163760689037755</v>
      </c>
      <c r="J73" s="323">
        <v>2769</v>
      </c>
      <c r="K73" s="326">
        <f t="shared" si="2"/>
        <v>2850.99</v>
      </c>
      <c r="L73" s="325">
        <v>55.58</v>
      </c>
    </row>
    <row r="74" spans="3:12" ht="0.75" hidden="1" customHeight="1" x14ac:dyDescent="0.25">
      <c r="H74" s="411">
        <f>IF(H73&gt;0,H73,0)</f>
        <v>1.163760689037755</v>
      </c>
      <c r="J74" s="323">
        <v>2851</v>
      </c>
      <c r="K74" s="326">
        <f t="shared" si="2"/>
        <v>2931.99</v>
      </c>
      <c r="L74" s="325">
        <v>60.7</v>
      </c>
    </row>
    <row r="75" spans="3:12" ht="0.75" hidden="1" customHeight="1" x14ac:dyDescent="0.25">
      <c r="C75" s="330" t="s">
        <v>357</v>
      </c>
      <c r="J75" s="323">
        <v>2932</v>
      </c>
      <c r="K75" s="326">
        <f t="shared" si="2"/>
        <v>3013.99</v>
      </c>
      <c r="L75" s="325">
        <v>66.02</v>
      </c>
    </row>
    <row r="76" spans="3:12" ht="0.75" hidden="1" customHeight="1" x14ac:dyDescent="0.25">
      <c r="C76" s="272" t="s">
        <v>358</v>
      </c>
      <c r="E76" s="202">
        <f>IF(('PATRIMONIO BRUTO'!D28)="S",('PATRIMONIO BRUTO'!E28),0)</f>
        <v>3288899</v>
      </c>
      <c r="H76" s="202">
        <f>IF(($H$74)&gt;0,$H$74*E76,0)</f>
        <v>3827491.3664155835</v>
      </c>
      <c r="J76" s="323">
        <v>3014</v>
      </c>
      <c r="K76" s="326">
        <f t="shared" si="2"/>
        <v>3094.99</v>
      </c>
      <c r="L76" s="325">
        <v>71.540000000000006</v>
      </c>
    </row>
    <row r="77" spans="3:12" ht="0.75" hidden="1" customHeight="1" x14ac:dyDescent="0.25">
      <c r="C77" s="272" t="s">
        <v>359</v>
      </c>
      <c r="E77" s="202">
        <f>IF(('PATRIMONIO BRUTO'!D30)="S",('PATRIMONIO BRUTO'!E30),0)</f>
        <v>23444444</v>
      </c>
      <c r="H77" s="202">
        <f>IF(($H$74)&gt;0,$H$74*E77,0)</f>
        <v>27283722.303547062</v>
      </c>
      <c r="J77" s="323">
        <v>3095</v>
      </c>
      <c r="K77" s="326">
        <f t="shared" si="2"/>
        <v>3176.99</v>
      </c>
      <c r="L77" s="325">
        <v>77.239999999999995</v>
      </c>
    </row>
    <row r="78" spans="3:12" ht="0.75" hidden="1" customHeight="1" x14ac:dyDescent="0.25">
      <c r="C78" s="272" t="s">
        <v>305</v>
      </c>
      <c r="E78" s="202">
        <f>IF(('PATRIMONIO BRUTO'!E51)&gt;0,('PATRIMONIO BRUTO'!E51),0)</f>
        <v>0</v>
      </c>
      <c r="H78" s="202">
        <f>IF((E78)&lt;=((8000)*('DATOS PARA DEPURAR'!C23)),E78,(8000*'DATOS PARA DEPURAR'!C23))</f>
        <v>0</v>
      </c>
      <c r="J78" s="323">
        <v>3177</v>
      </c>
      <c r="K78" s="326">
        <f t="shared" si="2"/>
        <v>3257.99</v>
      </c>
      <c r="L78" s="325">
        <v>83.14</v>
      </c>
    </row>
    <row r="79" spans="3:12" ht="0.75" hidden="1" customHeight="1" x14ac:dyDescent="0.25">
      <c r="C79" s="331" t="s">
        <v>307</v>
      </c>
      <c r="E79" s="202">
        <f>IF(('PATRIMONIO BRUTO'!E60)&gt;0,('PATRIMONIO BRUTO'!E60),0)</f>
        <v>0</v>
      </c>
      <c r="H79" s="202">
        <f>IF(SUM(E79:E81)&lt;=(19000*'DATOS PARA DEPURAR'!C23),(SUM(E79:E81)),(19000*'DATOS PARA DEPURAR'!C23))</f>
        <v>0</v>
      </c>
      <c r="J79" s="323">
        <v>3258</v>
      </c>
      <c r="K79" s="326">
        <f t="shared" si="2"/>
        <v>3338.99</v>
      </c>
      <c r="L79" s="325">
        <v>89.23</v>
      </c>
    </row>
    <row r="80" spans="3:12" ht="0.75" hidden="1" customHeight="1" x14ac:dyDescent="0.25">
      <c r="C80" s="331" t="s">
        <v>307</v>
      </c>
      <c r="E80" s="202">
        <f>IF(('PATRIMONIO BRUTO'!E61)&gt;0,('PATRIMONIO BRUTO'!E61),0)</f>
        <v>0</v>
      </c>
      <c r="J80" s="323">
        <v>3339</v>
      </c>
      <c r="K80" s="326">
        <f t="shared" si="2"/>
        <v>3420.99</v>
      </c>
      <c r="L80" s="325">
        <v>95.51</v>
      </c>
    </row>
    <row r="81" spans="3:12" ht="0.75" hidden="1" customHeight="1" x14ac:dyDescent="0.25">
      <c r="C81" s="331" t="s">
        <v>348</v>
      </c>
      <c r="E81" s="202">
        <f>IF(('PATRIMONIO BRUTO'!E86)&gt;0,('PATRIMONIO BRUTO'!E86),0)</f>
        <v>0</v>
      </c>
      <c r="J81" s="323">
        <v>3421</v>
      </c>
      <c r="K81" s="326">
        <f t="shared" si="2"/>
        <v>3501.99</v>
      </c>
      <c r="L81" s="325">
        <v>101.98</v>
      </c>
    </row>
    <row r="82" spans="3:12" ht="0.75" hidden="1" customHeight="1" x14ac:dyDescent="0.25">
      <c r="H82" s="328">
        <f>SUM(H76:H81)</f>
        <v>31111213.669962645</v>
      </c>
      <c r="J82" s="323">
        <v>3502</v>
      </c>
      <c r="K82" s="326">
        <f t="shared" si="2"/>
        <v>3583.99</v>
      </c>
      <c r="L82" s="325">
        <v>108.64</v>
      </c>
    </row>
    <row r="83" spans="3:12" ht="0.75" hidden="1" customHeight="1" x14ac:dyDescent="0.25">
      <c r="C83" s="332">
        <f>IF((H83-H82)&gt;0,(H83-H82)*3%,0)</f>
        <v>8784563.5899011195</v>
      </c>
      <c r="H83" s="275">
        <f>+'DATOS PARA DEPURAR'!E19</f>
        <v>323930000</v>
      </c>
      <c r="J83" s="323">
        <v>3584</v>
      </c>
      <c r="K83" s="326">
        <f t="shared" si="2"/>
        <v>3664.99</v>
      </c>
      <c r="L83" s="325">
        <v>115.49</v>
      </c>
    </row>
    <row r="84" spans="3:12" ht="0.75" hidden="1" customHeight="1" x14ac:dyDescent="0.25">
      <c r="J84" s="323">
        <v>3665</v>
      </c>
      <c r="K84" s="326">
        <f t="shared" si="2"/>
        <v>3746.99</v>
      </c>
      <c r="L84" s="325">
        <v>122.54</v>
      </c>
    </row>
    <row r="85" spans="3:12" ht="0.75" hidden="1" customHeight="1" x14ac:dyDescent="0.25">
      <c r="J85" s="323">
        <v>3747</v>
      </c>
      <c r="K85" s="326">
        <f t="shared" si="2"/>
        <v>3827.99</v>
      </c>
      <c r="L85" s="325">
        <v>129.76</v>
      </c>
    </row>
    <row r="86" spans="3:12" ht="0.75" hidden="1" customHeight="1" x14ac:dyDescent="0.25">
      <c r="C86" s="333" t="s">
        <v>362</v>
      </c>
      <c r="J86" s="323">
        <v>3828</v>
      </c>
      <c r="K86" s="326">
        <f t="shared" si="2"/>
        <v>3909.99</v>
      </c>
      <c r="L86" s="325">
        <v>137.18</v>
      </c>
    </row>
    <row r="87" spans="3:12" ht="0.75" hidden="1" customHeight="1" x14ac:dyDescent="0.25">
      <c r="C87" s="272" t="s">
        <v>357</v>
      </c>
      <c r="E87" s="202">
        <f>+'DATOS PARA DEPURAR'!C22</f>
        <v>0</v>
      </c>
      <c r="H87" s="202">
        <f>IF((E28)&gt;=E87,E87,E28)</f>
        <v>0</v>
      </c>
      <c r="J87" s="323">
        <v>3910</v>
      </c>
      <c r="K87" s="326">
        <f t="shared" si="2"/>
        <v>3990.99</v>
      </c>
      <c r="L87" s="325">
        <v>144.78</v>
      </c>
    </row>
    <row r="88" spans="3:12" ht="0.75" hidden="1" customHeight="1" x14ac:dyDescent="0.25">
      <c r="C88" s="334" t="s">
        <v>364</v>
      </c>
      <c r="J88" s="323">
        <v>3991</v>
      </c>
      <c r="K88" s="326">
        <f t="shared" si="2"/>
        <v>4071.99</v>
      </c>
      <c r="L88" s="325">
        <v>152.58000000000001</v>
      </c>
    </row>
    <row r="89" spans="3:12" ht="0.75" hidden="1" customHeight="1" x14ac:dyDescent="0.25">
      <c r="J89" s="323">
        <v>4072</v>
      </c>
      <c r="K89" s="326">
        <f t="shared" si="2"/>
        <v>4275.99</v>
      </c>
      <c r="L89" s="325">
        <v>168.71</v>
      </c>
    </row>
    <row r="90" spans="3:12" ht="0.75" hidden="1" customHeight="1" x14ac:dyDescent="0.25">
      <c r="J90" s="323">
        <v>4276</v>
      </c>
      <c r="K90" s="326">
        <f t="shared" si="2"/>
        <v>4479.99</v>
      </c>
      <c r="L90" s="325">
        <v>189.92</v>
      </c>
    </row>
    <row r="91" spans="3:12" ht="0.75" hidden="1" customHeight="1" x14ac:dyDescent="0.25">
      <c r="J91" s="323">
        <v>4480</v>
      </c>
      <c r="K91" s="326">
        <f t="shared" si="2"/>
        <v>4682.99</v>
      </c>
      <c r="L91" s="325">
        <v>212.27</v>
      </c>
    </row>
    <row r="92" spans="3:12" ht="0.75" hidden="1" customHeight="1" x14ac:dyDescent="0.25">
      <c r="J92" s="323">
        <v>4683</v>
      </c>
      <c r="K92" s="326">
        <f t="shared" si="2"/>
        <v>4886.99</v>
      </c>
      <c r="L92" s="325">
        <v>235.75</v>
      </c>
    </row>
    <row r="93" spans="3:12" ht="0.75" hidden="1" customHeight="1" x14ac:dyDescent="0.25">
      <c r="J93" s="323">
        <v>4887</v>
      </c>
      <c r="K93" s="326">
        <f t="shared" si="2"/>
        <v>5090.99</v>
      </c>
      <c r="L93" s="325">
        <v>260.33999999999997</v>
      </c>
    </row>
    <row r="94" spans="3:12" ht="0.75" hidden="1" customHeight="1" x14ac:dyDescent="0.25">
      <c r="J94" s="323">
        <v>5091</v>
      </c>
      <c r="K94" s="326">
        <f t="shared" si="2"/>
        <v>5293.99</v>
      </c>
      <c r="L94" s="325">
        <v>286.02999999999997</v>
      </c>
    </row>
    <row r="95" spans="3:12" ht="0.75" hidden="1" customHeight="1" x14ac:dyDescent="0.25">
      <c r="J95" s="323">
        <v>5294</v>
      </c>
      <c r="K95" s="326">
        <f t="shared" si="2"/>
        <v>5497.99</v>
      </c>
      <c r="L95" s="325">
        <v>312.81</v>
      </c>
    </row>
    <row r="96" spans="3:12" ht="0.75" hidden="1" customHeight="1" x14ac:dyDescent="0.25">
      <c r="C96" s="2">
        <f>+J40</f>
        <v>0</v>
      </c>
      <c r="D96" s="36">
        <f>+E96*-1</f>
        <v>465000</v>
      </c>
      <c r="E96" s="36">
        <f>IF('DATOS PARA DEPURAR'!C14&lt;=0,'DATOS PARA DEPURAR'!C14,0)</f>
        <v>-465000</v>
      </c>
      <c r="F96" s="50"/>
      <c r="J96" s="323">
        <v>5498</v>
      </c>
      <c r="K96" s="326">
        <f t="shared" si="2"/>
        <v>5700.99</v>
      </c>
      <c r="L96" s="325">
        <v>340.66</v>
      </c>
    </row>
    <row r="97" spans="3:12" ht="0.75" hidden="1" customHeight="1" x14ac:dyDescent="0.25">
      <c r="C97" s="2">
        <f>IF((J32+J36-J33-J34-J35)&gt;0,J32+J36-J33-J34-J35,0)</f>
        <v>4823000</v>
      </c>
      <c r="D97" s="487">
        <f>IF('DATOS PARA DEPURAR'!C14&gt;0,'DATOS PARA DEPURAR'!C14,0)</f>
        <v>0</v>
      </c>
      <c r="E97" s="51"/>
      <c r="F97" s="50"/>
      <c r="J97" s="323">
        <v>5701</v>
      </c>
      <c r="K97" s="326">
        <f t="shared" si="2"/>
        <v>5904.99</v>
      </c>
      <c r="L97" s="325">
        <v>369.57</v>
      </c>
    </row>
    <row r="98" spans="3:12" ht="0.75" hidden="1" customHeight="1" x14ac:dyDescent="0.25">
      <c r="C98" s="1257" t="s">
        <v>459</v>
      </c>
      <c r="D98" s="1258"/>
      <c r="E98" s="36"/>
      <c r="F98" s="50"/>
      <c r="J98" s="323">
        <v>5905</v>
      </c>
      <c r="K98" s="326">
        <f t="shared" si="2"/>
        <v>6108.99</v>
      </c>
      <c r="L98" s="325">
        <v>399.52</v>
      </c>
    </row>
    <row r="99" spans="3:12" ht="0.75" hidden="1" customHeight="1" x14ac:dyDescent="0.25">
      <c r="C99" s="39" t="s">
        <v>460</v>
      </c>
      <c r="D99" s="36"/>
      <c r="E99" s="36"/>
      <c r="F99" s="50"/>
      <c r="J99" s="323">
        <v>6109</v>
      </c>
      <c r="K99" s="326">
        <f t="shared" si="2"/>
        <v>6311.99</v>
      </c>
      <c r="L99" s="325">
        <v>430.49</v>
      </c>
    </row>
    <row r="100" spans="3:12" ht="0.75" hidden="1" customHeight="1" x14ac:dyDescent="0.25">
      <c r="C100" t="str">
        <f>IF(C96&gt;D96,C98,C99)</f>
        <v>YAOP</v>
      </c>
      <c r="D100" s="36"/>
      <c r="E100" s="36"/>
      <c r="F100" s="50"/>
      <c r="J100" s="323">
        <v>6312</v>
      </c>
      <c r="K100" s="326">
        <f t="shared" si="2"/>
        <v>6515.99</v>
      </c>
      <c r="L100" s="325">
        <v>462.46</v>
      </c>
    </row>
    <row r="101" spans="3:12" ht="0.75" hidden="1" customHeight="1" x14ac:dyDescent="0.25">
      <c r="C101" t="str">
        <f>IF(C97&gt;D97,C98,C99)</f>
        <v>ESTA DECLARACION DEBE REALIZARSE SEGÚN ART 589 E.T.</v>
      </c>
      <c r="D101" s="36"/>
      <c r="E101" s="36" t="str">
        <f>IF(C96&gt;=0,IF(D97&gt;=0,C102,IF(C96&gt;=0,IF(D96&gt;=0,C100,IF(C97&gt;=0,IF(D97&gt;=0,C101,0))))))</f>
        <v>ESTA DECLARACION DEBE REALIZARSE SEGÚN ART 589 E.T.</v>
      </c>
      <c r="F101" s="50"/>
      <c r="J101" s="323">
        <v>6516</v>
      </c>
      <c r="K101" s="326">
        <f t="shared" si="2"/>
        <v>6719.99</v>
      </c>
      <c r="L101" s="325">
        <v>495.43</v>
      </c>
    </row>
    <row r="102" spans="3:12" ht="0.75" hidden="1" customHeight="1" x14ac:dyDescent="0.25">
      <c r="C102" t="str">
        <f>IF(C96&gt;=0,IF(D97&gt;=0,C98,C99))</f>
        <v>ESTA DECLARACION DEBE REALIZARSE SEGÚN ART 589 E.T.</v>
      </c>
      <c r="D102" s="36"/>
      <c r="E102" s="36"/>
      <c r="F102" s="50"/>
      <c r="J102" s="323">
        <v>6720</v>
      </c>
      <c r="K102" s="326">
        <f t="shared" si="2"/>
        <v>6922.99</v>
      </c>
      <c r="L102" s="325">
        <v>529.36</v>
      </c>
    </row>
    <row r="103" spans="3:12" ht="0.75" hidden="1" customHeight="1" x14ac:dyDescent="0.25">
      <c r="J103" s="323">
        <v>6923</v>
      </c>
      <c r="K103" s="326">
        <f t="shared" si="2"/>
        <v>7126.99</v>
      </c>
      <c r="L103" s="325">
        <v>564.23</v>
      </c>
    </row>
    <row r="104" spans="3:12" ht="0.75" hidden="1" customHeight="1" x14ac:dyDescent="0.25">
      <c r="J104" s="323">
        <v>7127</v>
      </c>
      <c r="K104" s="326">
        <f t="shared" si="2"/>
        <v>7329.99</v>
      </c>
      <c r="L104" s="325">
        <v>600.04</v>
      </c>
    </row>
    <row r="105" spans="3:12" ht="0.75" hidden="1" customHeight="1" x14ac:dyDescent="0.25">
      <c r="C105" s="202" t="str">
        <f>IF('DATOS PARA DEPURAR'!C13="S",E101,C99)</f>
        <v>YAOP</v>
      </c>
      <c r="J105" s="323">
        <v>7330</v>
      </c>
      <c r="K105" s="326">
        <f t="shared" si="2"/>
        <v>7533.99</v>
      </c>
      <c r="L105" s="325">
        <v>636.75</v>
      </c>
    </row>
    <row r="106" spans="3:12" ht="0.75" hidden="1" customHeight="1" x14ac:dyDescent="0.25">
      <c r="J106" s="323">
        <v>7534</v>
      </c>
      <c r="K106" s="326">
        <f t="shared" si="2"/>
        <v>7737.99</v>
      </c>
      <c r="L106" s="325">
        <v>674.35</v>
      </c>
    </row>
    <row r="107" spans="3:12" ht="0.75" hidden="1" customHeight="1" x14ac:dyDescent="0.25">
      <c r="J107" s="323">
        <v>7738</v>
      </c>
      <c r="K107" s="326">
        <f t="shared" si="2"/>
        <v>7940.99</v>
      </c>
      <c r="L107" s="325">
        <v>712.8</v>
      </c>
    </row>
    <row r="108" spans="3:12" ht="0.75" hidden="1" customHeight="1" x14ac:dyDescent="0.25">
      <c r="C108" s="272" t="s">
        <v>472</v>
      </c>
      <c r="J108" s="323">
        <v>7941</v>
      </c>
      <c r="K108" s="326">
        <f t="shared" si="2"/>
        <v>8144.99</v>
      </c>
      <c r="L108" s="325">
        <v>752.1</v>
      </c>
    </row>
    <row r="109" spans="3:12" ht="0.75" hidden="1" customHeight="1" thickBot="1" x14ac:dyDescent="0.3">
      <c r="J109" s="323">
        <v>8145</v>
      </c>
      <c r="K109" s="326">
        <f t="shared" si="2"/>
        <v>8348.99</v>
      </c>
      <c r="L109" s="325">
        <v>792.22</v>
      </c>
    </row>
    <row r="110" spans="3:12" ht="0.75" hidden="1" customHeight="1" x14ac:dyDescent="0.25">
      <c r="C110" s="284" t="s">
        <v>8</v>
      </c>
      <c r="D110" s="285"/>
      <c r="H110" s="286" t="s">
        <v>10</v>
      </c>
      <c r="J110" s="323">
        <v>8349</v>
      </c>
      <c r="K110" s="326">
        <f t="shared" si="2"/>
        <v>8551.99</v>
      </c>
      <c r="L110" s="325">
        <v>833.12</v>
      </c>
    </row>
    <row r="111" spans="3:12" ht="0.75" hidden="1" customHeight="1" thickBot="1" x14ac:dyDescent="0.3">
      <c r="C111" s="1244">
        <f>+E32/H111</f>
        <v>241.94567560595789</v>
      </c>
      <c r="D111" s="1245"/>
      <c r="H111" s="287">
        <f>+'DATOS PARA DEPURAR'!C23</f>
        <v>36308</v>
      </c>
      <c r="J111" s="323">
        <v>8552</v>
      </c>
      <c r="K111" s="326">
        <f t="shared" si="2"/>
        <v>8755.99</v>
      </c>
      <c r="L111" s="325">
        <v>874.79</v>
      </c>
    </row>
    <row r="112" spans="3:12" ht="0.75" hidden="1" customHeight="1" thickBot="1" x14ac:dyDescent="0.3">
      <c r="D112" s="202"/>
      <c r="J112" s="323">
        <v>8756</v>
      </c>
      <c r="K112" s="326">
        <f t="shared" si="2"/>
        <v>8958.99</v>
      </c>
      <c r="L112" s="325">
        <v>917.21</v>
      </c>
    </row>
    <row r="113" spans="3:12" ht="0.75" hidden="1" customHeight="1" x14ac:dyDescent="0.25">
      <c r="C113" s="290">
        <v>0</v>
      </c>
      <c r="E113" s="291">
        <v>1090</v>
      </c>
      <c r="H113" s="292">
        <f>IF(C111&lt;=1090,0)</f>
        <v>0</v>
      </c>
      <c r="J113" s="323">
        <v>8959</v>
      </c>
      <c r="K113" s="326">
        <f t="shared" si="2"/>
        <v>9162.99</v>
      </c>
      <c r="L113" s="325">
        <v>960.34</v>
      </c>
    </row>
    <row r="114" spans="3:12" ht="0.75" hidden="1" customHeight="1" x14ac:dyDescent="0.25">
      <c r="C114" s="293" t="s">
        <v>176</v>
      </c>
      <c r="E114" s="294">
        <v>1700</v>
      </c>
      <c r="H114" s="295" t="b">
        <f>IF(C111&gt;1090,(IF(C111&lt;=1700,ROUND((((+C111-1090)*19%)*H111),-3),0)),FALSE)</f>
        <v>0</v>
      </c>
      <c r="J114" s="323">
        <v>9163</v>
      </c>
      <c r="K114" s="326">
        <f t="shared" si="2"/>
        <v>9366.99</v>
      </c>
      <c r="L114" s="335">
        <v>1004.16</v>
      </c>
    </row>
    <row r="115" spans="3:12" ht="0.75" hidden="1" customHeight="1" x14ac:dyDescent="0.25">
      <c r="C115" s="293" t="s">
        <v>177</v>
      </c>
      <c r="E115" s="294">
        <v>4100</v>
      </c>
      <c r="H115" s="295" t="b">
        <f>IF(C111&gt;1700,IF(C111&lt;=4100,ROUND((((+C111-1700)*28%+116)*H111),-3),0))</f>
        <v>0</v>
      </c>
      <c r="J115" s="323">
        <v>9367</v>
      </c>
      <c r="K115" s="326">
        <f t="shared" si="2"/>
        <v>9569.99</v>
      </c>
      <c r="L115" s="335">
        <v>1048.6400000000001</v>
      </c>
    </row>
    <row r="116" spans="3:12" ht="0.75" hidden="1" customHeight="1" thickBot="1" x14ac:dyDescent="0.3">
      <c r="C116" s="298" t="s">
        <v>178</v>
      </c>
      <c r="E116" s="299"/>
      <c r="H116" s="300">
        <f>IF(C111&gt;4100,ROUND((((+C111-4100)*33%)*H111)+(788*H111),-3),0)</f>
        <v>0</v>
      </c>
      <c r="J116" s="323">
        <v>9570</v>
      </c>
      <c r="K116" s="326">
        <f t="shared" si="2"/>
        <v>9773.99</v>
      </c>
      <c r="L116" s="335">
        <v>1093.75</v>
      </c>
    </row>
    <row r="117" spans="3:12" ht="0.75" hidden="1" customHeight="1" thickBot="1" x14ac:dyDescent="0.3">
      <c r="D117" s="202"/>
      <c r="J117" s="323">
        <v>9774</v>
      </c>
      <c r="K117" s="326">
        <f t="shared" ref="K117:K134" si="3">+J118-0.01</f>
        <v>9977.99</v>
      </c>
      <c r="L117" s="335">
        <v>1139.48</v>
      </c>
    </row>
    <row r="118" spans="3:12" ht="0.75" hidden="1" customHeight="1" x14ac:dyDescent="0.25">
      <c r="C118" s="1246" t="s">
        <v>179</v>
      </c>
      <c r="D118" s="1247"/>
      <c r="J118" s="323">
        <v>9978</v>
      </c>
      <c r="K118" s="326">
        <f t="shared" si="3"/>
        <v>10180.99</v>
      </c>
      <c r="L118" s="335">
        <v>1185.78</v>
      </c>
    </row>
    <row r="119" spans="3:12" ht="0.75" hidden="1" customHeight="1" thickBot="1" x14ac:dyDescent="0.3">
      <c r="C119" s="1248">
        <f>IF(H113=0,H113,IF(H114&gt;0,H114,IF(H115&gt;0,H115,IF(H116&gt;0,H116))))</f>
        <v>0</v>
      </c>
      <c r="D119" s="1249"/>
      <c r="J119" s="323">
        <v>10181</v>
      </c>
      <c r="K119" s="326">
        <f t="shared" si="3"/>
        <v>10384.99</v>
      </c>
      <c r="L119" s="335">
        <v>1232.6199999999999</v>
      </c>
    </row>
    <row r="120" spans="3:12" ht="0.75" hidden="1" customHeight="1" x14ac:dyDescent="0.25">
      <c r="J120" s="323">
        <v>10385</v>
      </c>
      <c r="K120" s="326">
        <f t="shared" si="3"/>
        <v>10587.99</v>
      </c>
      <c r="L120" s="335">
        <v>1279.99</v>
      </c>
    </row>
    <row r="121" spans="3:12" ht="0.75" hidden="1" customHeight="1" x14ac:dyDescent="0.25">
      <c r="J121" s="323">
        <v>10588</v>
      </c>
      <c r="K121" s="326">
        <f t="shared" si="3"/>
        <v>10791.99</v>
      </c>
      <c r="L121" s="335">
        <v>1327.85</v>
      </c>
    </row>
    <row r="122" spans="3:12" ht="0.75" hidden="1" customHeight="1" x14ac:dyDescent="0.25">
      <c r="C122" s="272" t="s">
        <v>473</v>
      </c>
      <c r="J122" s="323">
        <v>10792</v>
      </c>
      <c r="K122" s="326">
        <f t="shared" si="3"/>
        <v>10995.99</v>
      </c>
      <c r="L122" s="335">
        <v>1376.16</v>
      </c>
    </row>
    <row r="123" spans="3:12" ht="0.75" hidden="1" customHeight="1" x14ac:dyDescent="0.25">
      <c r="C123" s="328">
        <f>MAX(I22:J23)</f>
        <v>17620000</v>
      </c>
      <c r="J123" s="323">
        <v>10996</v>
      </c>
      <c r="K123" s="326">
        <f t="shared" si="3"/>
        <v>11198.99</v>
      </c>
      <c r="L123" s="335">
        <v>1424.9</v>
      </c>
    </row>
    <row r="124" spans="3:12" ht="0.75" hidden="1" customHeight="1" x14ac:dyDescent="0.25">
      <c r="C124" s="272" t="s">
        <v>474</v>
      </c>
      <c r="J124" s="323">
        <v>11199</v>
      </c>
      <c r="K124" s="326">
        <f t="shared" si="3"/>
        <v>11402.99</v>
      </c>
      <c r="L124" s="335">
        <v>1474.04</v>
      </c>
    </row>
    <row r="125" spans="3:12" ht="0.75" hidden="1" customHeight="1" x14ac:dyDescent="0.25">
      <c r="C125" s="329">
        <f>+C119</f>
        <v>0</v>
      </c>
      <c r="J125" s="323">
        <v>11403</v>
      </c>
      <c r="K125" s="326">
        <f t="shared" si="3"/>
        <v>11606.99</v>
      </c>
      <c r="L125" s="335">
        <v>1523.54</v>
      </c>
    </row>
    <row r="126" spans="3:12" ht="0.75" hidden="1" customHeight="1" x14ac:dyDescent="0.25">
      <c r="J126" s="323">
        <v>11607</v>
      </c>
      <c r="K126" s="326">
        <f t="shared" si="3"/>
        <v>11809.99</v>
      </c>
      <c r="L126" s="335">
        <v>1573.37</v>
      </c>
    </row>
    <row r="127" spans="3:12" ht="0.75" hidden="1" customHeight="1" x14ac:dyDescent="0.25">
      <c r="C127" s="519" t="s">
        <v>167</v>
      </c>
      <c r="E127" s="278">
        <f>+'DATOS PARA DEPURAR'!E312</f>
        <v>0</v>
      </c>
      <c r="H127" s="202">
        <f>IF(E127&gt;0,(IF((C123-SUM(E127))&gt;0,E127,C123)),0)</f>
        <v>0</v>
      </c>
      <c r="J127" s="323">
        <v>11810</v>
      </c>
      <c r="K127" s="326">
        <f t="shared" si="3"/>
        <v>12013.99</v>
      </c>
      <c r="L127" s="335">
        <v>1623.49</v>
      </c>
    </row>
    <row r="128" spans="3:12" ht="0.75" hidden="1" customHeight="1" x14ac:dyDescent="0.25">
      <c r="C128" s="519" t="s">
        <v>168</v>
      </c>
      <c r="E128" s="278">
        <f>+'DATOS PARA DEPURAR'!E313</f>
        <v>0</v>
      </c>
      <c r="H128" s="202">
        <f>IF(E128&gt;0,(IF((C123-SUM(E128))&gt;0,E128,C123)),0)</f>
        <v>0</v>
      </c>
      <c r="J128" s="323">
        <v>12014</v>
      </c>
      <c r="K128" s="326">
        <f t="shared" si="3"/>
        <v>12216.99</v>
      </c>
      <c r="L128" s="335">
        <v>1673.89</v>
      </c>
    </row>
    <row r="129" spans="3:12" ht="0.75" hidden="1" customHeight="1" x14ac:dyDescent="0.25">
      <c r="C129" s="519" t="s">
        <v>169</v>
      </c>
      <c r="E129" s="278">
        <f>+'DATOS PARA DEPURAR'!E314</f>
        <v>0</v>
      </c>
      <c r="H129" s="202">
        <f>IF(E129&gt;0,(IF((C123-SUM(E129))&gt;0,E129,C123)),0)</f>
        <v>0</v>
      </c>
      <c r="J129" s="323">
        <v>12217</v>
      </c>
      <c r="K129" s="326">
        <f t="shared" si="3"/>
        <v>12420.99</v>
      </c>
      <c r="L129" s="335">
        <v>1724.51</v>
      </c>
    </row>
    <row r="130" spans="3:12" ht="0.75" hidden="1" customHeight="1" x14ac:dyDescent="0.25">
      <c r="C130" s="520" t="s">
        <v>170</v>
      </c>
      <c r="E130" s="278">
        <f>+'DATOS PARA DEPURAR'!E316</f>
        <v>0</v>
      </c>
      <c r="H130" s="202">
        <f>IF(E130&gt;0,(IF((C123-SUM(E130))&gt;0,E130,C123)),0)</f>
        <v>0</v>
      </c>
      <c r="J130" s="323">
        <v>12421</v>
      </c>
      <c r="K130" s="326">
        <f t="shared" si="3"/>
        <v>12624.99</v>
      </c>
      <c r="L130" s="335">
        <v>1775.33</v>
      </c>
    </row>
    <row r="131" spans="3:12" ht="0.75" hidden="1" customHeight="1" x14ac:dyDescent="0.25">
      <c r="C131" s="272" t="s">
        <v>475</v>
      </c>
      <c r="E131" s="328">
        <f>IF(H131&gt;0,C123-H131,0)</f>
        <v>0</v>
      </c>
      <c r="H131" s="278">
        <f>MAX(H127:H130)</f>
        <v>0</v>
      </c>
      <c r="J131" s="323">
        <v>12625</v>
      </c>
      <c r="K131" s="326">
        <f t="shared" si="3"/>
        <v>12827.99</v>
      </c>
      <c r="L131" s="335">
        <v>1826.31</v>
      </c>
    </row>
    <row r="132" spans="3:12" ht="0.75" hidden="1" customHeight="1" x14ac:dyDescent="0.25">
      <c r="C132" s="272" t="s">
        <v>476</v>
      </c>
      <c r="E132" s="275">
        <f>IF(C125&gt;0,C125*0.75,0)</f>
        <v>0</v>
      </c>
      <c r="J132" s="323">
        <v>12828</v>
      </c>
      <c r="K132" s="326">
        <f t="shared" si="3"/>
        <v>13031.99</v>
      </c>
      <c r="L132" s="335">
        <v>1877.42</v>
      </c>
    </row>
    <row r="133" spans="3:12" ht="0.75" hidden="1" customHeight="1" x14ac:dyDescent="0.25">
      <c r="J133" s="323">
        <v>13032</v>
      </c>
      <c r="K133" s="326">
        <f t="shared" si="3"/>
        <v>13235.99</v>
      </c>
      <c r="L133" s="335">
        <v>1928.63</v>
      </c>
    </row>
    <row r="134" spans="3:12" ht="0.75" hidden="1" customHeight="1" x14ac:dyDescent="0.25">
      <c r="C134" s="272" t="s">
        <v>477</v>
      </c>
      <c r="E134" s="328">
        <f>IF(E131&lt;E132,0,E131)</f>
        <v>0</v>
      </c>
      <c r="J134" s="323">
        <v>13236</v>
      </c>
      <c r="K134" s="326">
        <f t="shared" si="3"/>
        <v>13438.99</v>
      </c>
      <c r="L134" s="335">
        <v>1979.89</v>
      </c>
    </row>
    <row r="135" spans="3:12" ht="0.75" hidden="1" customHeight="1" x14ac:dyDescent="0.25">
      <c r="J135" s="323">
        <v>13439</v>
      </c>
      <c r="K135" s="326">
        <f>13643-0.01</f>
        <v>13642.99</v>
      </c>
      <c r="L135" s="335">
        <v>2031.18</v>
      </c>
    </row>
    <row r="136" spans="3:12" ht="0.75" hidden="1" customHeight="1" x14ac:dyDescent="0.25">
      <c r="C136" s="519" t="s">
        <v>167</v>
      </c>
      <c r="E136" s="202">
        <f>IF(E134&gt;0,H127,0)</f>
        <v>0</v>
      </c>
      <c r="J136" s="325" t="s">
        <v>86</v>
      </c>
      <c r="K136" s="324"/>
      <c r="L136" s="325" t="s">
        <v>87</v>
      </c>
    </row>
    <row r="137" spans="3:12" ht="0.75" hidden="1" customHeight="1" x14ac:dyDescent="0.2">
      <c r="C137" s="519" t="s">
        <v>168</v>
      </c>
      <c r="E137" s="202">
        <f>IF(E134&gt;0,H128,0)</f>
        <v>0</v>
      </c>
    </row>
    <row r="138" spans="3:12" ht="0.75" hidden="1" customHeight="1" x14ac:dyDescent="0.2">
      <c r="C138" s="519" t="s">
        <v>169</v>
      </c>
      <c r="E138" s="202">
        <f>IF(E134&gt;0,H129,0)</f>
        <v>0</v>
      </c>
    </row>
    <row r="139" spans="3:12" ht="0.75" hidden="1" customHeight="1" x14ac:dyDescent="0.2">
      <c r="C139" s="520" t="s">
        <v>170</v>
      </c>
      <c r="E139" s="202">
        <f>IF(E134&gt;0,H130,0)</f>
        <v>0</v>
      </c>
    </row>
    <row r="140" spans="3:12" ht="0.75" hidden="1" customHeight="1" x14ac:dyDescent="0.2"/>
    <row r="141" spans="3:12" ht="0.75" hidden="1" customHeight="1" x14ac:dyDescent="0.2">
      <c r="C141" s="272" t="s">
        <v>478</v>
      </c>
    </row>
    <row r="142" spans="3:12" ht="0.75" hidden="1" customHeight="1" x14ac:dyDescent="0.2">
      <c r="C142" s="272" t="s">
        <v>412</v>
      </c>
      <c r="E142" s="202">
        <f>IF('DATOS PARA DEPURAR'!E103="S",'DATOS PARA DEPURAR'!E55,0)</f>
        <v>0</v>
      </c>
    </row>
    <row r="143" spans="3:12" ht="0.75" hidden="1" customHeight="1" x14ac:dyDescent="0.2">
      <c r="C143" s="272" t="s">
        <v>479</v>
      </c>
    </row>
    <row r="144" spans="3:12" ht="0.75" hidden="1" customHeight="1" x14ac:dyDescent="0.2">
      <c r="C144" s="272" t="s">
        <v>204</v>
      </c>
      <c r="E144" s="202">
        <f>IF(E142&gt;0,'DATOS PARA DEPURAR'!E189+SUM('DATOS PARA DEPURAR'!E206:E217)+'DATOS PARA DEPURAR'!E223+'DATOS PARA DEPURAR'!E227,0)</f>
        <v>0</v>
      </c>
    </row>
    <row r="145" spans="3:12" ht="0.75" hidden="1" customHeight="1" x14ac:dyDescent="0.2">
      <c r="C145" s="272" t="s">
        <v>480</v>
      </c>
      <c r="E145" s="272">
        <f>IF(E142&gt;0,'DATOS PARA DEPURAR'!E255-'DATOS PARA DEPURAR'!D255,0)</f>
        <v>0</v>
      </c>
    </row>
    <row r="146" spans="3:12" ht="0.75" hidden="1" customHeight="1" x14ac:dyDescent="0.2">
      <c r="C146" s="272" t="s">
        <v>481</v>
      </c>
      <c r="E146" s="202">
        <f>+E142-E144-E145</f>
        <v>0</v>
      </c>
    </row>
    <row r="147" spans="3:12" ht="0.75" hidden="1" customHeight="1" x14ac:dyDescent="0.2">
      <c r="C147" s="272" t="s">
        <v>480</v>
      </c>
      <c r="E147" s="202">
        <f>+E146*0.25</f>
        <v>0</v>
      </c>
    </row>
    <row r="148" spans="3:12" ht="0.75" hidden="1" customHeight="1" x14ac:dyDescent="0.2"/>
    <row r="149" spans="3:12" ht="0.75" hidden="1" customHeight="1" x14ac:dyDescent="0.2">
      <c r="H149" s="521" t="s">
        <v>482</v>
      </c>
      <c r="I149" s="521"/>
      <c r="J149" s="521"/>
      <c r="K149" s="521"/>
      <c r="L149" s="521"/>
    </row>
    <row r="150" spans="3:12" ht="0.75" hidden="1" customHeight="1" x14ac:dyDescent="0.2">
      <c r="H150" s="521"/>
      <c r="I150" s="521"/>
      <c r="J150" s="521"/>
      <c r="K150" s="521"/>
      <c r="L150" s="521"/>
    </row>
    <row r="151" spans="3:12" ht="0.75" hidden="1" customHeight="1" thickBot="1" x14ac:dyDescent="0.25">
      <c r="H151" s="521"/>
      <c r="I151" s="521"/>
      <c r="J151" s="521"/>
      <c r="K151" s="521"/>
      <c r="L151" s="521"/>
    </row>
    <row r="152" spans="3:12" ht="0.75" hidden="1" customHeight="1" x14ac:dyDescent="0.2">
      <c r="H152" s="522" t="s">
        <v>8</v>
      </c>
      <c r="I152" s="523"/>
      <c r="J152" s="521"/>
      <c r="K152" s="524" t="s">
        <v>10</v>
      </c>
      <c r="L152" s="521"/>
    </row>
    <row r="153" spans="3:12" ht="0.75" hidden="1" customHeight="1" thickBot="1" x14ac:dyDescent="0.25">
      <c r="H153" s="1288">
        <f>+'DEPURACION ORDINARIO 2017'!E32/K153</f>
        <v>241.94567560595789</v>
      </c>
      <c r="I153" s="1289"/>
      <c r="J153" s="521"/>
      <c r="K153" s="525">
        <f>+'DATOS PARA DEPURAR'!C23</f>
        <v>36308</v>
      </c>
      <c r="L153" s="521"/>
    </row>
    <row r="154" spans="3:12" ht="0.75" hidden="1" customHeight="1" thickBot="1" x14ac:dyDescent="0.25">
      <c r="H154" s="521"/>
      <c r="I154" s="521"/>
      <c r="J154" s="521"/>
      <c r="K154" s="521"/>
      <c r="L154" s="521"/>
    </row>
    <row r="155" spans="3:12" ht="0.75" hidden="1" customHeight="1" x14ac:dyDescent="0.2">
      <c r="H155" s="526">
        <v>0</v>
      </c>
      <c r="I155" s="527">
        <v>1090</v>
      </c>
      <c r="J155" s="521"/>
      <c r="K155" s="528">
        <f>IF(H153&lt;=1090,0)</f>
        <v>0</v>
      </c>
      <c r="L155" s="521"/>
    </row>
    <row r="156" spans="3:12" ht="0.75" hidden="1" customHeight="1" x14ac:dyDescent="0.25">
      <c r="H156" s="529" t="s">
        <v>176</v>
      </c>
      <c r="I156" s="530">
        <v>1700</v>
      </c>
      <c r="J156" s="521"/>
      <c r="K156" s="531" t="b">
        <f>IF(H153&gt;1090,(IF(H153&lt;=1700,ROUND((((+H153-1090)*19%)*K153),-3),0)),FALSE)</f>
        <v>0</v>
      </c>
      <c r="L156" s="521"/>
    </row>
    <row r="157" spans="3:12" ht="0.75" hidden="1" customHeight="1" x14ac:dyDescent="0.25">
      <c r="H157" s="529" t="s">
        <v>177</v>
      </c>
      <c r="I157" s="530">
        <v>4100</v>
      </c>
      <c r="J157" s="521"/>
      <c r="K157" s="531" t="b">
        <f>IF(H153&gt;1700,IF(H153&lt;=4100,ROUND((((+H153-1700)*28%+116)*K153),-3),0))</f>
        <v>0</v>
      </c>
      <c r="L157" s="521"/>
    </row>
    <row r="158" spans="3:12" ht="0.75" hidden="1" customHeight="1" thickBot="1" x14ac:dyDescent="0.3">
      <c r="H158" s="532" t="s">
        <v>178</v>
      </c>
      <c r="I158" s="533"/>
      <c r="J158" s="521"/>
      <c r="K158" s="534">
        <f>IF(H153&gt;4100,ROUND((((+H153-4100)*33%)*K153)+(788*K153),-3),0)</f>
        <v>0</v>
      </c>
      <c r="L158" s="521"/>
    </row>
    <row r="159" spans="3:12" ht="0.75" hidden="1" customHeight="1" x14ac:dyDescent="0.2">
      <c r="H159" s="535"/>
      <c r="I159" s="536"/>
      <c r="J159" s="521"/>
      <c r="K159" s="537"/>
      <c r="L159" s="521"/>
    </row>
    <row r="160" spans="3:12" ht="0.75" hidden="1" customHeight="1" thickBot="1" x14ac:dyDescent="0.25">
      <c r="H160" s="535"/>
      <c r="I160" s="536"/>
      <c r="J160" s="521"/>
      <c r="K160" s="537"/>
      <c r="L160" s="521"/>
    </row>
    <row r="161" spans="8:12" ht="0.75" hidden="1" customHeight="1" x14ac:dyDescent="0.2">
      <c r="H161" s="521"/>
      <c r="I161" s="521"/>
      <c r="J161" s="521"/>
      <c r="K161" s="1290" t="s">
        <v>179</v>
      </c>
      <c r="L161" s="1291"/>
    </row>
    <row r="162" spans="8:12" ht="0.75" hidden="1" customHeight="1" thickBot="1" x14ac:dyDescent="0.25">
      <c r="H162" s="521"/>
      <c r="I162" s="521"/>
      <c r="J162" s="521"/>
      <c r="K162" s="1292">
        <f>IF(K155=0,K155,IF(K156&gt;0,K156,IF(K157&gt;0,K157,IF(K158&gt;0,K158))))</f>
        <v>0</v>
      </c>
      <c r="L162" s="1293"/>
    </row>
    <row r="163" spans="8:12" ht="0.75" hidden="1" customHeight="1" x14ac:dyDescent="0.2">
      <c r="H163" s="521"/>
      <c r="I163" s="521"/>
      <c r="J163" s="521"/>
      <c r="K163" s="521"/>
      <c r="L163" s="521"/>
    </row>
    <row r="164" spans="8:12" ht="0.75" hidden="1" customHeight="1" x14ac:dyDescent="0.2">
      <c r="H164" s="521" t="s">
        <v>413</v>
      </c>
      <c r="J164" s="521">
        <f>IF('DATOS PARA DEPURAR'!E317&lt;'DEPURACION ORDINARIO 2017'!J22,'DATOS PARA DEPURAR'!E317,'DEPURACION ORDINARIO 2017'!J22)</f>
        <v>0</v>
      </c>
      <c r="K164" s="521"/>
      <c r="L164" s="521"/>
    </row>
    <row r="165" spans="8:12" ht="0.75" hidden="1" customHeight="1" x14ac:dyDescent="0.2">
      <c r="H165" s="521" t="s">
        <v>414</v>
      </c>
      <c r="J165" s="521">
        <f>IF(K162&gt;0,K162*0.75,0)</f>
        <v>0</v>
      </c>
      <c r="K165" s="521"/>
      <c r="L165" s="521"/>
    </row>
    <row r="166" spans="8:12" ht="0.75" hidden="1" customHeight="1" x14ac:dyDescent="0.2">
      <c r="H166" s="521" t="s">
        <v>415</v>
      </c>
      <c r="J166" s="521">
        <f>IF(J164&lt;J165,J164,0)</f>
        <v>0</v>
      </c>
      <c r="K166" s="521"/>
      <c r="L166" s="521"/>
    </row>
  </sheetData>
  <sheetProtection algorithmName="SHA-512" hashValue="zJAkgKnGFbP6Qq9gjc4hrO6l5tnVQKY4CCRf62SBHuJ+Cjy6qG0hLUM8TnFyBQZLDLaf9erTqoARTV2A2zcgIw==" saltValue="NF4Lp31Awk+dm2vFBy95ow==" spinCount="100000" sheet="1" objects="1" scenarios="1"/>
  <mergeCells count="82">
    <mergeCell ref="A28:A39"/>
    <mergeCell ref="F22:F40"/>
    <mergeCell ref="G33:H33"/>
    <mergeCell ref="G34:H34"/>
    <mergeCell ref="A40:C40"/>
    <mergeCell ref="B29:C29"/>
    <mergeCell ref="B28:C28"/>
    <mergeCell ref="B30:C30"/>
    <mergeCell ref="G38:H38"/>
    <mergeCell ref="G23:H23"/>
    <mergeCell ref="B23:C23"/>
    <mergeCell ref="B24:C24"/>
    <mergeCell ref="B25:C25"/>
    <mergeCell ref="B26:C26"/>
    <mergeCell ref="A22:A27"/>
    <mergeCell ref="B22:C22"/>
    <mergeCell ref="H153:I153"/>
    <mergeCell ref="K161:L161"/>
    <mergeCell ref="K162:L162"/>
    <mergeCell ref="G29:H29"/>
    <mergeCell ref="G30:H30"/>
    <mergeCell ref="G39:H39"/>
    <mergeCell ref="G37:H37"/>
    <mergeCell ref="G31:H31"/>
    <mergeCell ref="G32:H32"/>
    <mergeCell ref="A42:J42"/>
    <mergeCell ref="G40:H40"/>
    <mergeCell ref="G36:H36"/>
    <mergeCell ref="G35:H35"/>
    <mergeCell ref="B31:C31"/>
    <mergeCell ref="B32:C32"/>
    <mergeCell ref="B33:B39"/>
    <mergeCell ref="A1:F1"/>
    <mergeCell ref="A2:F2"/>
    <mergeCell ref="G4:H4"/>
    <mergeCell ref="G5:H5"/>
    <mergeCell ref="B4:C4"/>
    <mergeCell ref="B5:C5"/>
    <mergeCell ref="A4:A6"/>
    <mergeCell ref="B6:C6"/>
    <mergeCell ref="A3:J3"/>
    <mergeCell ref="G6:H6"/>
    <mergeCell ref="G1:J2"/>
    <mergeCell ref="F4:F8"/>
    <mergeCell ref="B7:C7"/>
    <mergeCell ref="B8:C8"/>
    <mergeCell ref="L23:M23"/>
    <mergeCell ref="L30:M30"/>
    <mergeCell ref="L31:M31"/>
    <mergeCell ref="G17:H17"/>
    <mergeCell ref="G18:H18"/>
    <mergeCell ref="G20:H20"/>
    <mergeCell ref="B9:C9"/>
    <mergeCell ref="G7:H7"/>
    <mergeCell ref="G8:H8"/>
    <mergeCell ref="F9:F20"/>
    <mergeCell ref="B12:C12"/>
    <mergeCell ref="B10:C10"/>
    <mergeCell ref="B13:C13"/>
    <mergeCell ref="G9:H9"/>
    <mergeCell ref="G10:H10"/>
    <mergeCell ref="G11:H11"/>
    <mergeCell ref="G12:H12"/>
    <mergeCell ref="B11:C11"/>
    <mergeCell ref="B15:B19"/>
    <mergeCell ref="G16:H16"/>
    <mergeCell ref="C111:D111"/>
    <mergeCell ref="C118:D118"/>
    <mergeCell ref="C119:D119"/>
    <mergeCell ref="G19:H19"/>
    <mergeCell ref="G22:H22"/>
    <mergeCell ref="B27:C27"/>
    <mergeCell ref="G24:G28"/>
    <mergeCell ref="A41:C41"/>
    <mergeCell ref="C98:D98"/>
    <mergeCell ref="A21:J21"/>
    <mergeCell ref="A7:A20"/>
    <mergeCell ref="B20:C20"/>
    <mergeCell ref="G13:H13"/>
    <mergeCell ref="G14:H14"/>
    <mergeCell ref="G15:H15"/>
    <mergeCell ref="B14:C14"/>
  </mergeCells>
  <pageMargins left="3.937007874015748E-2" right="3.937007874015748E-2" top="0.55118110236220474" bottom="0.55118110236220474" header="0.31496062992125984" footer="0.31496062992125984"/>
  <pageSetup scale="90" orientation="portrait" verticalDpi="4294967293"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view="pageBreakPreview" zoomScale="160" zoomScaleNormal="100" zoomScaleSheetLayoutView="160" workbookViewId="0">
      <selection activeCell="A7" sqref="A7:XFD38"/>
    </sheetView>
  </sheetViews>
  <sheetFormatPr baseColWidth="10" defaultRowHeight="12.75" x14ac:dyDescent="0.2"/>
  <cols>
    <col min="3" max="3" width="33.5703125" customWidth="1"/>
    <col min="4" max="4" width="18.28515625" customWidth="1"/>
    <col min="5" max="5" width="7.85546875" customWidth="1"/>
    <col min="6" max="6" width="13.28515625" customWidth="1"/>
  </cols>
  <sheetData>
    <row r="1" spans="1:7" ht="26.25" customHeight="1" x14ac:dyDescent="0.2">
      <c r="A1" s="1328" t="s">
        <v>580</v>
      </c>
      <c r="B1" s="1329"/>
      <c r="C1" s="1329"/>
      <c r="D1" s="1329"/>
      <c r="E1" s="1329"/>
      <c r="F1" s="1329"/>
    </row>
    <row r="2" spans="1:7" ht="26.25" customHeight="1" x14ac:dyDescent="0.2">
      <c r="A2" s="1330" t="s">
        <v>511</v>
      </c>
      <c r="B2" s="1330"/>
      <c r="C2" s="571" t="str">
        <f>+'DATOS PARA DEPURAR'!C7</f>
        <v>OJEDA RIOJAS DAVID MATEO</v>
      </c>
      <c r="D2" s="570" t="s">
        <v>360</v>
      </c>
      <c r="E2" s="1331">
        <f>+'DATOS PARA DEPURAR'!E7</f>
        <v>18927495</v>
      </c>
      <c r="F2" s="1331"/>
    </row>
    <row r="3" spans="1:7" ht="24" customHeight="1" x14ac:dyDescent="0.2">
      <c r="A3" s="1332" t="s">
        <v>698</v>
      </c>
      <c r="B3" s="1324"/>
      <c r="C3" s="1324"/>
      <c r="D3" s="1324"/>
      <c r="E3" s="1327">
        <f>+'FORMULARIO 2021 RENTA'!L25+'FORMULARIO 2021 RENTA'!J30</f>
        <v>81154504</v>
      </c>
      <c r="F3" s="1327"/>
    </row>
    <row r="4" spans="1:7" ht="22.5" customHeight="1" x14ac:dyDescent="0.2">
      <c r="A4" s="1320" t="s">
        <v>573</v>
      </c>
      <c r="B4" s="1321"/>
      <c r="C4" s="1321"/>
      <c r="D4" s="1321"/>
      <c r="E4" s="1327">
        <f>SUM(E3:E3)</f>
        <v>81154504</v>
      </c>
      <c r="F4" s="1327"/>
    </row>
    <row r="5" spans="1:7" ht="26.25" customHeight="1" x14ac:dyDescent="0.2">
      <c r="A5" s="1320" t="s">
        <v>699</v>
      </c>
      <c r="B5" s="1321"/>
      <c r="C5" s="1321"/>
      <c r="D5" s="1321"/>
      <c r="E5" s="1322">
        <f>+C23</f>
        <v>9652000</v>
      </c>
      <c r="F5" s="1321"/>
    </row>
    <row r="6" spans="1:7" hidden="1" x14ac:dyDescent="0.2">
      <c r="A6" s="1323" t="s">
        <v>621</v>
      </c>
      <c r="B6" s="1323"/>
      <c r="C6" s="1323"/>
      <c r="D6" s="1323"/>
      <c r="E6" s="1323"/>
      <c r="F6" s="1323"/>
    </row>
    <row r="7" spans="1:7" ht="15" hidden="1" customHeight="1" x14ac:dyDescent="0.2">
      <c r="A7" s="1324" t="s">
        <v>357</v>
      </c>
      <c r="B7" s="1325"/>
      <c r="C7" s="1325"/>
      <c r="D7" s="1325"/>
      <c r="E7" s="1326">
        <v>0</v>
      </c>
      <c r="F7" s="1326"/>
    </row>
    <row r="8" spans="1:7" hidden="1" x14ac:dyDescent="0.2">
      <c r="A8" s="1324" t="s">
        <v>474</v>
      </c>
      <c r="B8" s="1325"/>
      <c r="C8" s="1325"/>
      <c r="D8" s="1325"/>
      <c r="E8" s="1322">
        <f>+C37</f>
        <v>0</v>
      </c>
      <c r="F8" s="1321"/>
    </row>
    <row r="9" spans="1:7" hidden="1" x14ac:dyDescent="0.2"/>
    <row r="10" spans="1:7" ht="13.5" hidden="1" thickBot="1" x14ac:dyDescent="0.25"/>
    <row r="11" spans="1:7" hidden="1" x14ac:dyDescent="0.2">
      <c r="C11" s="608" t="s">
        <v>8</v>
      </c>
      <c r="D11" s="609"/>
      <c r="E11" s="610"/>
      <c r="F11" s="611" t="s">
        <v>10</v>
      </c>
      <c r="G11" s="153"/>
    </row>
    <row r="12" spans="1:7" ht="15.75" hidden="1" thickBot="1" x14ac:dyDescent="0.3">
      <c r="C12" s="1313">
        <f>+E4/F12</f>
        <v>2235.1686680621351</v>
      </c>
      <c r="D12" s="1314"/>
      <c r="E12" s="610"/>
      <c r="F12" s="612">
        <v>36308</v>
      </c>
      <c r="G12" s="153"/>
    </row>
    <row r="13" spans="1:7" ht="13.5" hidden="1" thickBot="1" x14ac:dyDescent="0.25">
      <c r="C13" s="610"/>
      <c r="D13" s="610"/>
      <c r="E13" s="610"/>
      <c r="F13" s="610"/>
      <c r="G13" s="153"/>
    </row>
    <row r="14" spans="1:7" hidden="1" x14ac:dyDescent="0.2">
      <c r="C14" s="613">
        <v>0</v>
      </c>
      <c r="D14" s="614">
        <v>1090</v>
      </c>
      <c r="E14" s="610"/>
      <c r="F14" s="615" t="b">
        <f>IF(C12&lt;=1090,0)</f>
        <v>0</v>
      </c>
      <c r="G14" s="153" t="s">
        <v>576</v>
      </c>
    </row>
    <row r="15" spans="1:7" ht="15" hidden="1" x14ac:dyDescent="0.25">
      <c r="C15" s="622" t="s">
        <v>176</v>
      </c>
      <c r="D15" s="623">
        <v>1700</v>
      </c>
      <c r="E15" s="610"/>
      <c r="F15" s="618">
        <f>IF(C12&gt;1090,(IF(C12&lt;=1700,ROUND((((+C12-1090)*19%)*F12),-3),0)),FALSE)</f>
        <v>0</v>
      </c>
      <c r="G15" s="153" t="s">
        <v>577</v>
      </c>
    </row>
    <row r="16" spans="1:7" ht="15" hidden="1" x14ac:dyDescent="0.25">
      <c r="C16" s="616" t="s">
        <v>177</v>
      </c>
      <c r="D16" s="623">
        <v>4100</v>
      </c>
      <c r="E16" s="610"/>
      <c r="F16" s="618">
        <f>IF(C12&gt;1700,(IF(C12&lt;=4100,ROUND((((+C12-1700)*28%+116)*F12),-3),0)),FALSE)</f>
        <v>9652000</v>
      </c>
      <c r="G16" s="153" t="s">
        <v>578</v>
      </c>
    </row>
    <row r="17" spans="1:7" ht="15" hidden="1" x14ac:dyDescent="0.25">
      <c r="C17" s="616" t="s">
        <v>178</v>
      </c>
      <c r="D17" s="617">
        <v>8670</v>
      </c>
      <c r="E17" s="610"/>
      <c r="F17" s="618" t="b">
        <f>IF(C12&gt;4100,(IF(C12&lt;=8670,ROUND((((+C12-4100)*33%+788)*F12),-3),0)),FALSE)</f>
        <v>0</v>
      </c>
      <c r="G17" s="153" t="s">
        <v>579</v>
      </c>
    </row>
    <row r="18" spans="1:7" hidden="1" x14ac:dyDescent="0.2">
      <c r="C18" s="616" t="s">
        <v>700</v>
      </c>
      <c r="D18" s="617">
        <v>18970</v>
      </c>
      <c r="E18" s="610"/>
      <c r="F18" s="979" t="b">
        <f>IF(C12&gt;8670,IF(C12&lt;=18970,ROUND((((+C12-8670)*35%+2296)*F12),-3),0))</f>
        <v>0</v>
      </c>
      <c r="G18" s="153" t="s">
        <v>585</v>
      </c>
    </row>
    <row r="19" spans="1:7" ht="15" hidden="1" x14ac:dyDescent="0.25">
      <c r="C19" s="616" t="s">
        <v>701</v>
      </c>
      <c r="D19" s="617">
        <v>31000</v>
      </c>
      <c r="E19" s="610"/>
      <c r="F19" s="618" t="b">
        <f>IF(C12&gt;18970,IF(C12&lt;=31000,ROUND((((+C12-18970)*37%+5901)*F12),-3),0))</f>
        <v>0</v>
      </c>
      <c r="G19" s="153" t="s">
        <v>587</v>
      </c>
    </row>
    <row r="20" spans="1:7" ht="15.75" hidden="1" thickBot="1" x14ac:dyDescent="0.3">
      <c r="C20" s="619" t="s">
        <v>702</v>
      </c>
      <c r="D20" s="620"/>
      <c r="E20" s="610"/>
      <c r="F20" s="621">
        <f>IF(C12&gt;31000,ROUND((((+C12-31000)*39%)*F12)+(10352*F12),-3),0)</f>
        <v>0</v>
      </c>
      <c r="G20" s="153" t="s">
        <v>703</v>
      </c>
    </row>
    <row r="21" spans="1:7" ht="13.5" hidden="1" thickBot="1" x14ac:dyDescent="0.25">
      <c r="C21" s="610"/>
      <c r="D21" s="610"/>
      <c r="E21" s="610"/>
      <c r="F21" s="610"/>
      <c r="G21" s="153"/>
    </row>
    <row r="22" spans="1:7" hidden="1" x14ac:dyDescent="0.2">
      <c r="C22" s="1309" t="s">
        <v>179</v>
      </c>
      <c r="D22" s="1310"/>
      <c r="E22" s="610"/>
      <c r="F22" s="610"/>
      <c r="G22" s="153"/>
    </row>
    <row r="23" spans="1:7" ht="15.75" hidden="1" thickBot="1" x14ac:dyDescent="0.3">
      <c r="C23" s="1311">
        <f>IF(F14=0,F14,IF(F15&gt;0,F15,IF(F16&gt;0,F16,IF(F17&gt;0,F17,IF(F18&gt;0,F18,IF(F19&gt;0,F19,IF(F20&gt;0,F20)))))))</f>
        <v>9652000</v>
      </c>
      <c r="D23" s="1312"/>
      <c r="E23" s="610"/>
      <c r="F23" s="610"/>
      <c r="G23" s="153"/>
    </row>
    <row r="24" spans="1:7" ht="13.5" hidden="1" thickBot="1" x14ac:dyDescent="0.25">
      <c r="A24" s="1315"/>
      <c r="B24" s="1316"/>
      <c r="C24" s="1316"/>
      <c r="D24" s="1316"/>
      <c r="E24" s="1317"/>
      <c r="F24" s="1317"/>
    </row>
    <row r="25" spans="1:7" hidden="1" x14ac:dyDescent="0.2">
      <c r="C25" s="608" t="s">
        <v>8</v>
      </c>
      <c r="D25" s="609"/>
      <c r="E25" s="610"/>
      <c r="F25" s="611" t="s">
        <v>10</v>
      </c>
      <c r="G25" s="153"/>
    </row>
    <row r="26" spans="1:7" ht="15.75" hidden="1" thickBot="1" x14ac:dyDescent="0.3">
      <c r="C26" s="1318">
        <f>+E7/F26</f>
        <v>0</v>
      </c>
      <c r="D26" s="1319"/>
      <c r="E26" s="610"/>
      <c r="F26" s="612">
        <v>35607</v>
      </c>
      <c r="G26" s="153"/>
    </row>
    <row r="27" spans="1:7" ht="13.5" hidden="1" thickBot="1" x14ac:dyDescent="0.25">
      <c r="C27" s="610"/>
      <c r="D27" s="610"/>
      <c r="E27" s="610"/>
      <c r="F27" s="610"/>
      <c r="G27" s="153"/>
    </row>
    <row r="28" spans="1:7" hidden="1" x14ac:dyDescent="0.2">
      <c r="C28" s="613">
        <v>0</v>
      </c>
      <c r="D28" s="614">
        <v>1090</v>
      </c>
      <c r="E28" s="610"/>
      <c r="F28" s="615">
        <f>IF(C26&lt;=1090,0)</f>
        <v>0</v>
      </c>
      <c r="G28" s="153" t="s">
        <v>576</v>
      </c>
    </row>
    <row r="29" spans="1:7" ht="15" hidden="1" x14ac:dyDescent="0.25">
      <c r="C29" s="622" t="s">
        <v>176</v>
      </c>
      <c r="D29" s="623">
        <v>1700</v>
      </c>
      <c r="E29" s="610"/>
      <c r="F29" s="618" t="b">
        <f>IF(C26&gt;1090,(IF(C26&lt;=1700,ROUND((((+C26-1090)*19%)*F26),-3),0)),FALSE)</f>
        <v>0</v>
      </c>
      <c r="G29" s="153" t="s">
        <v>577</v>
      </c>
    </row>
    <row r="30" spans="1:7" ht="15" hidden="1" x14ac:dyDescent="0.25">
      <c r="C30" s="616" t="s">
        <v>177</v>
      </c>
      <c r="D30" s="623">
        <v>4100</v>
      </c>
      <c r="E30" s="610"/>
      <c r="F30" s="618" t="b">
        <f>IF(C26&gt;1700,(IF(C26&lt;=4100,ROUND((((+C26-1700)*28%+116)*F26),-3),0)),FALSE)</f>
        <v>0</v>
      </c>
      <c r="G30" s="153" t="s">
        <v>578</v>
      </c>
    </row>
    <row r="31" spans="1:7" ht="15" hidden="1" x14ac:dyDescent="0.25">
      <c r="C31" s="616" t="s">
        <v>178</v>
      </c>
      <c r="D31" s="617">
        <v>8670</v>
      </c>
      <c r="E31" s="610"/>
      <c r="F31" s="618" t="b">
        <f>IF(C26&gt;4100,(IF(C26&lt;=8670,ROUND((((+C26-4100)*33%+788)*F26),-3),0)),FALSE)</f>
        <v>0</v>
      </c>
      <c r="G31" s="153" t="s">
        <v>579</v>
      </c>
    </row>
    <row r="32" spans="1:7" ht="15" hidden="1" x14ac:dyDescent="0.25">
      <c r="C32" s="616" t="s">
        <v>700</v>
      </c>
      <c r="D32" s="617">
        <v>18970</v>
      </c>
      <c r="E32" s="610"/>
      <c r="F32" s="618" t="b">
        <f>IF(C26&gt;8670,IF(C26&lt;=18970,ROUND((((+C26-8670)*35%+2296)*F26),-3),0))</f>
        <v>0</v>
      </c>
      <c r="G32" s="153" t="s">
        <v>585</v>
      </c>
    </row>
    <row r="33" spans="3:7" ht="15" hidden="1" x14ac:dyDescent="0.25">
      <c r="C33" s="616" t="s">
        <v>701</v>
      </c>
      <c r="D33" s="617">
        <v>31000</v>
      </c>
      <c r="E33" s="610"/>
      <c r="F33" s="618" t="b">
        <f>IF(C26&gt;18970,IF(C26&lt;=31000,ROUND((((+C26-18970)*37%+5901)*F26),-3),0))</f>
        <v>0</v>
      </c>
      <c r="G33" s="153" t="s">
        <v>587</v>
      </c>
    </row>
    <row r="34" spans="3:7" ht="15.75" hidden="1" thickBot="1" x14ac:dyDescent="0.3">
      <c r="C34" s="619" t="s">
        <v>702</v>
      </c>
      <c r="D34" s="620"/>
      <c r="E34" s="610"/>
      <c r="F34" s="621">
        <f>IF(C26&gt;31000,ROUND((((+C26-31000)*39%)*F26)+(10352*F26),-3),0)</f>
        <v>0</v>
      </c>
      <c r="G34" s="153" t="s">
        <v>703</v>
      </c>
    </row>
    <row r="35" spans="3:7" ht="13.5" hidden="1" thickBot="1" x14ac:dyDescent="0.25">
      <c r="C35" s="610"/>
      <c r="D35" s="610"/>
      <c r="E35" s="610"/>
      <c r="F35" s="610"/>
      <c r="G35" s="153"/>
    </row>
    <row r="36" spans="3:7" hidden="1" x14ac:dyDescent="0.2">
      <c r="C36" s="1309" t="s">
        <v>179</v>
      </c>
      <c r="D36" s="1310"/>
      <c r="E36" s="610"/>
      <c r="F36" s="610"/>
      <c r="G36" s="153"/>
    </row>
    <row r="37" spans="3:7" ht="15.75" hidden="1" thickBot="1" x14ac:dyDescent="0.3">
      <c r="C37" s="1311">
        <f>IF(F28=0,F28,IF(F29&gt;0,F29,IF(F30&gt;0,F30,IF(F31&gt;0,F31,IF(F32&gt;0,F32,IF(F33&gt;0,F33,IF(F34&gt;0,F34)))))))</f>
        <v>0</v>
      </c>
      <c r="D37" s="1312"/>
      <c r="E37" s="610"/>
      <c r="F37" s="610"/>
      <c r="G37" s="153"/>
    </row>
    <row r="38" spans="3:7" hidden="1" x14ac:dyDescent="0.2"/>
  </sheetData>
  <mergeCells count="22">
    <mergeCell ref="A4:D4"/>
    <mergeCell ref="E4:F4"/>
    <mergeCell ref="A1:F1"/>
    <mergeCell ref="A2:B2"/>
    <mergeCell ref="E2:F2"/>
    <mergeCell ref="A3:D3"/>
    <mergeCell ref="E3:F3"/>
    <mergeCell ref="E24:F24"/>
    <mergeCell ref="C26:D26"/>
    <mergeCell ref="A5:D5"/>
    <mergeCell ref="E5:F5"/>
    <mergeCell ref="A6:F6"/>
    <mergeCell ref="A7:D7"/>
    <mergeCell ref="E7:F7"/>
    <mergeCell ref="A8:D8"/>
    <mergeCell ref="E8:F8"/>
    <mergeCell ref="C36:D36"/>
    <mergeCell ref="C37:D37"/>
    <mergeCell ref="C12:D12"/>
    <mergeCell ref="C22:D22"/>
    <mergeCell ref="C23:D23"/>
    <mergeCell ref="A24:D24"/>
  </mergeCells>
  <pageMargins left="0.51181102362204722" right="0.51181102362204722" top="0.74803149606299213" bottom="0.74803149606299213" header="0.31496062992125984" footer="0.31496062992125984"/>
  <pageSetup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view="pageBreakPreview" zoomScale="160" zoomScaleNormal="100" zoomScaleSheetLayoutView="160" workbookViewId="0">
      <selection activeCell="C49" sqref="C49"/>
    </sheetView>
  </sheetViews>
  <sheetFormatPr baseColWidth="10" defaultRowHeight="12.75" x14ac:dyDescent="0.2"/>
  <cols>
    <col min="3" max="3" width="33.5703125" customWidth="1"/>
    <col min="4" max="4" width="18.28515625" customWidth="1"/>
    <col min="5" max="5" width="7.85546875" customWidth="1"/>
    <col min="6" max="6" width="13.28515625" customWidth="1"/>
  </cols>
  <sheetData>
    <row r="1" spans="1:7" ht="26.25" customHeight="1" x14ac:dyDescent="0.2">
      <c r="A1" s="1328" t="s">
        <v>580</v>
      </c>
      <c r="B1" s="1329"/>
      <c r="C1" s="1329"/>
      <c r="D1" s="1329"/>
      <c r="E1" s="1329"/>
      <c r="F1" s="1329"/>
    </row>
    <row r="2" spans="1:7" ht="26.25" customHeight="1" x14ac:dyDescent="0.2">
      <c r="A2" s="1330" t="s">
        <v>511</v>
      </c>
      <c r="B2" s="1330"/>
      <c r="C2" s="571" t="str">
        <f>+'DATOS PARA DEPURAR'!C7</f>
        <v>OJEDA RIOJAS DAVID MATEO</v>
      </c>
      <c r="D2" s="570" t="s">
        <v>360</v>
      </c>
      <c r="E2" s="1331">
        <f>+'DATOS PARA DEPURAR'!E7</f>
        <v>18927495</v>
      </c>
      <c r="F2" s="1331"/>
    </row>
    <row r="3" spans="1:7" ht="24" customHeight="1" x14ac:dyDescent="0.2">
      <c r="A3" s="1332" t="s">
        <v>698</v>
      </c>
      <c r="B3" s="1324"/>
      <c r="C3" s="1324"/>
      <c r="D3" s="1324"/>
      <c r="E3" s="1327">
        <f>+'FORMULARIO 2019 RENTA CEDULA'!F44</f>
        <v>71154504</v>
      </c>
      <c r="F3" s="1327"/>
    </row>
    <row r="4" spans="1:7" ht="22.5" customHeight="1" x14ac:dyDescent="0.2">
      <c r="A4" s="1320" t="s">
        <v>573</v>
      </c>
      <c r="B4" s="1321"/>
      <c r="C4" s="1321"/>
      <c r="D4" s="1321"/>
      <c r="E4" s="1327">
        <f>SUM(E3:E3)</f>
        <v>71154504</v>
      </c>
      <c r="F4" s="1327"/>
    </row>
    <row r="5" spans="1:7" ht="15.75" customHeight="1" x14ac:dyDescent="0.2">
      <c r="A5" s="1320" t="s">
        <v>699</v>
      </c>
      <c r="B5" s="1321"/>
      <c r="C5" s="1321"/>
      <c r="D5" s="1321"/>
      <c r="E5" s="1322">
        <f>+C23</f>
        <v>7586000</v>
      </c>
      <c r="F5" s="1321"/>
    </row>
    <row r="6" spans="1:7" ht="15.75" customHeight="1" x14ac:dyDescent="0.2">
      <c r="A6" s="1323" t="s">
        <v>621</v>
      </c>
      <c r="B6" s="1323"/>
      <c r="C6" s="1323"/>
      <c r="D6" s="1323"/>
      <c r="E6" s="1323"/>
      <c r="F6" s="1323"/>
    </row>
    <row r="7" spans="1:7" ht="19.5" customHeight="1" x14ac:dyDescent="0.2">
      <c r="A7" s="1324" t="s">
        <v>357</v>
      </c>
      <c r="B7" s="1325"/>
      <c r="C7" s="1325"/>
      <c r="D7" s="1325"/>
      <c r="E7" s="1326">
        <f>+'FORMULARIO 2018 RENTA CEDULAR'!J13</f>
        <v>8784563.5899011195</v>
      </c>
      <c r="F7" s="1326"/>
    </row>
    <row r="8" spans="1:7" ht="15.75" customHeight="1" x14ac:dyDescent="0.2">
      <c r="A8" s="1324" t="s">
        <v>474</v>
      </c>
      <c r="B8" s="1325"/>
      <c r="C8" s="1325"/>
      <c r="D8" s="1325"/>
      <c r="E8" s="1322">
        <f>+C37</f>
        <v>0</v>
      </c>
      <c r="F8" s="1321"/>
    </row>
    <row r="9" spans="1:7" hidden="1" x14ac:dyDescent="0.2"/>
    <row r="10" spans="1:7" ht="13.5" hidden="1" thickBot="1" x14ac:dyDescent="0.25"/>
    <row r="11" spans="1:7" hidden="1" x14ac:dyDescent="0.2">
      <c r="C11" s="608" t="s">
        <v>8</v>
      </c>
      <c r="D11" s="609"/>
      <c r="E11" s="610"/>
      <c r="F11" s="611" t="s">
        <v>10</v>
      </c>
      <c r="G11" s="153"/>
    </row>
    <row r="12" spans="1:7" ht="15.75" hidden="1" thickBot="1" x14ac:dyDescent="0.3">
      <c r="C12" s="1313">
        <f>+E4/F12</f>
        <v>2076.2913335278668</v>
      </c>
      <c r="D12" s="1314"/>
      <c r="E12" s="610"/>
      <c r="F12" s="612">
        <v>34270</v>
      </c>
      <c r="G12" s="153"/>
    </row>
    <row r="13" spans="1:7" ht="13.5" hidden="1" thickBot="1" x14ac:dyDescent="0.25">
      <c r="C13" s="610"/>
      <c r="D13" s="610"/>
      <c r="E13" s="610"/>
      <c r="F13" s="610"/>
      <c r="G13" s="153"/>
    </row>
    <row r="14" spans="1:7" hidden="1" x14ac:dyDescent="0.2">
      <c r="C14" s="613">
        <v>0</v>
      </c>
      <c r="D14" s="614">
        <v>1090</v>
      </c>
      <c r="E14" s="610"/>
      <c r="F14" s="615" t="b">
        <f>IF(C12&lt;=1090,0)</f>
        <v>0</v>
      </c>
      <c r="G14" s="153" t="s">
        <v>576</v>
      </c>
    </row>
    <row r="15" spans="1:7" ht="15" hidden="1" x14ac:dyDescent="0.25">
      <c r="C15" s="622" t="s">
        <v>176</v>
      </c>
      <c r="D15" s="623">
        <v>1700</v>
      </c>
      <c r="E15" s="610"/>
      <c r="F15" s="618">
        <f>IF(C12&gt;1090,(IF(C12&lt;=1700,ROUND((((+C12-1090)*19%)*F12),-3),0)),FALSE)</f>
        <v>0</v>
      </c>
      <c r="G15" s="153" t="s">
        <v>577</v>
      </c>
    </row>
    <row r="16" spans="1:7" ht="15" hidden="1" x14ac:dyDescent="0.25">
      <c r="C16" s="616" t="s">
        <v>177</v>
      </c>
      <c r="D16" s="623">
        <v>4100</v>
      </c>
      <c r="E16" s="610"/>
      <c r="F16" s="618">
        <f>IF(C12&gt;1700,(IF(C12&lt;=4100,ROUND((((+C12-1700)*28%+116)*F12),-3),0)),FALSE)</f>
        <v>7586000</v>
      </c>
      <c r="G16" s="153" t="s">
        <v>578</v>
      </c>
    </row>
    <row r="17" spans="1:7" ht="15" hidden="1" x14ac:dyDescent="0.25">
      <c r="C17" s="616" t="s">
        <v>178</v>
      </c>
      <c r="D17" s="617">
        <v>8670</v>
      </c>
      <c r="E17" s="610"/>
      <c r="F17" s="618" t="b">
        <f>IF(C12&gt;4100,(IF(C12&lt;=8670,ROUND((((+C12-4100)*33%+788)*F12),-3),0)),FALSE)</f>
        <v>0</v>
      </c>
      <c r="G17" s="153" t="s">
        <v>579</v>
      </c>
    </row>
    <row r="18" spans="1:7" hidden="1" x14ac:dyDescent="0.2">
      <c r="C18" s="616" t="s">
        <v>700</v>
      </c>
      <c r="D18" s="617">
        <v>18970</v>
      </c>
      <c r="E18" s="610"/>
      <c r="F18" s="979" t="b">
        <f>IF(C12&gt;8670,IF(C12&lt;=18970,ROUND((((+C12-8670)*35%+2296)*F12),-3),0))</f>
        <v>0</v>
      </c>
      <c r="G18" s="153" t="s">
        <v>585</v>
      </c>
    </row>
    <row r="19" spans="1:7" ht="15" hidden="1" x14ac:dyDescent="0.25">
      <c r="C19" s="616" t="s">
        <v>701</v>
      </c>
      <c r="D19" s="617">
        <v>31000</v>
      </c>
      <c r="E19" s="610"/>
      <c r="F19" s="618" t="b">
        <f>IF(C12&gt;18970,IF(C12&lt;=31000,ROUND((((+C12-18970)*37%+5901)*F12),-3),0))</f>
        <v>0</v>
      </c>
      <c r="G19" s="153" t="s">
        <v>587</v>
      </c>
    </row>
    <row r="20" spans="1:7" ht="15.75" hidden="1" thickBot="1" x14ac:dyDescent="0.3">
      <c r="C20" s="619" t="s">
        <v>702</v>
      </c>
      <c r="D20" s="620"/>
      <c r="E20" s="610"/>
      <c r="F20" s="621">
        <f>IF(C12&gt;31000,ROUND((((+C12-31000)*39%)*F12)+(10352*F12),-3),0)</f>
        <v>0</v>
      </c>
      <c r="G20" s="153" t="s">
        <v>703</v>
      </c>
    </row>
    <row r="21" spans="1:7" ht="13.5" hidden="1" thickBot="1" x14ac:dyDescent="0.25">
      <c r="C21" s="610"/>
      <c r="D21" s="610"/>
      <c r="E21" s="610"/>
      <c r="F21" s="610"/>
      <c r="G21" s="153"/>
    </row>
    <row r="22" spans="1:7" hidden="1" x14ac:dyDescent="0.2">
      <c r="C22" s="1309" t="s">
        <v>179</v>
      </c>
      <c r="D22" s="1310"/>
      <c r="E22" s="610"/>
      <c r="F22" s="610"/>
      <c r="G22" s="153"/>
    </row>
    <row r="23" spans="1:7" ht="15.75" hidden="1" thickBot="1" x14ac:dyDescent="0.3">
      <c r="C23" s="1311">
        <f>IF(F14=0,F14,IF(F15&gt;0,F15,IF(F16&gt;0,F16,IF(F17&gt;0,F17,IF(F18&gt;0,F18,IF(F19&gt;0,F19,IF(F20&gt;0,F20)))))))</f>
        <v>7586000</v>
      </c>
      <c r="D23" s="1312"/>
      <c r="E23" s="610"/>
      <c r="F23" s="610"/>
      <c r="G23" s="153"/>
    </row>
    <row r="24" spans="1:7" ht="13.5" hidden="1" thickBot="1" x14ac:dyDescent="0.25">
      <c r="A24" s="1315"/>
      <c r="B24" s="1316"/>
      <c r="C24" s="1316"/>
      <c r="D24" s="1316"/>
      <c r="E24" s="1317"/>
      <c r="F24" s="1317"/>
    </row>
    <row r="25" spans="1:7" hidden="1" x14ac:dyDescent="0.2">
      <c r="C25" s="608" t="s">
        <v>8</v>
      </c>
      <c r="D25" s="609"/>
      <c r="E25" s="610"/>
      <c r="F25" s="611" t="s">
        <v>10</v>
      </c>
      <c r="G25" s="153"/>
    </row>
    <row r="26" spans="1:7" ht="15.75" hidden="1" thickBot="1" x14ac:dyDescent="0.3">
      <c r="C26" s="1318">
        <f>+E7/F26</f>
        <v>256.33392442080884</v>
      </c>
      <c r="D26" s="1319"/>
      <c r="E26" s="610"/>
      <c r="F26" s="612">
        <v>34270</v>
      </c>
      <c r="G26" s="153"/>
    </row>
    <row r="27" spans="1:7" ht="13.5" hidden="1" thickBot="1" x14ac:dyDescent="0.25">
      <c r="C27" s="610"/>
      <c r="D27" s="610"/>
      <c r="E27" s="610"/>
      <c r="F27" s="610"/>
      <c r="G27" s="153"/>
    </row>
    <row r="28" spans="1:7" hidden="1" x14ac:dyDescent="0.2">
      <c r="C28" s="613">
        <v>0</v>
      </c>
      <c r="D28" s="614">
        <v>1090</v>
      </c>
      <c r="E28" s="610"/>
      <c r="F28" s="615">
        <f>IF(C26&lt;=1090,0)</f>
        <v>0</v>
      </c>
      <c r="G28" s="153" t="s">
        <v>576</v>
      </c>
    </row>
    <row r="29" spans="1:7" ht="15" hidden="1" x14ac:dyDescent="0.25">
      <c r="C29" s="622" t="s">
        <v>176</v>
      </c>
      <c r="D29" s="623">
        <v>1700</v>
      </c>
      <c r="E29" s="610"/>
      <c r="F29" s="618" t="b">
        <f>IF(C26&gt;1090,(IF(C26&lt;=1700,ROUND((((+C26-1090)*19%)*F26),-3),0)),FALSE)</f>
        <v>0</v>
      </c>
      <c r="G29" s="153" t="s">
        <v>577</v>
      </c>
    </row>
    <row r="30" spans="1:7" ht="15" hidden="1" x14ac:dyDescent="0.25">
      <c r="C30" s="616" t="s">
        <v>177</v>
      </c>
      <c r="D30" s="623">
        <v>4100</v>
      </c>
      <c r="E30" s="610"/>
      <c r="F30" s="618" t="b">
        <f>IF(C26&gt;1700,(IF(C26&lt;=4100,ROUND((((+C26-1700)*28%+116)*F26),-3),0)),FALSE)</f>
        <v>0</v>
      </c>
      <c r="G30" s="153" t="s">
        <v>578</v>
      </c>
    </row>
    <row r="31" spans="1:7" ht="15" hidden="1" x14ac:dyDescent="0.25">
      <c r="C31" s="616" t="s">
        <v>178</v>
      </c>
      <c r="D31" s="617">
        <v>8670</v>
      </c>
      <c r="E31" s="610"/>
      <c r="F31" s="618" t="b">
        <f>IF(C26&gt;4100,(IF(C26&lt;=8670,ROUND((((+C26-4100)*33%+788)*F26),-3),0)),FALSE)</f>
        <v>0</v>
      </c>
      <c r="G31" s="153" t="s">
        <v>579</v>
      </c>
    </row>
    <row r="32" spans="1:7" ht="15" hidden="1" x14ac:dyDescent="0.25">
      <c r="C32" s="616" t="s">
        <v>700</v>
      </c>
      <c r="D32" s="617">
        <v>18970</v>
      </c>
      <c r="E32" s="610"/>
      <c r="F32" s="618" t="b">
        <f>IF(C26&gt;8670,IF(C26&lt;=18970,ROUND((((+C26-8670)*35%+2296)*F26),-3),0))</f>
        <v>0</v>
      </c>
      <c r="G32" s="153" t="s">
        <v>585</v>
      </c>
    </row>
    <row r="33" spans="3:7" ht="15" hidden="1" x14ac:dyDescent="0.25">
      <c r="C33" s="616" t="s">
        <v>701</v>
      </c>
      <c r="D33" s="617">
        <v>31000</v>
      </c>
      <c r="E33" s="610"/>
      <c r="F33" s="618" t="b">
        <f>IF(C26&gt;18970,IF(C26&lt;=31000,ROUND((((+C26-18970)*37%+5901)*F26),-3),0))</f>
        <v>0</v>
      </c>
      <c r="G33" s="153" t="s">
        <v>587</v>
      </c>
    </row>
    <row r="34" spans="3:7" ht="15.75" hidden="1" thickBot="1" x14ac:dyDescent="0.3">
      <c r="C34" s="619" t="s">
        <v>702</v>
      </c>
      <c r="D34" s="620"/>
      <c r="E34" s="610"/>
      <c r="F34" s="621">
        <f>IF(C26&gt;31000,ROUND((((+C26-31000)*39%)*F26)+(10352*F26),-3),0)</f>
        <v>0</v>
      </c>
      <c r="G34" s="153" t="s">
        <v>703</v>
      </c>
    </row>
    <row r="35" spans="3:7" ht="13.5" hidden="1" thickBot="1" x14ac:dyDescent="0.25">
      <c r="C35" s="610"/>
      <c r="D35" s="610"/>
      <c r="E35" s="610"/>
      <c r="F35" s="610"/>
      <c r="G35" s="153"/>
    </row>
    <row r="36" spans="3:7" hidden="1" x14ac:dyDescent="0.2">
      <c r="C36" s="1309" t="s">
        <v>179</v>
      </c>
      <c r="D36" s="1310"/>
      <c r="E36" s="610"/>
      <c r="F36" s="610"/>
      <c r="G36" s="153"/>
    </row>
    <row r="37" spans="3:7" ht="15.75" hidden="1" thickBot="1" x14ac:dyDescent="0.3">
      <c r="C37" s="1311">
        <f>IF(F28=0,F28,IF(F29&gt;0,F29,IF(F30&gt;0,F30,IF(F31&gt;0,F31,IF(F32&gt;0,F32,IF(F33&gt;0,F33,IF(F34&gt;0,F34)))))))</f>
        <v>0</v>
      </c>
      <c r="D37" s="1312"/>
      <c r="E37" s="610"/>
      <c r="F37" s="610"/>
      <c r="G37" s="153"/>
    </row>
    <row r="38" spans="3:7" hidden="1" x14ac:dyDescent="0.2"/>
  </sheetData>
  <mergeCells count="22">
    <mergeCell ref="C26:D26"/>
    <mergeCell ref="C36:D36"/>
    <mergeCell ref="C37:D37"/>
    <mergeCell ref="A8:D8"/>
    <mergeCell ref="E8:F8"/>
    <mergeCell ref="C12:D12"/>
    <mergeCell ref="C22:D22"/>
    <mergeCell ref="C23:D23"/>
    <mergeCell ref="A24:D24"/>
    <mergeCell ref="E24:F24"/>
    <mergeCell ref="A7:D7"/>
    <mergeCell ref="E7:F7"/>
    <mergeCell ref="A1:F1"/>
    <mergeCell ref="A2:B2"/>
    <mergeCell ref="E2:F2"/>
    <mergeCell ref="A3:D3"/>
    <mergeCell ref="E3:F3"/>
    <mergeCell ref="A4:D4"/>
    <mergeCell ref="E4:F4"/>
    <mergeCell ref="A5:D5"/>
    <mergeCell ref="E5:F5"/>
    <mergeCell ref="A6:F6"/>
  </mergeCells>
  <pageMargins left="0.51181102362204722" right="0.51181102362204722" top="0.74803149606299213" bottom="0.74803149606299213" header="0.31496062992125984" footer="0.31496062992125984"/>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view="pageBreakPreview" zoomScale="160" zoomScaleNormal="100" zoomScaleSheetLayoutView="160" workbookViewId="0">
      <selection activeCell="H5" sqref="H5"/>
    </sheetView>
  </sheetViews>
  <sheetFormatPr baseColWidth="10" defaultRowHeight="12.75" x14ac:dyDescent="0.2"/>
  <cols>
    <col min="3" max="3" width="33.5703125" customWidth="1"/>
    <col min="4" max="4" width="18.28515625" customWidth="1"/>
    <col min="5" max="5" width="8.42578125" customWidth="1"/>
    <col min="6" max="6" width="12.42578125" customWidth="1"/>
  </cols>
  <sheetData>
    <row r="1" spans="1:7" ht="26.25" customHeight="1" x14ac:dyDescent="0.2">
      <c r="A1" s="1328" t="s">
        <v>580</v>
      </c>
      <c r="B1" s="1329"/>
      <c r="C1" s="1329"/>
      <c r="D1" s="1329"/>
      <c r="E1" s="1329"/>
      <c r="F1" s="1329"/>
    </row>
    <row r="2" spans="1:7" ht="26.25" customHeight="1" x14ac:dyDescent="0.2">
      <c r="A2" s="1330" t="s">
        <v>511</v>
      </c>
      <c r="B2" s="1330"/>
      <c r="C2" s="571" t="str">
        <f>+'DATOS PARA DEPURAR'!C7</f>
        <v>OJEDA RIOJAS DAVID MATEO</v>
      </c>
      <c r="D2" s="570" t="s">
        <v>360</v>
      </c>
      <c r="E2" s="1331">
        <f>+'DATOS PARA DEPURAR'!E7</f>
        <v>18927495</v>
      </c>
      <c r="F2" s="1331"/>
    </row>
    <row r="3" spans="1:7" ht="24" customHeight="1" x14ac:dyDescent="0.2">
      <c r="A3" s="1324" t="s">
        <v>566</v>
      </c>
      <c r="B3" s="1324"/>
      <c r="C3" s="1324"/>
      <c r="D3" s="1324"/>
      <c r="E3" s="1327">
        <f>+'RENTA GENERAL NO LABORAL'!F83</f>
        <v>0</v>
      </c>
      <c r="F3" s="1327"/>
    </row>
    <row r="4" spans="1:7" ht="22.5" customHeight="1" x14ac:dyDescent="0.2">
      <c r="A4" s="1324" t="s">
        <v>551</v>
      </c>
      <c r="B4" s="1324"/>
      <c r="C4" s="1324"/>
      <c r="D4" s="1324"/>
      <c r="E4" s="1327">
        <f>+'RENTA GENERAL CAPITAL'!F48</f>
        <v>0</v>
      </c>
      <c r="F4" s="1327"/>
    </row>
    <row r="5" spans="1:7" ht="22.5" customHeight="1" x14ac:dyDescent="0.2">
      <c r="A5" s="1320" t="s">
        <v>573</v>
      </c>
      <c r="B5" s="1321"/>
      <c r="C5" s="1321"/>
      <c r="D5" s="1321"/>
      <c r="E5" s="1327">
        <f>SUM(E3:E4)</f>
        <v>0</v>
      </c>
      <c r="F5" s="1327"/>
    </row>
    <row r="6" spans="1:7" ht="15.75" customHeight="1" x14ac:dyDescent="0.2">
      <c r="A6" s="1320" t="s">
        <v>575</v>
      </c>
      <c r="B6" s="1321"/>
      <c r="C6" s="1321"/>
      <c r="D6" s="1321"/>
      <c r="E6" s="1322">
        <f>+C23</f>
        <v>0</v>
      </c>
      <c r="F6" s="1321"/>
    </row>
    <row r="7" spans="1:7" ht="15.75" customHeight="1" x14ac:dyDescent="0.2">
      <c r="A7" s="1323" t="s">
        <v>621</v>
      </c>
      <c r="B7" s="1323"/>
      <c r="C7" s="1323"/>
      <c r="D7" s="1323"/>
      <c r="E7" s="1323"/>
      <c r="F7" s="1323"/>
    </row>
    <row r="8" spans="1:7" ht="19.5" customHeight="1" x14ac:dyDescent="0.2">
      <c r="A8" s="1324" t="s">
        <v>357</v>
      </c>
      <c r="B8" s="1325"/>
      <c r="C8" s="1325"/>
      <c r="D8" s="1325"/>
      <c r="E8" s="1326">
        <f>+'FORMULARIO 2018 RENTA CEDULAR'!J13</f>
        <v>8784563.5899011195</v>
      </c>
      <c r="F8" s="1326"/>
    </row>
    <row r="9" spans="1:7" ht="18" customHeight="1" x14ac:dyDescent="0.2">
      <c r="A9" s="1324" t="s">
        <v>474</v>
      </c>
      <c r="B9" s="1325"/>
      <c r="C9" s="1325"/>
      <c r="D9" s="1325"/>
      <c r="E9" s="1322">
        <f>+C36</f>
        <v>0</v>
      </c>
      <c r="F9" s="1321"/>
    </row>
    <row r="10" spans="1:7" ht="4.5" hidden="1" customHeight="1" x14ac:dyDescent="0.2"/>
    <row r="11" spans="1:7" ht="4.5" hidden="1" customHeight="1" thickBot="1" x14ac:dyDescent="0.25"/>
    <row r="12" spans="1:7" ht="4.5" hidden="1" customHeight="1" x14ac:dyDescent="0.2">
      <c r="C12" s="608" t="s">
        <v>8</v>
      </c>
      <c r="D12" s="609"/>
      <c r="E12" s="610"/>
      <c r="F12" s="611" t="s">
        <v>10</v>
      </c>
      <c r="G12" s="153"/>
    </row>
    <row r="13" spans="1:7" ht="4.5" hidden="1" customHeight="1" thickBot="1" x14ac:dyDescent="0.3">
      <c r="C13" s="1318">
        <f>+E5/F13</f>
        <v>0</v>
      </c>
      <c r="D13" s="1319"/>
      <c r="E13" s="610"/>
      <c r="F13" s="612">
        <f>+'DATOS PARA DEPURAR'!C23</f>
        <v>36308</v>
      </c>
      <c r="G13" s="153"/>
    </row>
    <row r="14" spans="1:7" ht="4.5" hidden="1" customHeight="1" thickBot="1" x14ac:dyDescent="0.25">
      <c r="C14" s="610"/>
      <c r="D14" s="610"/>
      <c r="E14" s="610"/>
      <c r="F14" s="610"/>
      <c r="G14" s="153"/>
    </row>
    <row r="15" spans="1:7" ht="4.5" hidden="1" customHeight="1" x14ac:dyDescent="0.2">
      <c r="C15" s="613">
        <v>0</v>
      </c>
      <c r="D15" s="614">
        <v>600</v>
      </c>
      <c r="E15" s="610"/>
      <c r="F15" s="615">
        <f>IF(C13&lt;=600,0)</f>
        <v>0</v>
      </c>
      <c r="G15" s="153" t="s">
        <v>576</v>
      </c>
    </row>
    <row r="16" spans="1:7" ht="4.5" hidden="1" customHeight="1" x14ac:dyDescent="0.25">
      <c r="C16" s="622" t="s">
        <v>581</v>
      </c>
      <c r="D16" s="623">
        <v>1000</v>
      </c>
      <c r="E16" s="610"/>
      <c r="F16" s="618" t="b">
        <f>IF(C13&gt;600,(IF(C13&lt;=1000,ROUND((((+C13-600)*10%)*F13),-3),0)),FALSE)</f>
        <v>0</v>
      </c>
      <c r="G16" s="153" t="s">
        <v>577</v>
      </c>
    </row>
    <row r="17" spans="1:7" ht="4.5" hidden="1" customHeight="1" x14ac:dyDescent="0.25">
      <c r="C17" s="616" t="s">
        <v>582</v>
      </c>
      <c r="D17" s="623">
        <v>2000</v>
      </c>
      <c r="E17" s="610"/>
      <c r="F17" s="618" t="b">
        <f>IF(C13&gt;1000,(IF(C13&lt;=2000,ROUND((((+C13-1000)*20%+40)*F13),-3),0)),FALSE)</f>
        <v>0</v>
      </c>
      <c r="G17" s="153" t="s">
        <v>578</v>
      </c>
    </row>
    <row r="18" spans="1:7" ht="4.5" hidden="1" customHeight="1" x14ac:dyDescent="0.25">
      <c r="C18" s="616" t="s">
        <v>583</v>
      </c>
      <c r="D18" s="617">
        <v>3000</v>
      </c>
      <c r="E18" s="610"/>
      <c r="F18" s="618" t="b">
        <f>IF(C13&gt;2000,(IF(C13&lt;=3000,ROUND((((+C13-2000)*30%+240)*F13),-3),0)),FALSE)</f>
        <v>0</v>
      </c>
      <c r="G18" s="153" t="s">
        <v>579</v>
      </c>
    </row>
    <row r="19" spans="1:7" ht="4.5" hidden="1" customHeight="1" x14ac:dyDescent="0.25">
      <c r="C19" s="616" t="s">
        <v>584</v>
      </c>
      <c r="D19" s="617">
        <v>4000</v>
      </c>
      <c r="E19" s="610"/>
      <c r="F19" s="618" t="b">
        <f>IF(C13&gt;3000,IF(C13&lt;=4000,ROUND((((+C13-3000)*33%+540)*F13),-3),0))</f>
        <v>0</v>
      </c>
      <c r="G19" s="153" t="s">
        <v>585</v>
      </c>
    </row>
    <row r="20" spans="1:7" ht="4.5" hidden="1" customHeight="1" thickBot="1" x14ac:dyDescent="0.3">
      <c r="C20" s="619" t="s">
        <v>586</v>
      </c>
      <c r="D20" s="620"/>
      <c r="E20" s="610"/>
      <c r="F20" s="621">
        <f>IF(C13&gt;4000,ROUND((((+C13-4000)*35%)*F13)+(870*F13),-3),0)</f>
        <v>0</v>
      </c>
      <c r="G20" s="153" t="s">
        <v>587</v>
      </c>
    </row>
    <row r="21" spans="1:7" ht="4.5" hidden="1" customHeight="1" thickBot="1" x14ac:dyDescent="0.25">
      <c r="C21" s="610"/>
      <c r="D21" s="610"/>
      <c r="E21" s="610"/>
      <c r="F21" s="610"/>
      <c r="G21" s="153"/>
    </row>
    <row r="22" spans="1:7" ht="4.5" hidden="1" customHeight="1" x14ac:dyDescent="0.2">
      <c r="C22" s="1309" t="s">
        <v>179</v>
      </c>
      <c r="D22" s="1310"/>
      <c r="E22" s="610"/>
      <c r="F22" s="610"/>
      <c r="G22" s="153"/>
    </row>
    <row r="23" spans="1:7" ht="4.5" hidden="1" customHeight="1" thickBot="1" x14ac:dyDescent="0.3">
      <c r="C23" s="1311">
        <f>IF(F15=0,F15,IF(F16&gt;0,F16,IF(F17&gt;0,F17,IF(F18&gt;0,F18,IF(F19&gt;0,F19,IF(F20&gt;0,F20))))))</f>
        <v>0</v>
      </c>
      <c r="D23" s="1312"/>
      <c r="E23" s="610"/>
      <c r="F23" s="610"/>
      <c r="G23" s="153"/>
    </row>
    <row r="24" spans="1:7" ht="4.5" hidden="1" customHeight="1" thickBot="1" x14ac:dyDescent="0.25">
      <c r="A24" s="1315"/>
      <c r="B24" s="1316"/>
      <c r="C24" s="1316"/>
      <c r="D24" s="1316"/>
      <c r="E24" s="1317"/>
      <c r="F24" s="1317"/>
    </row>
    <row r="25" spans="1:7" ht="4.5" hidden="1" customHeight="1" x14ac:dyDescent="0.2">
      <c r="C25" s="608" t="s">
        <v>8</v>
      </c>
      <c r="D25" s="609"/>
      <c r="E25" s="610"/>
      <c r="F25" s="611" t="s">
        <v>10</v>
      </c>
      <c r="G25" s="153"/>
    </row>
    <row r="26" spans="1:7" ht="4.5" hidden="1" customHeight="1" thickBot="1" x14ac:dyDescent="0.3">
      <c r="C26" s="1333">
        <f>+E8/F26</f>
        <v>241.94567560595789</v>
      </c>
      <c r="D26" s="1319"/>
      <c r="E26" s="610"/>
      <c r="F26" s="612">
        <f>+F13</f>
        <v>36308</v>
      </c>
      <c r="G26" s="153"/>
    </row>
    <row r="27" spans="1:7" ht="4.5" hidden="1" customHeight="1" thickBot="1" x14ac:dyDescent="0.25">
      <c r="C27" s="610"/>
      <c r="D27" s="610"/>
      <c r="E27" s="610"/>
      <c r="F27" s="610"/>
      <c r="G27" s="153"/>
    </row>
    <row r="28" spans="1:7" ht="4.5" hidden="1" customHeight="1" x14ac:dyDescent="0.2">
      <c r="C28" s="613">
        <v>0</v>
      </c>
      <c r="D28" s="614">
        <v>600</v>
      </c>
      <c r="E28" s="610"/>
      <c r="F28" s="615">
        <f>IF(C26&lt;=600,0)</f>
        <v>0</v>
      </c>
      <c r="G28" s="153" t="s">
        <v>576</v>
      </c>
    </row>
    <row r="29" spans="1:7" ht="4.5" hidden="1" customHeight="1" x14ac:dyDescent="0.25">
      <c r="C29" s="622" t="s">
        <v>581</v>
      </c>
      <c r="D29" s="623">
        <v>1000</v>
      </c>
      <c r="E29" s="610"/>
      <c r="F29" s="618" t="b">
        <f>IF(C26&gt;600,(IF(C26&lt;=1000,ROUND((((+C26-600)*10%)*F26),-3),0)),FALSE)</f>
        <v>0</v>
      </c>
      <c r="G29" s="153" t="s">
        <v>577</v>
      </c>
    </row>
    <row r="30" spans="1:7" ht="4.5" hidden="1" customHeight="1" x14ac:dyDescent="0.25">
      <c r="C30" s="616" t="s">
        <v>582</v>
      </c>
      <c r="D30" s="623">
        <v>2000</v>
      </c>
      <c r="E30" s="610"/>
      <c r="F30" s="618" t="b">
        <f>IF(C26&gt;1000,(IF(C26&lt;=2000,ROUND((((+C26-1000)*20%+40)*F26),-3),0)),FALSE)</f>
        <v>0</v>
      </c>
      <c r="G30" s="153" t="s">
        <v>578</v>
      </c>
    </row>
    <row r="31" spans="1:7" ht="4.5" hidden="1" customHeight="1" x14ac:dyDescent="0.25">
      <c r="C31" s="616" t="s">
        <v>583</v>
      </c>
      <c r="D31" s="617">
        <v>3000</v>
      </c>
      <c r="E31" s="610"/>
      <c r="F31" s="618" t="b">
        <f>IF(C26&gt;2000,(IF(C26&lt;=3000,ROUND((((+C26-2000)*30%+240)*F26),-3),0)),FALSE)</f>
        <v>0</v>
      </c>
      <c r="G31" s="153" t="s">
        <v>579</v>
      </c>
    </row>
    <row r="32" spans="1:7" ht="4.5" hidden="1" customHeight="1" x14ac:dyDescent="0.25">
      <c r="C32" s="616" t="s">
        <v>584</v>
      </c>
      <c r="D32" s="617">
        <v>4000</v>
      </c>
      <c r="E32" s="610"/>
      <c r="F32" s="618" t="b">
        <f>IF(C26&gt;3000,IF(C26&lt;=4000,ROUND((((+C26-3000)*33%+540)*F26),-3),0))</f>
        <v>0</v>
      </c>
      <c r="G32" s="153" t="s">
        <v>585</v>
      </c>
    </row>
    <row r="33" spans="3:7" ht="4.5" hidden="1" customHeight="1" thickBot="1" x14ac:dyDescent="0.3">
      <c r="C33" s="619" t="s">
        <v>586</v>
      </c>
      <c r="D33" s="620"/>
      <c r="E33" s="610"/>
      <c r="F33" s="621">
        <f>IF(C26&gt;4000,ROUND((((+C26-4000)*35%)*F26)+(870*F26),-3),0)</f>
        <v>0</v>
      </c>
      <c r="G33" s="153" t="s">
        <v>587</v>
      </c>
    </row>
    <row r="34" spans="3:7" ht="4.5" hidden="1" customHeight="1" thickBot="1" x14ac:dyDescent="0.25">
      <c r="C34" s="610"/>
      <c r="D34" s="610"/>
      <c r="E34" s="610"/>
      <c r="F34" s="610"/>
      <c r="G34" s="153"/>
    </row>
    <row r="35" spans="3:7" ht="4.5" hidden="1" customHeight="1" x14ac:dyDescent="0.2">
      <c r="C35" s="1309" t="s">
        <v>179</v>
      </c>
      <c r="D35" s="1310"/>
      <c r="E35" s="610"/>
      <c r="F35" s="610"/>
      <c r="G35" s="153"/>
    </row>
    <row r="36" spans="3:7" ht="4.5" hidden="1" customHeight="1" thickBot="1" x14ac:dyDescent="0.3">
      <c r="C36" s="1311">
        <f>IF(F28=0,F28,IF(F29&gt;0,F29,IF(F30&gt;0,F30,IF(F31&gt;0,F31,IF(F32&gt;0,F32,IF(F33&gt;0,F33))))))</f>
        <v>0</v>
      </c>
      <c r="D36" s="1312"/>
      <c r="E36" s="610"/>
      <c r="F36" s="610"/>
      <c r="G36" s="153"/>
    </row>
    <row r="37" spans="3:7" ht="4.5" customHeight="1" x14ac:dyDescent="0.2"/>
    <row r="38" spans="3:7" ht="4.5" customHeight="1" x14ac:dyDescent="0.2"/>
  </sheetData>
  <sheetProtection algorithmName="SHA-512" hashValue="y4+b5ob4fCJFDgJbqwCjSjv0Ap9p3idMdJ19qr7ivXtrhRjuXQoIKQCV7nNvk9zhU0WbjXM5APIu5QaqI9vwDQ==" saltValue="MpLAmquX4+Tj4BKJ9PeYVA==" spinCount="100000" sheet="1" objects="1" scenarios="1"/>
  <mergeCells count="24">
    <mergeCell ref="C26:D26"/>
    <mergeCell ref="C35:D35"/>
    <mergeCell ref="C36:D36"/>
    <mergeCell ref="A7:F7"/>
    <mergeCell ref="A24:D24"/>
    <mergeCell ref="E24:F24"/>
    <mergeCell ref="A8:D8"/>
    <mergeCell ref="E8:F8"/>
    <mergeCell ref="A9:D9"/>
    <mergeCell ref="E9:F9"/>
    <mergeCell ref="C22:D22"/>
    <mergeCell ref="C23:D23"/>
    <mergeCell ref="A4:D4"/>
    <mergeCell ref="E4:F4"/>
    <mergeCell ref="A1:F1"/>
    <mergeCell ref="A2:B2"/>
    <mergeCell ref="E2:F2"/>
    <mergeCell ref="A3:D3"/>
    <mergeCell ref="E3:F3"/>
    <mergeCell ref="A5:D5"/>
    <mergeCell ref="E5:F5"/>
    <mergeCell ref="A6:D6"/>
    <mergeCell ref="E6:F6"/>
    <mergeCell ref="C13:D13"/>
  </mergeCells>
  <pageMargins left="0.51181102362204722" right="0.51181102362204722" top="0.74803149606299213" bottom="0.74803149606299213" header="0.31496062992125984" footer="0.31496062992125984"/>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66"/>
  </sheetPr>
  <dimension ref="A1:AZ191"/>
  <sheetViews>
    <sheetView showGridLines="0" view="pageBreakPreview" topLeftCell="A19" zoomScaleNormal="100" zoomScaleSheetLayoutView="100" workbookViewId="0">
      <selection activeCell="F12" sqref="F12"/>
    </sheetView>
  </sheetViews>
  <sheetFormatPr baseColWidth="10" defaultRowHeight="12.75" x14ac:dyDescent="0.2"/>
  <cols>
    <col min="1" max="1" width="2.85546875" style="202" customWidth="1"/>
    <col min="2" max="2" width="2.7109375" style="202" customWidth="1"/>
    <col min="3" max="3" width="4.42578125" style="202" customWidth="1"/>
    <col min="4" max="4" width="33.140625" style="202" customWidth="1"/>
    <col min="5" max="5" width="4" style="856" customWidth="1"/>
    <col min="6" max="6" width="17.42578125" style="202" customWidth="1"/>
    <col min="7" max="7" width="5.7109375" style="202" customWidth="1"/>
    <col min="8" max="8" width="4.42578125" style="202" customWidth="1"/>
    <col min="9" max="9" width="30.42578125" style="202" customWidth="1"/>
    <col min="10" max="10" width="4.28515625" style="856" customWidth="1"/>
    <col min="11" max="11" width="14.85546875" style="202" customWidth="1"/>
    <col min="12" max="12" width="12.28515625" style="262" hidden="1" customWidth="1"/>
    <col min="13" max="13" width="30.28515625" style="202" hidden="1" customWidth="1"/>
    <col min="14" max="14" width="11.28515625" style="202" hidden="1" customWidth="1"/>
    <col min="15" max="15" width="0.140625" style="202" hidden="1" customWidth="1"/>
    <col min="16" max="16" width="12.5703125" style="202" hidden="1" customWidth="1"/>
    <col min="17" max="17" width="63.7109375" style="202" hidden="1" customWidth="1"/>
    <col min="18" max="18" width="13.42578125" style="202" hidden="1" customWidth="1"/>
    <col min="19" max="19" width="0.140625" style="202" hidden="1" customWidth="1"/>
    <col min="20" max="20" width="12.28515625" style="202" hidden="1" customWidth="1"/>
    <col min="21" max="26" width="0.140625" style="202" hidden="1" customWidth="1"/>
    <col min="27" max="27" width="14.5703125" style="202" hidden="1" customWidth="1"/>
    <col min="28" max="28" width="17.7109375" style="202" hidden="1" customWidth="1"/>
    <col min="29" max="29" width="12.28515625" style="202" hidden="1" customWidth="1"/>
    <col min="30" max="30" width="11.28515625" style="202" hidden="1" customWidth="1"/>
    <col min="31" max="34" width="11.42578125" style="202" hidden="1" customWidth="1"/>
    <col min="35" max="35" width="5.140625" style="202" hidden="1" customWidth="1"/>
    <col min="36" max="36" width="11.42578125" style="202" hidden="1" customWidth="1"/>
    <col min="37" max="38" width="0" style="202" hidden="1" customWidth="1"/>
    <col min="39" max="48" width="11.42578125" style="202" hidden="1" customWidth="1"/>
    <col min="49" max="49" width="1.7109375" style="202" hidden="1" customWidth="1"/>
    <col min="50" max="52" width="11.42578125" style="202" hidden="1" customWidth="1"/>
    <col min="53" max="53" width="0" style="202" hidden="1" customWidth="1"/>
    <col min="54" max="16384" width="11.42578125" style="202"/>
  </cols>
  <sheetData>
    <row r="1" spans="1:30" ht="16.5" customHeight="1" x14ac:dyDescent="0.25">
      <c r="B1" s="1276" t="str">
        <f>+'DATOS PARA DEPURAR'!C7</f>
        <v>OJEDA RIOJAS DAVID MATEO</v>
      </c>
      <c r="C1" s="1276"/>
      <c r="D1" s="1276"/>
      <c r="E1" s="1276"/>
      <c r="F1" s="1276"/>
      <c r="G1" s="1276"/>
      <c r="H1" s="1334" t="s">
        <v>372</v>
      </c>
      <c r="I1" s="1334"/>
      <c r="J1" s="1334"/>
      <c r="K1" s="1334"/>
      <c r="Q1" s="664" t="s">
        <v>410</v>
      </c>
      <c r="R1" s="664"/>
      <c r="S1" s="664"/>
      <c r="T1" s="664"/>
      <c r="U1" s="664"/>
      <c r="V1" s="664"/>
      <c r="W1" s="664"/>
      <c r="X1" s="664"/>
      <c r="Y1" s="664"/>
      <c r="Z1" s="664"/>
      <c r="AA1" s="664"/>
      <c r="AB1" s="664"/>
      <c r="AC1" s="664"/>
      <c r="AD1" s="664"/>
    </row>
    <row r="2" spans="1:30" ht="15.75" customHeight="1" x14ac:dyDescent="0.2">
      <c r="B2" s="1277">
        <f>+'DATOS PARA DEPURAR'!E7</f>
        <v>18927495</v>
      </c>
      <c r="C2" s="1277"/>
      <c r="D2" s="1277"/>
      <c r="E2" s="1277"/>
      <c r="F2" s="1277"/>
      <c r="G2" s="1277"/>
      <c r="H2" s="1334"/>
      <c r="I2" s="1334"/>
      <c r="J2" s="1334"/>
      <c r="K2" s="1334"/>
      <c r="Q2" s="664" t="s">
        <v>411</v>
      </c>
      <c r="R2" s="665">
        <f>+K35</f>
        <v>7586000</v>
      </c>
      <c r="S2" s="664"/>
      <c r="T2" s="666">
        <f>MIN(R2:R3)</f>
        <v>7586000</v>
      </c>
      <c r="U2" s="664"/>
      <c r="V2" s="664"/>
      <c r="W2" s="664"/>
      <c r="X2" s="664"/>
      <c r="Y2" s="664"/>
      <c r="Z2" s="664"/>
      <c r="AA2" s="664"/>
      <c r="AB2" s="665">
        <f>IF(K35&gt;(0),K35*5%*'DATOS PARA DEPURAR'!E11,0)</f>
        <v>379300</v>
      </c>
      <c r="AC2" s="666"/>
      <c r="AD2" s="666">
        <f>MIN(AB2:AB3)</f>
        <v>379300</v>
      </c>
    </row>
    <row r="3" spans="1:30" ht="9.75" customHeight="1" thickBot="1" x14ac:dyDescent="0.25">
      <c r="B3" s="1335"/>
      <c r="C3" s="1335"/>
      <c r="D3" s="1335"/>
      <c r="E3" s="1335"/>
      <c r="F3" s="1335"/>
      <c r="G3" s="1335"/>
      <c r="H3" s="1335"/>
      <c r="I3" s="1335"/>
      <c r="J3" s="1335"/>
      <c r="K3" s="1335"/>
      <c r="Q3" s="664" t="s">
        <v>24</v>
      </c>
      <c r="R3" s="667">
        <f>+K35</f>
        <v>7586000</v>
      </c>
      <c r="S3" s="664"/>
      <c r="T3" s="664"/>
      <c r="U3" s="664"/>
      <c r="V3" s="664"/>
      <c r="W3" s="664"/>
      <c r="X3" s="664"/>
      <c r="Y3" s="664"/>
      <c r="Z3" s="664"/>
      <c r="AA3" s="664"/>
      <c r="AB3" s="667">
        <f>+K35</f>
        <v>7586000</v>
      </c>
      <c r="AC3" s="664"/>
      <c r="AD3" s="666">
        <f>MIN(AB5:AB7)</f>
        <v>0</v>
      </c>
    </row>
    <row r="4" spans="1:30" ht="18.75" customHeight="1" thickBot="1" x14ac:dyDescent="0.25">
      <c r="A4" s="1336" t="s">
        <v>113</v>
      </c>
      <c r="B4" s="1340" t="s">
        <v>110</v>
      </c>
      <c r="C4" s="1341"/>
      <c r="D4" s="1342"/>
      <c r="E4" s="876">
        <v>28</v>
      </c>
      <c r="F4" s="877">
        <f>+'PATRIMONIO BRUTO'!F91</f>
        <v>32262993</v>
      </c>
      <c r="G4" s="1348" t="s">
        <v>595</v>
      </c>
      <c r="H4" s="1349"/>
      <c r="I4" s="1349"/>
      <c r="J4" s="981">
        <f>+E44+1</f>
        <v>68</v>
      </c>
      <c r="K4" s="982">
        <f>IF(('DATOS PARA DEPURAR'!E21=1),0,D85)</f>
        <v>1464093.9316501869</v>
      </c>
      <c r="P4" s="660">
        <f>+F7+K5+F14+F26+K10</f>
        <v>115714603</v>
      </c>
      <c r="Q4" s="664" t="s">
        <v>412</v>
      </c>
      <c r="R4" s="668">
        <f>IF((F7+K5+F14+F26+K10)&gt;0,(F7+K5+F14+F26+K10)*0.5%)</f>
        <v>578573.01500000001</v>
      </c>
      <c r="S4" s="664"/>
      <c r="T4" s="666">
        <f>MIN(R4:R7)</f>
        <v>0</v>
      </c>
      <c r="U4" s="664"/>
      <c r="V4" s="664"/>
      <c r="W4" s="664"/>
      <c r="X4" s="664"/>
      <c r="Y4" s="664"/>
      <c r="Z4" s="664"/>
      <c r="AA4" s="664"/>
      <c r="AB4" s="665">
        <f>IF(K33=0,K6*0.5%*'DATOS PARA DEPURAR'!E11,0)</f>
        <v>0</v>
      </c>
      <c r="AC4" s="664">
        <f>MIN(N4:N6)</f>
        <v>0</v>
      </c>
      <c r="AD4" s="666">
        <f>IF(AB4&gt;AD3,AB4,AD3)</f>
        <v>0</v>
      </c>
    </row>
    <row r="5" spans="1:30" ht="24.75" customHeight="1" x14ac:dyDescent="0.2">
      <c r="A5" s="1337"/>
      <c r="B5" s="1343" t="s">
        <v>111</v>
      </c>
      <c r="C5" s="1266"/>
      <c r="D5" s="1344"/>
      <c r="E5" s="867">
        <f>+E4+1</f>
        <v>29</v>
      </c>
      <c r="F5" s="868">
        <f>+'PATRIMONIO BRUTO'!F133</f>
        <v>0</v>
      </c>
      <c r="G5" s="1417" t="s">
        <v>678</v>
      </c>
      <c r="H5" s="1339" t="s">
        <v>514</v>
      </c>
      <c r="I5" s="1339"/>
      <c r="J5" s="892">
        <f t="shared" ref="J5:J16" si="0">+J4+1</f>
        <v>69</v>
      </c>
      <c r="K5" s="864">
        <f>+'RENTA CEDULAR PENSION'!F4</f>
        <v>0</v>
      </c>
      <c r="Q5" s="664" t="s">
        <v>413</v>
      </c>
      <c r="R5" s="668">
        <f>IF((F7+K5+F14+F26+K10)&gt;0,(F7+K5+F14+F26+K10)*5%)</f>
        <v>5785730.1500000004</v>
      </c>
      <c r="S5" s="664"/>
      <c r="T5" s="664"/>
      <c r="U5" s="664"/>
      <c r="V5" s="664"/>
      <c r="W5" s="664"/>
      <c r="X5" s="664"/>
      <c r="Y5" s="664"/>
      <c r="Z5" s="664"/>
      <c r="AA5" s="664"/>
      <c r="AB5" s="665">
        <f>IF(K33=0,K6*5%,0)</f>
        <v>0</v>
      </c>
      <c r="AC5" s="664"/>
      <c r="AD5" s="664"/>
    </row>
    <row r="6" spans="1:30" ht="19.5" customHeight="1" thickBot="1" x14ac:dyDescent="0.25">
      <c r="A6" s="1338"/>
      <c r="B6" s="1345" t="s">
        <v>112</v>
      </c>
      <c r="C6" s="1346"/>
      <c r="D6" s="1347"/>
      <c r="E6" s="880">
        <f t="shared" ref="E6:E13" si="1">+E5+1</f>
        <v>30</v>
      </c>
      <c r="F6" s="881">
        <f>IF((F4-F5)&gt;0,(F4-F5),0)</f>
        <v>32262993</v>
      </c>
      <c r="G6" s="1418"/>
      <c r="H6" s="873" t="s">
        <v>488</v>
      </c>
      <c r="I6" s="873"/>
      <c r="J6" s="874">
        <f t="shared" si="0"/>
        <v>70</v>
      </c>
      <c r="K6" s="875">
        <f>+'RENTA CEDULAR PENSION'!F7</f>
        <v>0</v>
      </c>
      <c r="L6" s="262">
        <f>IF((K11)&gt;0,('DATOS PARA DEPURAR'!E205),0)</f>
        <v>0</v>
      </c>
      <c r="Q6" s="664" t="s">
        <v>414</v>
      </c>
      <c r="R6" s="664">
        <f>IF(K35=0,T6*2,0)</f>
        <v>0</v>
      </c>
      <c r="S6" s="664"/>
      <c r="T6" s="667">
        <f>IF((K36+K37+K38-K35-K39-K41)&gt;0,K36+K37+K38-K35-K39-K41,0)</f>
        <v>5949960</v>
      </c>
      <c r="U6" s="664"/>
      <c r="V6" s="664"/>
      <c r="W6" s="664"/>
      <c r="X6" s="664"/>
      <c r="Y6" s="664"/>
      <c r="Z6" s="664"/>
      <c r="AA6" s="664"/>
      <c r="AB6" s="665">
        <f>IF(K33=0,IF(K6&gt;0,AC6*2,0))</f>
        <v>0</v>
      </c>
      <c r="AC6" s="665">
        <f>-K33+K34+K35+K36-K37</f>
        <v>9406000</v>
      </c>
      <c r="AD6" s="665"/>
    </row>
    <row r="7" spans="1:30" ht="22.5" customHeight="1" x14ac:dyDescent="0.2">
      <c r="A7" s="1415" t="s">
        <v>693</v>
      </c>
      <c r="B7" s="1410" t="s">
        <v>510</v>
      </c>
      <c r="C7" s="1381" t="s">
        <v>486</v>
      </c>
      <c r="D7" s="1381"/>
      <c r="E7" s="863">
        <f>+E6+1</f>
        <v>31</v>
      </c>
      <c r="F7" s="864">
        <f>+'RENTA GENERAL LABORAL'!F4</f>
        <v>115714603</v>
      </c>
      <c r="G7" s="1418"/>
      <c r="H7" s="865" t="s">
        <v>716</v>
      </c>
      <c r="I7" s="866"/>
      <c r="J7" s="867">
        <f t="shared" si="0"/>
        <v>71</v>
      </c>
      <c r="K7" s="868">
        <f>+'RENTA CEDULAR PENSION'!F10</f>
        <v>0</v>
      </c>
      <c r="Q7" s="664" t="s">
        <v>415</v>
      </c>
      <c r="R7" s="668">
        <f>2500*'DATOS PARA DEPURAR'!C23</f>
        <v>90770000</v>
      </c>
      <c r="S7" s="664"/>
      <c r="T7" s="664"/>
      <c r="U7" s="664"/>
      <c r="V7" s="664"/>
      <c r="W7" s="664"/>
      <c r="X7" s="664"/>
      <c r="Y7" s="664"/>
      <c r="Z7" s="664"/>
      <c r="AA7" s="664"/>
      <c r="AB7" s="665">
        <f>IF(K33=0,IF(K6&gt;0,2500*'DATOS PARA DEPURAR'!C23,0))</f>
        <v>0</v>
      </c>
      <c r="AC7" s="665"/>
      <c r="AD7" s="665">
        <f>MIN(AB9:AB11)</f>
        <v>0</v>
      </c>
    </row>
    <row r="8" spans="1:30" ht="21" customHeight="1" x14ac:dyDescent="0.2">
      <c r="A8" s="1415"/>
      <c r="B8" s="1411"/>
      <c r="C8" s="1358" t="s">
        <v>675</v>
      </c>
      <c r="D8" s="1358"/>
      <c r="E8" s="874">
        <f t="shared" si="1"/>
        <v>32</v>
      </c>
      <c r="F8" s="875">
        <f>+'RENTA GENERAL LABORAL'!F23</f>
        <v>11213070</v>
      </c>
      <c r="G8" s="1418"/>
      <c r="H8" s="1350" t="s">
        <v>492</v>
      </c>
      <c r="I8" s="1351"/>
      <c r="J8" s="874">
        <f t="shared" si="0"/>
        <v>72</v>
      </c>
      <c r="K8" s="875">
        <f>+'RENTA CEDULAR PENSION'!F11</f>
        <v>0</v>
      </c>
      <c r="Q8" s="669" t="s">
        <v>395</v>
      </c>
      <c r="R8" s="670"/>
      <c r="S8" s="671"/>
      <c r="T8" s="671"/>
      <c r="U8" s="671"/>
      <c r="V8" s="671"/>
      <c r="W8" s="671"/>
      <c r="X8" s="671"/>
      <c r="Y8" s="671"/>
      <c r="Z8" s="671"/>
      <c r="AA8" s="671"/>
      <c r="AB8" s="672" t="b">
        <f>IF(K35=0,IF((P4)&lt;0,'DATOS PARA DEPURAR'!E19*1%*'DATOS PARA DEPURAR'!E11,0))</f>
        <v>0</v>
      </c>
      <c r="AC8" s="672"/>
      <c r="AD8" s="672" t="b">
        <f>IF(AB8&gt;AD7,AB8,AD7)</f>
        <v>0</v>
      </c>
    </row>
    <row r="9" spans="1:30" ht="20.25" customHeight="1" thickBot="1" x14ac:dyDescent="0.25">
      <c r="A9" s="1415"/>
      <c r="B9" s="1411"/>
      <c r="C9" s="1416" t="s">
        <v>676</v>
      </c>
      <c r="D9" s="1416"/>
      <c r="E9" s="867">
        <f>+E8+1</f>
        <v>33</v>
      </c>
      <c r="F9" s="891">
        <v>0</v>
      </c>
      <c r="G9" s="1419"/>
      <c r="H9" s="869" t="s">
        <v>717</v>
      </c>
      <c r="I9" s="870"/>
      <c r="J9" s="871">
        <f t="shared" si="0"/>
        <v>73</v>
      </c>
      <c r="K9" s="872">
        <f>+'RENTA CEDULAR PENSION'!F21</f>
        <v>0</v>
      </c>
      <c r="Q9" s="669" t="s">
        <v>413</v>
      </c>
      <c r="R9" s="671"/>
      <c r="S9" s="671"/>
      <c r="T9" s="671"/>
      <c r="U9" s="671"/>
      <c r="V9" s="671"/>
      <c r="W9" s="671"/>
      <c r="X9" s="671"/>
      <c r="Y9" s="671"/>
      <c r="Z9" s="671"/>
      <c r="AA9" s="671"/>
      <c r="AB9" s="672">
        <f>IF(K33=0,IF(P4=0,'DATOS PARA DEPURAR'!E19*10%,0))</f>
        <v>0</v>
      </c>
      <c r="AC9" s="672"/>
      <c r="AD9" s="672"/>
    </row>
    <row r="10" spans="1:30" ht="24" customHeight="1" x14ac:dyDescent="0.2">
      <c r="A10" s="1415"/>
      <c r="B10" s="1411"/>
      <c r="C10" s="1420" t="s">
        <v>677</v>
      </c>
      <c r="D10" s="1421"/>
      <c r="E10" s="874">
        <f>+E9+1</f>
        <v>34</v>
      </c>
      <c r="F10" s="875">
        <f>+'RENTA GENERAL LABORAL'!F28</f>
        <v>104501533</v>
      </c>
      <c r="G10" s="1363" t="s">
        <v>679</v>
      </c>
      <c r="H10" s="1357" t="s">
        <v>597</v>
      </c>
      <c r="I10" s="1357"/>
      <c r="J10" s="876">
        <f>+J9+1</f>
        <v>74</v>
      </c>
      <c r="K10" s="877">
        <f>+'RENTA CEDULAR DIVIDENDOS'!F4</f>
        <v>0</v>
      </c>
      <c r="L10" s="271"/>
      <c r="Q10" s="669" t="s">
        <v>414</v>
      </c>
      <c r="R10" s="671"/>
      <c r="S10" s="671"/>
      <c r="T10" s="671"/>
      <c r="U10" s="671"/>
      <c r="V10" s="671"/>
      <c r="W10" s="671"/>
      <c r="X10" s="671"/>
      <c r="Y10" s="671"/>
      <c r="Z10" s="671"/>
      <c r="AA10" s="671"/>
      <c r="AB10" s="672">
        <f>IF(K33=0,IF(P4=0,AC10*2,0))</f>
        <v>0</v>
      </c>
      <c r="AC10" s="672">
        <f>IF((K36+K37+K38-K35-K39-K41)&gt;0,K36+K37+K38-K35-K39-K41,0)</f>
        <v>5949960</v>
      </c>
      <c r="AD10" s="672"/>
    </row>
    <row r="11" spans="1:30" ht="19.5" customHeight="1" x14ac:dyDescent="0.2">
      <c r="A11" s="1415"/>
      <c r="B11" s="1411"/>
      <c r="C11" s="1422" t="s">
        <v>492</v>
      </c>
      <c r="D11" s="1422"/>
      <c r="E11" s="892">
        <f t="shared" si="1"/>
        <v>35</v>
      </c>
      <c r="F11" s="891">
        <f>+'RENTA GENERAL LABORAL'!F29</f>
        <v>33347029</v>
      </c>
      <c r="G11" s="1364"/>
      <c r="H11" s="878" t="s">
        <v>488</v>
      </c>
      <c r="I11" s="878"/>
      <c r="J11" s="867">
        <f t="shared" si="0"/>
        <v>75</v>
      </c>
      <c r="K11" s="868">
        <f>+'RENTA CEDULAR DIVIDENDOS'!F7</f>
        <v>0</v>
      </c>
      <c r="L11" s="271"/>
      <c r="M11" s="272" t="s">
        <v>331</v>
      </c>
      <c r="N11" s="272" t="s">
        <v>332</v>
      </c>
      <c r="Q11" s="669" t="s">
        <v>415</v>
      </c>
      <c r="R11" s="671"/>
      <c r="S11" s="671"/>
      <c r="T11" s="671"/>
      <c r="U11" s="671"/>
      <c r="V11" s="671"/>
      <c r="W11" s="671"/>
      <c r="X11" s="671"/>
      <c r="Y11" s="671"/>
      <c r="Z11" s="671"/>
      <c r="AA11" s="671"/>
      <c r="AB11" s="672">
        <f>IF(K33=0,IF(P4=0,2500*'DATOS PARA DEPURAR'!C23,0))</f>
        <v>0</v>
      </c>
      <c r="AC11" s="672"/>
      <c r="AD11" s="672"/>
    </row>
    <row r="12" spans="1:30" ht="22.5" customHeight="1" x14ac:dyDescent="0.2">
      <c r="A12" s="1415"/>
      <c r="B12" s="1411"/>
      <c r="C12" s="1367" t="s">
        <v>506</v>
      </c>
      <c r="D12" s="1367"/>
      <c r="E12" s="874">
        <f t="shared" si="1"/>
        <v>36</v>
      </c>
      <c r="F12" s="875">
        <f>+'RENTA GENERAL LABORAL'!F49</f>
        <v>33347029</v>
      </c>
      <c r="G12" s="1364"/>
      <c r="H12" s="879" t="s">
        <v>598</v>
      </c>
      <c r="I12" s="879"/>
      <c r="J12" s="874">
        <f t="shared" si="0"/>
        <v>76</v>
      </c>
      <c r="K12" s="875">
        <f>+'RENTA CEDULAR DIVIDENDOS'!F10</f>
        <v>0</v>
      </c>
      <c r="L12" s="271"/>
      <c r="M12" s="202">
        <f>IF(('DATOS PARA DEPURAR'!D60)="S",'DATOS PARA DEPURAR'!E60,0)</f>
        <v>0</v>
      </c>
      <c r="N12" s="202">
        <f>IF(('DATOS PARA DEPURAR'!D60)="N",'DATOS PARA DEPURAR'!E60,0)</f>
        <v>0</v>
      </c>
      <c r="Q12" s="671"/>
      <c r="R12" s="671"/>
      <c r="S12" s="671"/>
      <c r="T12" s="671"/>
      <c r="U12" s="671"/>
      <c r="V12" s="671"/>
      <c r="W12" s="671"/>
      <c r="X12" s="671"/>
      <c r="Y12" s="671"/>
      <c r="Z12" s="671"/>
      <c r="AA12" s="671"/>
      <c r="AB12" s="673" t="s">
        <v>423</v>
      </c>
      <c r="AC12" s="673">
        <f>10*'DATOS PARA DEPURAR'!E24</f>
        <v>380040</v>
      </c>
      <c r="AD12" s="674">
        <f>+AC12</f>
        <v>380040</v>
      </c>
    </row>
    <row r="13" spans="1:30" ht="23.25" customHeight="1" thickBot="1" x14ac:dyDescent="0.25">
      <c r="A13" s="1415"/>
      <c r="B13" s="1412"/>
      <c r="C13" s="1368" t="s">
        <v>507</v>
      </c>
      <c r="D13" s="1369"/>
      <c r="E13" s="893">
        <f t="shared" si="1"/>
        <v>37</v>
      </c>
      <c r="F13" s="894">
        <f>+'RENTA GENERAL LABORAL'!F53</f>
        <v>71154504</v>
      </c>
      <c r="G13" s="1364"/>
      <c r="H13" s="1370" t="s">
        <v>599</v>
      </c>
      <c r="I13" s="1370"/>
      <c r="J13" s="867">
        <f t="shared" si="0"/>
        <v>77</v>
      </c>
      <c r="K13" s="868">
        <f>+'RENTA CEDULAR DIVIDENDOS'!F11</f>
        <v>20000000</v>
      </c>
      <c r="L13" s="271"/>
      <c r="M13" s="202">
        <f>IF(('DATOS PARA DEPURAR'!D62)="S",'DATOS PARA DEPURAR'!E62,0)</f>
        <v>0</v>
      </c>
      <c r="N13" s="202">
        <f>IF(('DATOS PARA DEPURAR'!D62)="N",'DATOS PARA DEPURAR'!E62,0)</f>
        <v>0</v>
      </c>
      <c r="Q13" s="671"/>
      <c r="R13" s="671"/>
      <c r="S13" s="671"/>
      <c r="T13" s="671"/>
      <c r="U13" s="671"/>
      <c r="V13" s="671"/>
      <c r="W13" s="671"/>
      <c r="X13" s="671"/>
      <c r="Y13" s="671"/>
      <c r="Z13" s="671"/>
      <c r="AA13" s="671"/>
      <c r="AB13" s="671"/>
      <c r="AC13" s="671"/>
      <c r="AD13" s="672">
        <f>MAX(AD2:AD12)</f>
        <v>380040</v>
      </c>
    </row>
    <row r="14" spans="1:30" ht="21.75" customHeight="1" x14ac:dyDescent="0.2">
      <c r="A14" s="1415"/>
      <c r="B14" s="1378" t="s">
        <v>529</v>
      </c>
      <c r="C14" s="886" t="s">
        <v>522</v>
      </c>
      <c r="D14" s="887"/>
      <c r="E14" s="876">
        <f>+E13+1</f>
        <v>38</v>
      </c>
      <c r="F14" s="888">
        <f>+'RENTA GENERAL CAPITAL'!F4</f>
        <v>0</v>
      </c>
      <c r="G14" s="1365"/>
      <c r="H14" s="1358" t="s">
        <v>600</v>
      </c>
      <c r="I14" s="1358"/>
      <c r="J14" s="874">
        <f t="shared" si="0"/>
        <v>78</v>
      </c>
      <c r="K14" s="875">
        <f>+'RENTA CEDULAR DIVIDENDOS'!F12</f>
        <v>0</v>
      </c>
      <c r="L14" s="271">
        <f>IF(('DATOS PARA DEPURAR'!E215)&lt;=M17,('DATOS PARA DEPURAR'!E215),M17)</f>
        <v>0</v>
      </c>
      <c r="M14" s="272" t="s">
        <v>365</v>
      </c>
      <c r="Q14" s="671"/>
      <c r="R14" s="671"/>
      <c r="S14" s="671"/>
      <c r="T14" s="671"/>
      <c r="U14" s="671"/>
      <c r="V14" s="671"/>
      <c r="W14" s="671"/>
      <c r="X14" s="671"/>
      <c r="Y14" s="671"/>
      <c r="Z14" s="671"/>
      <c r="AA14" s="671"/>
      <c r="AB14" s="671"/>
      <c r="AC14" s="671"/>
      <c r="AD14" s="671">
        <f>IF('DATOS PARA DEPURAR'!C11="EXTEMPORANEA",'FORMULARIO 2019 RENTA CEDULA'!AD13,0)</f>
        <v>380040</v>
      </c>
    </row>
    <row r="15" spans="1:30" ht="24" customHeight="1" x14ac:dyDescent="0.2">
      <c r="A15" s="1415"/>
      <c r="B15" s="1379"/>
      <c r="C15" s="859" t="s">
        <v>488</v>
      </c>
      <c r="D15" s="860"/>
      <c r="E15" s="867">
        <f>+E14+1</f>
        <v>39</v>
      </c>
      <c r="F15" s="889">
        <f>+'RENTA GENERAL CAPITAL'!F8</f>
        <v>0</v>
      </c>
      <c r="G15" s="1365"/>
      <c r="H15" s="1362" t="s">
        <v>601</v>
      </c>
      <c r="I15" s="1362"/>
      <c r="J15" s="867">
        <f t="shared" si="0"/>
        <v>79</v>
      </c>
      <c r="K15" s="868">
        <f>+'RENTA CEDULAR DIVIDENDOS'!F13</f>
        <v>0</v>
      </c>
      <c r="L15" s="274"/>
      <c r="M15" s="275">
        <f>2300*'DATOS PARA DEPURAR'!C23</f>
        <v>83508400</v>
      </c>
      <c r="N15" s="272" t="s">
        <v>366</v>
      </c>
      <c r="Q15" s="272" t="s">
        <v>429</v>
      </c>
      <c r="R15" s="331" t="s">
        <v>455</v>
      </c>
      <c r="T15" s="202">
        <f>IF(K34+K35+K36-K33-K37&gt;0,K34+K35+K36-K33-K37,0)</f>
        <v>9406000</v>
      </c>
      <c r="AA15" s="461" t="s">
        <v>454</v>
      </c>
    </row>
    <row r="16" spans="1:30" ht="17.25" customHeight="1" thickBot="1" x14ac:dyDescent="0.25">
      <c r="A16" s="1415"/>
      <c r="B16" s="1379"/>
      <c r="C16" s="884" t="s">
        <v>681</v>
      </c>
      <c r="D16" s="885"/>
      <c r="E16" s="874">
        <f>+E15+1</f>
        <v>40</v>
      </c>
      <c r="F16" s="890">
        <f>+'RENTA GENERAL CAPITAL'!F12</f>
        <v>0</v>
      </c>
      <c r="G16" s="1366"/>
      <c r="H16" s="1356" t="s">
        <v>680</v>
      </c>
      <c r="I16" s="1356"/>
      <c r="J16" s="880">
        <f t="shared" si="0"/>
        <v>80</v>
      </c>
      <c r="K16" s="881">
        <f>+'RENTA CEDULAR DIVIDENDOS'!F14</f>
        <v>0</v>
      </c>
      <c r="L16" s="274"/>
      <c r="M16" s="275">
        <f>+K6*60%</f>
        <v>0</v>
      </c>
      <c r="N16" s="272" t="s">
        <v>367</v>
      </c>
      <c r="R16" s="272">
        <f>IF(T15&gt;0,T15,0)</f>
        <v>9406000</v>
      </c>
      <c r="AA16" s="202">
        <f>IF(K38&gt;0,K38,0)</f>
        <v>12096000</v>
      </c>
    </row>
    <row r="17" spans="1:28" ht="18" customHeight="1" thickBot="1" x14ac:dyDescent="0.25">
      <c r="A17" s="1415"/>
      <c r="B17" s="1379"/>
      <c r="C17" s="642" t="s">
        <v>605</v>
      </c>
      <c r="D17" s="643"/>
      <c r="E17" s="643"/>
      <c r="F17" s="643"/>
      <c r="G17" s="882"/>
      <c r="H17" s="883"/>
      <c r="I17" s="642" t="s">
        <v>604</v>
      </c>
      <c r="J17" s="643"/>
      <c r="K17" s="644"/>
      <c r="L17" s="274"/>
      <c r="M17" s="278">
        <f>MIN(M15:M16)</f>
        <v>0</v>
      </c>
      <c r="Q17" s="331" t="s">
        <v>430</v>
      </c>
      <c r="R17" s="202">
        <f>IF((('DATOS PARA DEPURAR'!C14)*(-1)-R16)&gt;0,(('DATOS PARA DEPURAR'!C14)*(-1)-R16)*10%,0)</f>
        <v>0</v>
      </c>
      <c r="AA17" s="202">
        <f>IF((AA16-'DATOS PARA DEPURAR'!C14)&gt;0,(AA16-'DATOS PARA DEPURAR'!C14)*10%,0)</f>
        <v>1256100</v>
      </c>
    </row>
    <row r="18" spans="1:28" ht="23.25" customHeight="1" x14ac:dyDescent="0.2">
      <c r="A18" s="1415"/>
      <c r="B18" s="1379"/>
      <c r="C18" s="861" t="s">
        <v>719</v>
      </c>
      <c r="D18" s="861"/>
      <c r="E18" s="867">
        <f>+E16+1</f>
        <v>41</v>
      </c>
      <c r="F18" s="889">
        <f>+'RENTA GENERAL CAPITAL'!F26</f>
        <v>0</v>
      </c>
      <c r="G18" s="1413" t="s">
        <v>72</v>
      </c>
      <c r="H18" s="1353" t="s">
        <v>592</v>
      </c>
      <c r="I18" s="1353"/>
      <c r="J18" s="876">
        <f>+J16+1</f>
        <v>81</v>
      </c>
      <c r="K18" s="877">
        <f>+'DEPURACION POR IMAS EMPLEADO'!I37+'DEPURACION POR IMAS EMPLEADO'!J30+'DEPURACION POR IMAS EMPLEADO'!I39+IF(('DATOS PARA DEPURAR'!D94="s"),'DATOS PARA DEPURAR'!E94,0)</f>
        <v>0</v>
      </c>
      <c r="L18" s="274"/>
      <c r="R18" s="329">
        <f>+AD12</f>
        <v>380040</v>
      </c>
      <c r="AA18" s="329">
        <f>+AD12</f>
        <v>380040</v>
      </c>
    </row>
    <row r="19" spans="1:28" ht="20.25" customHeight="1" x14ac:dyDescent="0.2">
      <c r="A19" s="1415"/>
      <c r="B19" s="1379"/>
      <c r="C19" s="884" t="s">
        <v>547</v>
      </c>
      <c r="D19" s="884"/>
      <c r="E19" s="874">
        <f t="shared" ref="E19:E38" si="2">+E18+1</f>
        <v>42</v>
      </c>
      <c r="F19" s="890">
        <f>+'RENTA GENERAL CAPITAL'!F28</f>
        <v>0</v>
      </c>
      <c r="G19" s="1413"/>
      <c r="H19" s="1354" t="s">
        <v>93</v>
      </c>
      <c r="I19" s="1354"/>
      <c r="J19" s="867">
        <f t="shared" ref="J19:J24" si="3">+J18+1</f>
        <v>82</v>
      </c>
      <c r="K19" s="868">
        <f>SUM('DEPURACION POR IMAS EMPLEADO'!I40:I41)+L6</f>
        <v>0</v>
      </c>
      <c r="L19" s="281"/>
      <c r="M19" s="358">
        <f>384*'DATOS PARA DEPURAR'!C23</f>
        <v>13942272</v>
      </c>
      <c r="R19" s="202">
        <f>MAX(R17:R18)</f>
        <v>380040</v>
      </c>
      <c r="AA19" s="404">
        <f>MAX(AA17:AA18)</f>
        <v>1256100</v>
      </c>
      <c r="AB19" s="202">
        <f>IF('DATOS PARA DEPURAR'!C13="S",'FORMULARIO 2019 RENTA CEDULA'!AB23,0)</f>
        <v>0</v>
      </c>
    </row>
    <row r="20" spans="1:28" ht="21.75" customHeight="1" x14ac:dyDescent="0.2">
      <c r="A20" s="1415"/>
      <c r="B20" s="1379"/>
      <c r="C20" s="1414" t="s">
        <v>492</v>
      </c>
      <c r="D20" s="1414"/>
      <c r="E20" s="867">
        <f t="shared" si="2"/>
        <v>43</v>
      </c>
      <c r="F20" s="889">
        <f>+'RENTA GENERAL CAPITAL'!F30</f>
        <v>0</v>
      </c>
      <c r="G20" s="1413"/>
      <c r="H20" s="1355" t="s">
        <v>94</v>
      </c>
      <c r="I20" s="1355"/>
      <c r="J20" s="874">
        <f t="shared" si="3"/>
        <v>83</v>
      </c>
      <c r="K20" s="875">
        <f>'DEPURACION POR IMAS EMPLEADO'!I42</f>
        <v>0</v>
      </c>
      <c r="L20" s="281"/>
      <c r="M20" s="352">
        <f>IF('DATOS PARA DEPURAR'!E222="S",(F7+N20)*10%,0)</f>
        <v>0</v>
      </c>
      <c r="N20" s="202">
        <f>IF('DATOS PARA DEPURAR'!E103="S",SUM('DATOS PARA DEPURAR'!E50:E53),0)</f>
        <v>0</v>
      </c>
      <c r="Q20" s="331" t="s">
        <v>431</v>
      </c>
      <c r="R20" s="202">
        <f>IF('DATOS PARA DEPURAR'!E14="S",'FORMULARIO 2019 RENTA CEDULA'!R17*2,0)</f>
        <v>0</v>
      </c>
      <c r="AA20" s="202">
        <f>IF('DATOS PARA DEPURAR'!E14="S",'FORMULARIO 2019 RENTA CEDULA'!AA17*2,0)</f>
        <v>0</v>
      </c>
    </row>
    <row r="21" spans="1:28" ht="13.5" customHeight="1" thickBot="1" x14ac:dyDescent="0.25">
      <c r="A21" s="1415"/>
      <c r="B21" s="1379"/>
      <c r="C21" s="1396" t="s">
        <v>506</v>
      </c>
      <c r="D21" s="1396"/>
      <c r="E21" s="874">
        <f t="shared" si="2"/>
        <v>44</v>
      </c>
      <c r="F21" s="890">
        <f>+'RENTA GENERAL CAPITAL'!F40</f>
        <v>0</v>
      </c>
      <c r="G21" s="1413"/>
      <c r="H21" s="1352" t="s">
        <v>95</v>
      </c>
      <c r="I21" s="1352"/>
      <c r="J21" s="871">
        <f t="shared" si="3"/>
        <v>84</v>
      </c>
      <c r="K21" s="872">
        <f>+K18-K19-K20</f>
        <v>0</v>
      </c>
      <c r="L21" s="281"/>
      <c r="M21" s="359">
        <f>MIN(M19:M20)</f>
        <v>0</v>
      </c>
      <c r="R21" s="329">
        <f>+AD12</f>
        <v>380040</v>
      </c>
      <c r="AA21" s="418">
        <f>+AD12</f>
        <v>380040</v>
      </c>
    </row>
    <row r="22" spans="1:28" ht="21" customHeight="1" x14ac:dyDescent="0.2">
      <c r="A22" s="1415"/>
      <c r="B22" s="1379"/>
      <c r="C22" s="1308" t="s">
        <v>720</v>
      </c>
      <c r="D22" s="1308"/>
      <c r="E22" s="867">
        <f t="shared" si="2"/>
        <v>45</v>
      </c>
      <c r="F22" s="889">
        <f>+'RENTA GENERAL CAPITAL'!F45</f>
        <v>0</v>
      </c>
      <c r="G22" s="1374" t="s">
        <v>172</v>
      </c>
      <c r="H22" s="1359" t="s">
        <v>696</v>
      </c>
      <c r="I22" s="913" t="s">
        <v>694</v>
      </c>
      <c r="J22" s="908">
        <f t="shared" si="3"/>
        <v>85</v>
      </c>
      <c r="K22" s="911">
        <f>IF((F44&gt;(K4+K9)),'Num. 2 ART 241 E.T. 2019'!E5,0)</f>
        <v>7586000</v>
      </c>
      <c r="L22" s="412">
        <f>+M31</f>
        <v>0</v>
      </c>
      <c r="M22" s="284" t="s">
        <v>8</v>
      </c>
      <c r="N22" s="285"/>
      <c r="P22" s="286" t="s">
        <v>10</v>
      </c>
      <c r="R22" s="202">
        <f>MAX(R20:R21)</f>
        <v>380040</v>
      </c>
      <c r="AA22" s="202">
        <f>MAX(AA20:AA21)</f>
        <v>380040</v>
      </c>
    </row>
    <row r="23" spans="1:28" ht="24" customHeight="1" thickBot="1" x14ac:dyDescent="0.3">
      <c r="A23" s="1415"/>
      <c r="B23" s="1379"/>
      <c r="C23" s="1404" t="s">
        <v>721</v>
      </c>
      <c r="D23" s="1404"/>
      <c r="E23" s="874">
        <f t="shared" si="2"/>
        <v>46</v>
      </c>
      <c r="F23" s="890">
        <f>+'RENTA GENERAL CAPITAL'!F46</f>
        <v>0</v>
      </c>
      <c r="G23" s="1300"/>
      <c r="H23" s="1359"/>
      <c r="I23" s="905" t="s">
        <v>695</v>
      </c>
      <c r="J23" s="906">
        <f t="shared" si="3"/>
        <v>86</v>
      </c>
      <c r="K23" s="910">
        <f>IF((K4+K9)&gt;F44,('Num. 2 ART 241 E.T. 2019'!E8),0)</f>
        <v>0</v>
      </c>
      <c r="L23" s="281">
        <f>_xlfn.CEILING.PRECISE(I75,1000)</f>
        <v>2398000</v>
      </c>
      <c r="M23" s="1271">
        <f>+F37/P23</f>
        <v>0</v>
      </c>
      <c r="N23" s="1272"/>
      <c r="P23" s="287">
        <f>+'DATOS PARA DEPURAR'!C23</f>
        <v>36308</v>
      </c>
      <c r="T23" s="202">
        <f>IF(R20&gt;0,R22,R19)</f>
        <v>380040</v>
      </c>
      <c r="AB23" s="202">
        <f>IF(AA20&gt;0,AA22,AA19)</f>
        <v>1256100</v>
      </c>
    </row>
    <row r="24" spans="1:28" ht="24.75" customHeight="1" thickBot="1" x14ac:dyDescent="0.25">
      <c r="A24" s="1415"/>
      <c r="B24" s="1379"/>
      <c r="C24" s="1408" t="s">
        <v>687</v>
      </c>
      <c r="D24" s="1408"/>
      <c r="E24" s="867">
        <f t="shared" si="2"/>
        <v>47</v>
      </c>
      <c r="F24" s="889">
        <f>+'RENTA GENERAL CAPITAL'!F47</f>
        <v>0</v>
      </c>
      <c r="G24" s="1300"/>
      <c r="H24" s="1359"/>
      <c r="I24" s="907" t="s">
        <v>609</v>
      </c>
      <c r="J24" s="908">
        <f t="shared" si="3"/>
        <v>87</v>
      </c>
      <c r="K24" s="911"/>
      <c r="Q24" s="272" t="s">
        <v>442</v>
      </c>
      <c r="AA24" s="202">
        <f>IF(T15&gt;0,T23,AB23)</f>
        <v>380040</v>
      </c>
    </row>
    <row r="25" spans="1:28" ht="27.75" customHeight="1" thickBot="1" x14ac:dyDescent="0.25">
      <c r="A25" s="1415"/>
      <c r="B25" s="1379"/>
      <c r="C25" s="1409" t="s">
        <v>723</v>
      </c>
      <c r="D25" s="1409"/>
      <c r="E25" s="874">
        <f t="shared" si="2"/>
        <v>48</v>
      </c>
      <c r="F25" s="890">
        <f>+'RENTA GENERAL CAPITAL'!F48</f>
        <v>0</v>
      </c>
      <c r="G25" s="1300"/>
      <c r="H25" s="1359"/>
      <c r="I25" s="909" t="s">
        <v>611</v>
      </c>
      <c r="J25" s="906">
        <f t="shared" ref="J25:J31" si="4">+J24+1</f>
        <v>88</v>
      </c>
      <c r="K25" s="912"/>
      <c r="M25" s="290">
        <v>0</v>
      </c>
      <c r="N25" s="291">
        <v>1090</v>
      </c>
      <c r="P25" s="292">
        <f>IF(M23&lt;=1090,0)</f>
        <v>0</v>
      </c>
      <c r="Q25" s="202">
        <f>+'DATOS PARA DEPURAR'!E16</f>
        <v>44301</v>
      </c>
      <c r="AB25" s="202">
        <f>+AA24/0.1</f>
        <v>3800400</v>
      </c>
    </row>
    <row r="26" spans="1:28" ht="23.25" customHeight="1" x14ac:dyDescent="0.25">
      <c r="A26" s="1415"/>
      <c r="B26" s="1378" t="s">
        <v>591</v>
      </c>
      <c r="C26" s="895" t="s">
        <v>557</v>
      </c>
      <c r="D26" s="896"/>
      <c r="E26" s="863">
        <f t="shared" si="2"/>
        <v>49</v>
      </c>
      <c r="F26" s="864">
        <f>+'RENTA GENERAL NO LABORAL'!F4</f>
        <v>0</v>
      </c>
      <c r="G26" s="1300"/>
      <c r="H26" s="1359"/>
      <c r="I26" s="907" t="s">
        <v>610</v>
      </c>
      <c r="J26" s="908">
        <f t="shared" si="4"/>
        <v>89</v>
      </c>
      <c r="K26" s="911"/>
      <c r="M26" s="293" t="s">
        <v>176</v>
      </c>
      <c r="N26" s="294">
        <v>1700</v>
      </c>
      <c r="P26" s="295" t="b">
        <f>IF(M23&gt;1090,(IF(M23&lt;=1700,ROUND((((+M23-1090)*19%)*P23),-3),0)),FALSE)</f>
        <v>0</v>
      </c>
      <c r="Q26" s="202">
        <f>+'DATOS PARA DEPURAR'!C16</f>
        <v>44421</v>
      </c>
      <c r="AB26" s="328">
        <f>+AB25*Q28*5%</f>
        <v>-760080</v>
      </c>
    </row>
    <row r="27" spans="1:28" ht="22.5" customHeight="1" thickBot="1" x14ac:dyDescent="0.3">
      <c r="A27" s="1415"/>
      <c r="B27" s="1379"/>
      <c r="C27" s="897" t="s">
        <v>570</v>
      </c>
      <c r="D27" s="897"/>
      <c r="E27" s="874">
        <f t="shared" si="2"/>
        <v>50</v>
      </c>
      <c r="F27" s="875">
        <f>+'RENTA GENERAL NO LABORAL'!F24</f>
        <v>0</v>
      </c>
      <c r="G27" s="1300"/>
      <c r="H27" s="1359"/>
      <c r="I27" s="920" t="s">
        <v>697</v>
      </c>
      <c r="J27" s="906">
        <f>+J26+1</f>
        <v>90</v>
      </c>
      <c r="K27" s="910">
        <f>SUM(K22:K26)</f>
        <v>7586000</v>
      </c>
      <c r="M27" s="293" t="s">
        <v>177</v>
      </c>
      <c r="N27" s="294">
        <v>4100</v>
      </c>
      <c r="P27" s="295" t="b">
        <f>IF(M23&gt;1700,IF(M23&lt;=4100,ROUND((((+M23-1700)*28%+116)*P23),-3),0))</f>
        <v>0</v>
      </c>
      <c r="Q27" s="202">
        <f>+Q25-Q26</f>
        <v>-120</v>
      </c>
      <c r="AB27" s="432">
        <f>IF(AB26&gt;AB25,AB25,AB26)</f>
        <v>-760080</v>
      </c>
    </row>
    <row r="28" spans="1:28" ht="25.5" customHeight="1" thickBot="1" x14ac:dyDescent="0.3">
      <c r="A28" s="1415"/>
      <c r="B28" s="1379"/>
      <c r="C28" s="898" t="s">
        <v>488</v>
      </c>
      <c r="D28" s="899"/>
      <c r="E28" s="867">
        <f t="shared" si="2"/>
        <v>51</v>
      </c>
      <c r="F28" s="868">
        <f>+'RENTA GENERAL NO LABORAL'!F26</f>
        <v>0</v>
      </c>
      <c r="G28" s="1300"/>
      <c r="H28" s="1405" t="s">
        <v>144</v>
      </c>
      <c r="I28" s="921" t="s">
        <v>613</v>
      </c>
      <c r="J28" s="922">
        <f>+J27+1</f>
        <v>91</v>
      </c>
      <c r="K28" s="923">
        <f>IF(F173&lt;F178,(F168+F169+F170),IF(F173&gt;F178,(I168+I169+I170),0))</f>
        <v>0</v>
      </c>
      <c r="L28" s="262">
        <f>SUM(L24:L27)</f>
        <v>0</v>
      </c>
      <c r="M28" s="298" t="s">
        <v>178</v>
      </c>
      <c r="N28" s="299"/>
      <c r="P28" s="300">
        <f>IF(M23&gt;4100,ROUND((((+M23-4100)*33%)*P23)+(788*P23),-3),0)</f>
        <v>0</v>
      </c>
      <c r="Q28" s="202">
        <f>_xlfn.CEILING.PRECISE(Q27/30,1)</f>
        <v>-4</v>
      </c>
    </row>
    <row r="29" spans="1:28" ht="18.75" customHeight="1" thickBot="1" x14ac:dyDescent="0.25">
      <c r="A29" s="1415"/>
      <c r="B29" s="1379"/>
      <c r="C29" s="897" t="s">
        <v>527</v>
      </c>
      <c r="D29" s="897"/>
      <c r="E29" s="874">
        <f t="shared" si="2"/>
        <v>52</v>
      </c>
      <c r="F29" s="875">
        <f>+'RENTA GENERAL NO LABORAL'!F35</f>
        <v>0</v>
      </c>
      <c r="G29" s="1300"/>
      <c r="H29" s="1406"/>
      <c r="I29" s="924" t="s">
        <v>131</v>
      </c>
      <c r="J29" s="906">
        <f t="shared" si="4"/>
        <v>92</v>
      </c>
      <c r="K29" s="925">
        <f>IF(F173&lt;F178,(F172),IF(F173&gt;F178,(I172),0))</f>
        <v>0</v>
      </c>
      <c r="L29" s="262">
        <f>IF(L22&gt;L23,L22-L28,IF(L23&gt;L22,L23-L28,0))</f>
        <v>2398000</v>
      </c>
      <c r="Q29" s="272" t="s">
        <v>444</v>
      </c>
      <c r="R29" s="202">
        <f>+AD14</f>
        <v>380040</v>
      </c>
    </row>
    <row r="30" spans="1:28" ht="17.25" customHeight="1" x14ac:dyDescent="0.2">
      <c r="A30" s="1415"/>
      <c r="B30" s="1379"/>
      <c r="C30" s="898" t="s">
        <v>567</v>
      </c>
      <c r="D30" s="899"/>
      <c r="E30" s="867">
        <f t="shared" si="2"/>
        <v>53</v>
      </c>
      <c r="F30" s="868">
        <f>+'RENTA GENERAL NO LABORAL'!F58</f>
        <v>0</v>
      </c>
      <c r="G30" s="1300"/>
      <c r="H30" s="1406"/>
      <c r="I30" s="926" t="s">
        <v>170</v>
      </c>
      <c r="J30" s="927">
        <f t="shared" si="4"/>
        <v>93</v>
      </c>
      <c r="K30" s="928">
        <f>IF(F173&lt;F178,(F171),IF(F173&gt;F178,(I171),0))</f>
        <v>0</v>
      </c>
      <c r="M30" s="1246" t="s">
        <v>179</v>
      </c>
      <c r="N30" s="1247"/>
      <c r="Q30" s="272" t="s">
        <v>429</v>
      </c>
      <c r="R30" s="202">
        <f>IF('DATOS PARA DEPURAR'!C13="S",'FORMULARIO 2019 RENTA CEDULA'!AA24,0)</f>
        <v>0</v>
      </c>
    </row>
    <row r="31" spans="1:28" ht="18" customHeight="1" thickBot="1" x14ac:dyDescent="0.3">
      <c r="A31" s="1415"/>
      <c r="B31" s="1379"/>
      <c r="C31" s="972" t="s">
        <v>562</v>
      </c>
      <c r="D31" s="897"/>
      <c r="E31" s="874">
        <f t="shared" si="2"/>
        <v>54</v>
      </c>
      <c r="F31" s="875">
        <f>+'RENTA GENERAL NO LABORAL'!F60</f>
        <v>0</v>
      </c>
      <c r="G31" s="1300"/>
      <c r="H31" s="1407"/>
      <c r="I31" s="940" t="s">
        <v>171</v>
      </c>
      <c r="J31" s="941">
        <f t="shared" si="4"/>
        <v>94</v>
      </c>
      <c r="K31" s="942">
        <f>SUM(K28:K30)</f>
        <v>0</v>
      </c>
      <c r="M31" s="1248">
        <f>IF(P25=0,P25,IF(P26&gt;0,P26,IF(P27&gt;0,P27,IF(P28&gt;0,P28))))</f>
        <v>0</v>
      </c>
      <c r="N31" s="1249"/>
      <c r="Q31" s="461" t="s">
        <v>445</v>
      </c>
      <c r="R31" s="329">
        <f>IF('DATOS PARA DEPURAR'!C15="S",AB27,0)</f>
        <v>0</v>
      </c>
      <c r="AA31" s="202">
        <f>+'DATOS PARA DEPURAR'!E15</f>
        <v>0</v>
      </c>
    </row>
    <row r="32" spans="1:28" ht="23.25" customHeight="1" x14ac:dyDescent="0.2">
      <c r="A32" s="1415"/>
      <c r="B32" s="1379"/>
      <c r="C32" s="1360" t="s">
        <v>682</v>
      </c>
      <c r="D32" s="1361"/>
      <c r="E32" s="867">
        <f t="shared" si="2"/>
        <v>55</v>
      </c>
      <c r="F32" s="868">
        <f>+'RENTA GENERAL NO LABORAL'!F62</f>
        <v>0</v>
      </c>
      <c r="G32" s="1300"/>
      <c r="H32" s="1390" t="s">
        <v>173</v>
      </c>
      <c r="I32" s="1390"/>
      <c r="J32" s="927">
        <f t="shared" ref="J32:J43" si="5">+J31+1</f>
        <v>95</v>
      </c>
      <c r="K32" s="939">
        <f>IF((K27&gt;K31),K27-K31,0)</f>
        <v>7586000</v>
      </c>
      <c r="R32" s="202">
        <f>IF((R29&lt;=0),R30+R31,IF(R30&lt;=0,R29,IF(SUM(R29:R30)&lt;=0,0,0)))</f>
        <v>380040</v>
      </c>
      <c r="AA32" s="202">
        <f>IF(AA24&gt;0,AA31,0)</f>
        <v>0</v>
      </c>
    </row>
    <row r="33" spans="1:17" ht="24" customHeight="1" thickBot="1" x14ac:dyDescent="0.25">
      <c r="A33" s="1415"/>
      <c r="B33" s="1379"/>
      <c r="C33" s="1376" t="s">
        <v>683</v>
      </c>
      <c r="D33" s="1377"/>
      <c r="E33" s="874">
        <f t="shared" si="2"/>
        <v>56</v>
      </c>
      <c r="F33" s="875">
        <f>+'RENTA GENERAL NO LABORAL'!F75</f>
        <v>0</v>
      </c>
      <c r="G33" s="1300"/>
      <c r="H33" s="1391" t="s">
        <v>106</v>
      </c>
      <c r="I33" s="1391"/>
      <c r="J33" s="906">
        <f t="shared" si="5"/>
        <v>96</v>
      </c>
      <c r="K33" s="929">
        <f>SUM('DEPURACION POR IMAS EMPLEADO'!K30:K31)</f>
        <v>0</v>
      </c>
    </row>
    <row r="34" spans="1:17" ht="19.5" customHeight="1" x14ac:dyDescent="0.2">
      <c r="A34" s="1415"/>
      <c r="B34" s="1379"/>
      <c r="C34" s="1392" t="s">
        <v>548</v>
      </c>
      <c r="D34" s="1393"/>
      <c r="E34" s="867">
        <f t="shared" si="2"/>
        <v>57</v>
      </c>
      <c r="F34" s="868">
        <f>+'RENTA GENERAL NO LABORAL'!F80</f>
        <v>0</v>
      </c>
      <c r="G34" s="1300"/>
      <c r="H34" s="1395" t="s">
        <v>174</v>
      </c>
      <c r="I34" s="1395"/>
      <c r="J34" s="908">
        <f t="shared" si="5"/>
        <v>97</v>
      </c>
      <c r="K34" s="928">
        <f>+'DATOS PARA DEPURAR'!E307</f>
        <v>0</v>
      </c>
      <c r="M34" s="339" t="s">
        <v>190</v>
      </c>
      <c r="N34" s="340"/>
      <c r="O34" s="340"/>
      <c r="P34" s="340"/>
      <c r="Q34" s="341"/>
    </row>
    <row r="35" spans="1:17" ht="18.75" customHeight="1" x14ac:dyDescent="0.2">
      <c r="A35" s="1415"/>
      <c r="B35" s="1379"/>
      <c r="C35" s="1394" t="s">
        <v>549</v>
      </c>
      <c r="D35" s="1394"/>
      <c r="E35" s="874">
        <f t="shared" si="2"/>
        <v>58</v>
      </c>
      <c r="F35" s="875">
        <f>+'RENTA GENERAL NO LABORAL'!F81</f>
        <v>0</v>
      </c>
      <c r="G35" s="1300"/>
      <c r="H35" s="930" t="s">
        <v>108</v>
      </c>
      <c r="I35" s="930"/>
      <c r="J35" s="906">
        <f t="shared" si="5"/>
        <v>98</v>
      </c>
      <c r="K35" s="925">
        <f>+K32+K33-K34</f>
        <v>7586000</v>
      </c>
      <c r="L35" s="262">
        <f>IF((M35)&gt;0,M35,0)</f>
        <v>26521435.5</v>
      </c>
      <c r="M35" s="342">
        <f>IF((N35*25%)&lt;=(2880*'DATOS PARA DEPURAR'!C23),(N35*25%),(2880*'DATOS PARA DEPURAR'!C23))</f>
        <v>26521435.5</v>
      </c>
      <c r="N35" s="337">
        <f>F7-'DATOS PARA DEPURAR'!E42+M36-SUM('DATOS PARA DEPURAR'!E262:E267)-'DATOS PARA DEPURAR'!E215-'DATOS PARA DEPURAR'!E216-'DATOS PARA DEPURAR'!E217-'DATOS PARA DEPURAR'!E218-'DATOS PARA DEPURAR'!E220-'DATOS PARA DEPURAR'!E223-'DATOS PARA DEPURAR'!E227-'DATOS PARA DEPURAR'!E226-'DATOS PARA DEPURAR'!E225-'FORMULARIO 2019 RENTA CEDULA'!F19-'DATOS PARA DEPURAR'!E255</f>
        <v>106085742</v>
      </c>
      <c r="O35" s="194"/>
      <c r="P35" s="194"/>
      <c r="Q35" s="343"/>
    </row>
    <row r="36" spans="1:17" ht="22.5" customHeight="1" x14ac:dyDescent="0.2">
      <c r="A36" s="1415"/>
      <c r="B36" s="1379"/>
      <c r="C36" s="1399" t="s">
        <v>688</v>
      </c>
      <c r="D36" s="1400"/>
      <c r="E36" s="867">
        <f t="shared" si="2"/>
        <v>59</v>
      </c>
      <c r="F36" s="868">
        <f>+'RENTA GENERAL NO LABORAL'!F82</f>
        <v>0</v>
      </c>
      <c r="G36" s="1300"/>
      <c r="H36" s="943" t="s">
        <v>709</v>
      </c>
      <c r="I36" s="931"/>
      <c r="J36" s="908">
        <f t="shared" si="5"/>
        <v>99</v>
      </c>
      <c r="K36" s="928">
        <f>IF('DATOS PARA DEPURAR'!E20&gt;0,'DATOS PARA DEPURAR'!E20,0)</f>
        <v>1820000</v>
      </c>
      <c r="M36" s="344">
        <f>IF(('DATOS PARA DEPURAR'!E103)="S",('DATOS PARA DEPURAR'!E50+'DATOS PARA DEPURAR'!E52),0)</f>
        <v>0</v>
      </c>
      <c r="N36" s="194">
        <f>50531/0.25</f>
        <v>202124</v>
      </c>
      <c r="O36" s="194"/>
      <c r="P36" s="1371" t="s">
        <v>620</v>
      </c>
      <c r="Q36" s="1372"/>
    </row>
    <row r="37" spans="1:17" ht="23.25" customHeight="1" thickBot="1" x14ac:dyDescent="0.25">
      <c r="A37" s="1415"/>
      <c r="B37" s="1380"/>
      <c r="C37" s="1401" t="s">
        <v>566</v>
      </c>
      <c r="D37" s="1401"/>
      <c r="E37" s="880">
        <f t="shared" si="2"/>
        <v>60</v>
      </c>
      <c r="F37" s="881">
        <f>+'RENTA GENERAL NO LABORAL'!F83</f>
        <v>0</v>
      </c>
      <c r="G37" s="1300"/>
      <c r="H37" s="1402" t="s">
        <v>708</v>
      </c>
      <c r="I37" s="1403"/>
      <c r="J37" s="906">
        <f t="shared" si="5"/>
        <v>100</v>
      </c>
      <c r="K37" s="925">
        <f>IF('DATOS PARA DEPURAR'!C21&gt;0,'DATOS PARA DEPURAR'!C21,0)</f>
        <v>0</v>
      </c>
      <c r="M37" s="344">
        <f>IF('DATOS PARA DEPURAR'!D60="N",'DATOS PARA DEPURAR'!E166,0)</f>
        <v>0</v>
      </c>
      <c r="N37" s="194">
        <f>+N36/2</f>
        <v>101062</v>
      </c>
      <c r="O37" s="194"/>
      <c r="P37" s="337">
        <f>IF((K32)&gt;0,K32,0)</f>
        <v>7586000</v>
      </c>
      <c r="Q37" s="343"/>
    </row>
    <row r="38" spans="1:17" ht="18" customHeight="1" x14ac:dyDescent="0.2">
      <c r="A38" s="1415"/>
      <c r="B38" s="1381" t="s">
        <v>684</v>
      </c>
      <c r="C38" s="1381"/>
      <c r="D38" s="1381"/>
      <c r="E38" s="863">
        <f t="shared" si="2"/>
        <v>61</v>
      </c>
      <c r="F38" s="901">
        <f>+F10+F18+F19+F30+F31-F24-F36</f>
        <v>104501533</v>
      </c>
      <c r="G38" s="1300"/>
      <c r="H38" s="932" t="s">
        <v>707</v>
      </c>
      <c r="I38" s="932"/>
      <c r="J38" s="908">
        <f t="shared" si="5"/>
        <v>101</v>
      </c>
      <c r="K38" s="928">
        <f>+'DATOS PARA DEPURAR'!E308</f>
        <v>12096000</v>
      </c>
      <c r="L38" s="262">
        <f>+R32</f>
        <v>380040</v>
      </c>
      <c r="M38" s="344">
        <f>IF('DATOS PARA DEPURAR'!D62="N",'DATOS PARA DEPURAR'!E167,0)</f>
        <v>0</v>
      </c>
      <c r="N38" s="194"/>
      <c r="O38" s="194"/>
      <c r="P38" s="337">
        <f>IF(((P37)*('DEPURACION POR IMAS EMPLEADO'!K44)-('DATOS PARA DEPURAR'!E301))&gt;0,(P37)*('DEPURACION POR IMAS EMPLEADO'!K44)-('DATOS PARA DEPURAR'!E301),0)</f>
        <v>0</v>
      </c>
      <c r="Q38" s="343"/>
    </row>
    <row r="39" spans="1:17" ht="23.25" customHeight="1" x14ac:dyDescent="0.2">
      <c r="A39" s="1415"/>
      <c r="B39" s="1382" t="s">
        <v>685</v>
      </c>
      <c r="C39" s="1382"/>
      <c r="D39" s="1382"/>
      <c r="E39" s="874">
        <f t="shared" ref="E39:E44" si="6">+E38+1</f>
        <v>62</v>
      </c>
      <c r="F39" s="902">
        <f>+F12+F21+F33</f>
        <v>33347029</v>
      </c>
      <c r="G39" s="1300"/>
      <c r="H39" s="930" t="s">
        <v>207</v>
      </c>
      <c r="I39" s="930"/>
      <c r="J39" s="933">
        <f t="shared" si="5"/>
        <v>102</v>
      </c>
      <c r="K39" s="925">
        <f>+Q43</f>
        <v>0</v>
      </c>
      <c r="M39" s="344"/>
      <c r="N39" s="194"/>
      <c r="O39" s="194"/>
      <c r="P39" s="194"/>
      <c r="Q39" s="345">
        <f>+P38</f>
        <v>0</v>
      </c>
    </row>
    <row r="40" spans="1:17" ht="21" customHeight="1" x14ac:dyDescent="0.2">
      <c r="A40" s="1415"/>
      <c r="B40" s="1383" t="s">
        <v>686</v>
      </c>
      <c r="C40" s="1383"/>
      <c r="D40" s="1383"/>
      <c r="E40" s="867">
        <f t="shared" si="6"/>
        <v>63</v>
      </c>
      <c r="F40" s="904">
        <f>+F38-F39</f>
        <v>71154504</v>
      </c>
      <c r="G40" s="1300"/>
      <c r="H40" s="1384" t="s">
        <v>704</v>
      </c>
      <c r="I40" s="1385"/>
      <c r="J40" s="934">
        <f t="shared" si="5"/>
        <v>103</v>
      </c>
      <c r="K40" s="928">
        <f>IF((K35+K39-K36-K37-K38)&gt;0,K35+K39-K36-K37-K38,0)</f>
        <v>0</v>
      </c>
      <c r="M40" s="344">
        <v>1</v>
      </c>
      <c r="N40" s="194"/>
      <c r="O40" s="194"/>
      <c r="P40" s="337">
        <f>IF((P42)&gt;0,(P42+P37)/(2),0)</f>
        <v>39863000</v>
      </c>
      <c r="Q40" s="343">
        <f>IF((P40*'DEPURACION POR IMAS EMPLEADO'!K44)-('DATOS PARA DEPURAR'!E301)&gt;0,(P40*'DEPURACION POR IMAS EMPLEADO'!K44)-('DATOS PARA DEPURAR'!E301),0)</f>
        <v>17801250</v>
      </c>
    </row>
    <row r="41" spans="1:17" ht="20.25" customHeight="1" x14ac:dyDescent="0.2">
      <c r="A41" s="1415"/>
      <c r="B41" s="1382" t="s">
        <v>689</v>
      </c>
      <c r="C41" s="1382"/>
      <c r="D41" s="1382"/>
      <c r="E41" s="874">
        <f t="shared" si="6"/>
        <v>64</v>
      </c>
      <c r="F41" s="900"/>
      <c r="G41" s="1300"/>
      <c r="H41" s="935" t="s">
        <v>181</v>
      </c>
      <c r="I41" s="935"/>
      <c r="J41" s="933">
        <f t="shared" si="5"/>
        <v>104</v>
      </c>
      <c r="K41" s="925">
        <f>+L38</f>
        <v>380040</v>
      </c>
      <c r="M41" s="344"/>
      <c r="N41" s="194"/>
      <c r="O41" s="194"/>
      <c r="P41" s="337"/>
      <c r="Q41" s="343"/>
    </row>
    <row r="42" spans="1:17" ht="22.5" customHeight="1" x14ac:dyDescent="0.2">
      <c r="A42" s="1415"/>
      <c r="B42" s="1354" t="s">
        <v>690</v>
      </c>
      <c r="C42" s="1354"/>
      <c r="D42" s="1354"/>
      <c r="E42" s="867">
        <f t="shared" si="6"/>
        <v>65</v>
      </c>
      <c r="F42" s="969">
        <f>+'DATOS PARA DEPURAR'!E291</f>
        <v>0</v>
      </c>
      <c r="G42" s="1300"/>
      <c r="H42" s="1386" t="s">
        <v>705</v>
      </c>
      <c r="I42" s="1387"/>
      <c r="J42" s="934">
        <f t="shared" si="5"/>
        <v>105</v>
      </c>
      <c r="K42" s="936">
        <f>IF((K35+K39-K36-K37-K38+K41)&gt;0,K35+K39-K36-K37-K38+K41,0)</f>
        <v>0</v>
      </c>
      <c r="M42" s="344">
        <v>2</v>
      </c>
      <c r="N42" s="194"/>
      <c r="O42" s="194"/>
      <c r="P42" s="337">
        <f>+'DATOS PARA DEPURAR'!C20</f>
        <v>72140000</v>
      </c>
      <c r="Q42" s="345">
        <f>MIN(Q39:Q40)</f>
        <v>0</v>
      </c>
    </row>
    <row r="43" spans="1:17" ht="18.75" customHeight="1" thickBot="1" x14ac:dyDescent="0.25">
      <c r="A43" s="1415"/>
      <c r="B43" s="1394" t="s">
        <v>691</v>
      </c>
      <c r="C43" s="1394"/>
      <c r="D43" s="1394"/>
      <c r="E43" s="874">
        <f t="shared" si="6"/>
        <v>66</v>
      </c>
      <c r="F43" s="875">
        <f>+'DATOS PARA DEPURAR'!E292</f>
        <v>0</v>
      </c>
      <c r="G43" s="1300"/>
      <c r="H43" s="1388" t="s">
        <v>706</v>
      </c>
      <c r="I43" s="1389"/>
      <c r="J43" s="937">
        <f t="shared" si="5"/>
        <v>106</v>
      </c>
      <c r="K43" s="938">
        <f>IF((K36+K37+K38-K35-K39-K41)&gt;0,K36+K37+K38-K35-K39-K41,0)</f>
        <v>5949960</v>
      </c>
      <c r="M43" s="344">
        <v>3</v>
      </c>
      <c r="N43" s="350">
        <f>+'DATOS PARA DEPURAR'!C24/'DATOS PARA DEPURAR'!C23</f>
        <v>96.080423047262315</v>
      </c>
      <c r="O43" s="194"/>
      <c r="P43" s="194">
        <f>LOOKUP(N43,M44:N50,P44:P50)</f>
        <v>1</v>
      </c>
      <c r="Q43" s="343">
        <f>IF((Q42)&gt;0,Q42,Q39)</f>
        <v>0</v>
      </c>
    </row>
    <row r="44" spans="1:17" ht="13.5" thickBot="1" x14ac:dyDescent="0.25">
      <c r="A44" s="1415"/>
      <c r="B44" s="1373" t="s">
        <v>692</v>
      </c>
      <c r="C44" s="1373"/>
      <c r="D44" s="1373"/>
      <c r="E44" s="871">
        <f t="shared" si="6"/>
        <v>67</v>
      </c>
      <c r="F44" s="903">
        <f>+F40+F43-F41-F42</f>
        <v>71154504</v>
      </c>
      <c r="G44" s="1300"/>
      <c r="H44" s="914"/>
      <c r="I44" s="914"/>
      <c r="J44" s="919"/>
      <c r="K44" s="648"/>
      <c r="M44" s="344">
        <v>0</v>
      </c>
      <c r="N44" s="194">
        <f>350-0.01</f>
        <v>349.99</v>
      </c>
      <c r="O44" s="194"/>
      <c r="P44" s="338">
        <v>1</v>
      </c>
      <c r="Q44" s="343">
        <f>IF(N43&lt;=N44,P43,0)</f>
        <v>1</v>
      </c>
    </row>
    <row r="45" spans="1:17" hidden="1" x14ac:dyDescent="0.2">
      <c r="G45" s="1300"/>
      <c r="H45" s="1398"/>
      <c r="I45" s="1398"/>
      <c r="J45" s="915"/>
      <c r="K45" s="266"/>
      <c r="M45" s="344">
        <v>350</v>
      </c>
      <c r="N45" s="194">
        <f>410-0.01</f>
        <v>409.99</v>
      </c>
      <c r="O45" s="194"/>
      <c r="P45" s="338">
        <v>0.9</v>
      </c>
      <c r="Q45" s="343"/>
    </row>
    <row r="46" spans="1:17" hidden="1" x14ac:dyDescent="0.2">
      <c r="D46" s="272" t="s">
        <v>161</v>
      </c>
      <c r="F46" s="202">
        <f>IF(F27&lt;F28,F28+F36-F35,IF(F28&lt;F27,F27-F35+F36,0))</f>
        <v>0</v>
      </c>
      <c r="G46" s="1300"/>
      <c r="H46" s="51"/>
      <c r="I46" s="289"/>
      <c r="J46" s="268"/>
      <c r="K46" s="269"/>
      <c r="M46" s="344">
        <v>410</v>
      </c>
      <c r="N46" s="194">
        <f>470-0.01</f>
        <v>469.99</v>
      </c>
      <c r="O46" s="194"/>
      <c r="P46" s="338">
        <v>0.8</v>
      </c>
      <c r="Q46" s="343"/>
    </row>
    <row r="47" spans="1:17" hidden="1" x14ac:dyDescent="0.2">
      <c r="G47" s="1300"/>
      <c r="H47" s="51"/>
      <c r="I47" s="646"/>
      <c r="J47" s="915"/>
      <c r="K47" s="266"/>
      <c r="M47" s="344">
        <v>470</v>
      </c>
      <c r="N47" s="194">
        <f>530-0.01</f>
        <v>529.99</v>
      </c>
      <c r="O47" s="194"/>
      <c r="P47" s="338">
        <v>0.6</v>
      </c>
      <c r="Q47" s="343"/>
    </row>
    <row r="48" spans="1:17" hidden="1" x14ac:dyDescent="0.2">
      <c r="G48" s="1300"/>
      <c r="H48" s="1308"/>
      <c r="I48" s="1308"/>
      <c r="J48" s="915"/>
      <c r="K48" s="266"/>
      <c r="M48" s="344">
        <v>530</v>
      </c>
      <c r="N48" s="194">
        <f>590-0.01</f>
        <v>589.99</v>
      </c>
      <c r="O48" s="194"/>
      <c r="P48" s="338">
        <v>0.4</v>
      </c>
      <c r="Q48" s="343"/>
    </row>
    <row r="49" spans="4:17" ht="15" hidden="1" x14ac:dyDescent="0.25">
      <c r="D49" s="313" t="s">
        <v>35</v>
      </c>
      <c r="E49" s="314"/>
      <c r="F49" s="315" t="s">
        <v>81</v>
      </c>
      <c r="G49" s="1300"/>
      <c r="H49" s="1274"/>
      <c r="I49" s="1274"/>
      <c r="J49" s="268"/>
      <c r="K49" s="269"/>
      <c r="M49" s="344">
        <v>590</v>
      </c>
      <c r="N49" s="194">
        <f>650-0.01</f>
        <v>649.99</v>
      </c>
      <c r="O49" s="194"/>
      <c r="P49" s="338">
        <v>0.2</v>
      </c>
      <c r="Q49" s="343"/>
    </row>
    <row r="50" spans="4:17" ht="13.5" hidden="1" thickBot="1" x14ac:dyDescent="0.25">
      <c r="D50" s="317" t="s">
        <v>18</v>
      </c>
      <c r="E50" s="317"/>
      <c r="F50" s="318">
        <f>+K15/'DATOS PARA DEPURAR'!$C$23</f>
        <v>0</v>
      </c>
      <c r="G50" s="1300"/>
      <c r="H50" s="1397"/>
      <c r="I50" s="1397"/>
      <c r="J50" s="915"/>
      <c r="K50" s="266"/>
      <c r="M50" s="346">
        <v>650</v>
      </c>
      <c r="N50" s="347">
        <v>10000</v>
      </c>
      <c r="O50" s="347"/>
      <c r="P50" s="348">
        <v>0.1</v>
      </c>
      <c r="Q50" s="349"/>
    </row>
    <row r="51" spans="4:17" hidden="1" x14ac:dyDescent="0.2">
      <c r="D51" s="320" t="s">
        <v>83</v>
      </c>
      <c r="E51" s="320"/>
      <c r="F51" s="318">
        <f>+K24/'DATOS PARA DEPURAR'!$C$23</f>
        <v>0</v>
      </c>
      <c r="G51" s="1300"/>
    </row>
    <row r="52" spans="4:17" ht="15" hidden="1" x14ac:dyDescent="0.25">
      <c r="D52" s="320" t="s">
        <v>84</v>
      </c>
      <c r="E52" s="320"/>
      <c r="F52" s="855">
        <f>+F55</f>
        <v>66.02</v>
      </c>
      <c r="G52" s="1375"/>
      <c r="L52" s="324">
        <v>1547.99</v>
      </c>
      <c r="M52" s="325">
        <v>0</v>
      </c>
    </row>
    <row r="53" spans="4:17" ht="15" hidden="1" x14ac:dyDescent="0.25">
      <c r="D53" s="321"/>
      <c r="E53" s="321"/>
      <c r="F53" s="857"/>
      <c r="G53" s="858"/>
      <c r="L53" s="326">
        <f>+K78-0.01</f>
        <v>1587.99</v>
      </c>
      <c r="M53" s="325">
        <v>1.05</v>
      </c>
    </row>
    <row r="54" spans="4:17" ht="15" hidden="1" x14ac:dyDescent="0.25">
      <c r="L54" s="326">
        <f t="shared" ref="L54:L117" si="7">+K79-0.01</f>
        <v>1628.99</v>
      </c>
      <c r="M54" s="325">
        <v>1.08</v>
      </c>
    </row>
    <row r="55" spans="4:17" ht="15" hidden="1" x14ac:dyDescent="0.25">
      <c r="F55" s="202">
        <f>IF(F51&lt;=13642.99,I78,IF(F51&gt;13642.99,(F51*27%)-1622,0))</f>
        <v>66.02</v>
      </c>
      <c r="L55" s="326">
        <f t="shared" si="7"/>
        <v>1669.99</v>
      </c>
      <c r="M55" s="325">
        <v>1.1100000000000001</v>
      </c>
    </row>
    <row r="56" spans="4:17" ht="15" hidden="1" x14ac:dyDescent="0.25">
      <c r="D56" s="327">
        <f>+F51-1622</f>
        <v>-1622</v>
      </c>
      <c r="L56" s="326">
        <f t="shared" si="7"/>
        <v>1709.99</v>
      </c>
      <c r="M56" s="325">
        <v>1.1399999999999999</v>
      </c>
    </row>
    <row r="57" spans="4:17" ht="15" hidden="1" x14ac:dyDescent="0.25">
      <c r="D57" s="202">
        <f>+D56*0.27</f>
        <v>-437.94000000000005</v>
      </c>
      <c r="L57" s="326">
        <f t="shared" si="7"/>
        <v>1750.99</v>
      </c>
      <c r="M57" s="325">
        <v>1.1599999999999999</v>
      </c>
    </row>
    <row r="58" spans="4:17" ht="15" hidden="1" x14ac:dyDescent="0.25">
      <c r="D58" s="202">
        <f>D57*26841</f>
        <v>-11754747.540000001</v>
      </c>
      <c r="G58" s="315"/>
      <c r="L58" s="326">
        <f t="shared" si="7"/>
        <v>1791.99</v>
      </c>
      <c r="M58" s="325">
        <v>2.38</v>
      </c>
    </row>
    <row r="59" spans="4:17" ht="15" hidden="1" x14ac:dyDescent="0.25">
      <c r="G59" s="318"/>
      <c r="L59" s="326">
        <f t="shared" si="7"/>
        <v>1832.99</v>
      </c>
      <c r="M59" s="325">
        <v>2.4300000000000002</v>
      </c>
    </row>
    <row r="60" spans="4:17" ht="15" hidden="1" x14ac:dyDescent="0.25">
      <c r="G60" s="318"/>
      <c r="L60" s="326">
        <f t="shared" si="7"/>
        <v>1872.99</v>
      </c>
      <c r="M60" s="325">
        <v>2.4900000000000002</v>
      </c>
    </row>
    <row r="61" spans="4:17" ht="15" hidden="1" x14ac:dyDescent="0.25">
      <c r="D61" s="202" t="s">
        <v>333</v>
      </c>
      <c r="G61" s="855"/>
      <c r="L61" s="326">
        <f t="shared" si="7"/>
        <v>1913.99</v>
      </c>
      <c r="M61" s="325">
        <v>4.76</v>
      </c>
    </row>
    <row r="62" spans="4:17" ht="15" hidden="1" x14ac:dyDescent="0.25">
      <c r="D62" s="328">
        <f>3800*'DATOS PARA DEPURAR'!C23</f>
        <v>137970400</v>
      </c>
      <c r="G62" s="857"/>
      <c r="L62" s="326">
        <f t="shared" si="7"/>
        <v>1954.99</v>
      </c>
      <c r="M62" s="325">
        <v>4.8600000000000003</v>
      </c>
    </row>
    <row r="63" spans="4:17" ht="15" hidden="1" x14ac:dyDescent="0.25">
      <c r="D63" s="328">
        <f>(SUM('DATOS PARA DEPURAR'!E50:E53)+('DATOS PARA DEPURAR'!E28))*0.3</f>
        <v>24140258.699999999</v>
      </c>
      <c r="L63" s="326">
        <f t="shared" si="7"/>
        <v>1995.99</v>
      </c>
      <c r="M63" s="325">
        <v>4.96</v>
      </c>
    </row>
    <row r="64" spans="4:17" ht="15" hidden="1" x14ac:dyDescent="0.25">
      <c r="D64" s="329">
        <f>MIN(D62:D63)</f>
        <v>24140258.699999999</v>
      </c>
      <c r="L64" s="326">
        <f t="shared" si="7"/>
        <v>2035.99</v>
      </c>
      <c r="M64" s="325">
        <v>8.43</v>
      </c>
    </row>
    <row r="65" spans="4:13" ht="15" hidden="1" x14ac:dyDescent="0.25">
      <c r="L65" s="326">
        <f t="shared" si="7"/>
        <v>2117.9899999999998</v>
      </c>
      <c r="M65" s="325">
        <v>8.7100000000000009</v>
      </c>
    </row>
    <row r="66" spans="4:13" ht="15" hidden="1" x14ac:dyDescent="0.25">
      <c r="D66" s="272" t="s">
        <v>334</v>
      </c>
      <c r="L66" s="326">
        <f t="shared" si="7"/>
        <v>2198.9899999999998</v>
      </c>
      <c r="M66" s="325">
        <v>13.74</v>
      </c>
    </row>
    <row r="67" spans="4:13" ht="15" hidden="1" x14ac:dyDescent="0.25">
      <c r="D67" s="328">
        <f>IF(SUM('DATOS PARA DEPURAR'!D255:D260)&lt;=('DATOS PARA DEPURAR'!E255),('DATOS PARA DEPURAR'!D260),IF(SUM('DATOS PARA DEPURAR'!D255:D260)&gt;('DATOS PARA DEPURAR'!E255),('DATOS PARA DEPURAR'!E255-'DATOS PARA DEPURAR'!D255-'DATOS PARA DEPURAR'!D257),0))</f>
        <v>0</v>
      </c>
      <c r="H67" s="858"/>
      <c r="I67" s="858"/>
      <c r="J67" s="858"/>
      <c r="K67" s="858"/>
      <c r="L67" s="326">
        <f t="shared" si="7"/>
        <v>2280.9899999999998</v>
      </c>
      <c r="M67" s="325">
        <v>14.26</v>
      </c>
    </row>
    <row r="68" spans="4:13" ht="15" hidden="1" x14ac:dyDescent="0.25">
      <c r="D68" s="272" t="s">
        <v>335</v>
      </c>
      <c r="L68" s="326">
        <f t="shared" si="7"/>
        <v>2361.9899999999998</v>
      </c>
      <c r="M68" s="325">
        <v>19.809999999999999</v>
      </c>
    </row>
    <row r="69" spans="4:13" ht="15" hidden="1" x14ac:dyDescent="0.25">
      <c r="D69" s="275">
        <f>IF(SUM('DATOS PARA DEPURAR'!D255:D257)&lt;=('DATOS PARA DEPURAR'!E255+'DATOS PARA DEPURAR'!D256),'DATOS PARA DEPURAR'!D257,'DATOS PARA DEPURAR'!E255-'DATOS PARA DEPURAR'!D255-'DATOS PARA DEPURAR'!D256)</f>
        <v>0</v>
      </c>
      <c r="K69" s="856"/>
      <c r="L69" s="326">
        <f t="shared" si="7"/>
        <v>2442.9899999999998</v>
      </c>
      <c r="M69" s="325">
        <v>25.7</v>
      </c>
    </row>
    <row r="70" spans="4:13" ht="15" hidden="1" x14ac:dyDescent="0.25">
      <c r="D70" s="275">
        <f>+'DATOS PARA DEPURAR'!D257</f>
        <v>0</v>
      </c>
      <c r="L70" s="326">
        <f t="shared" si="7"/>
        <v>2524.9899999999998</v>
      </c>
      <c r="M70" s="325">
        <v>26.57</v>
      </c>
    </row>
    <row r="71" spans="4:13" ht="15" hidden="1" x14ac:dyDescent="0.25">
      <c r="D71" s="278">
        <f>MIN(D69:D70)</f>
        <v>0</v>
      </c>
      <c r="F71" s="272" t="s">
        <v>336</v>
      </c>
      <c r="L71" s="326">
        <f t="shared" si="7"/>
        <v>2605.9899999999998</v>
      </c>
      <c r="M71" s="325">
        <v>35.56</v>
      </c>
    </row>
    <row r="72" spans="4:13" ht="15" hidden="1" x14ac:dyDescent="0.25">
      <c r="I72" s="316" t="s">
        <v>82</v>
      </c>
      <c r="L72" s="326">
        <f t="shared" si="7"/>
        <v>2687.99</v>
      </c>
      <c r="M72" s="325">
        <v>45.05</v>
      </c>
    </row>
    <row r="73" spans="4:13" ht="15" hidden="1" x14ac:dyDescent="0.25">
      <c r="D73" s="275">
        <f>IF(('DATOS PARA DEPURAR'!D260&lt;=0),('FORMULARIO 2019 RENTA CEDULA'!D71),0)</f>
        <v>0</v>
      </c>
      <c r="I73" s="319">
        <f>+F50*'DATOS PARA DEPURAR'!$C$23</f>
        <v>0</v>
      </c>
      <c r="L73" s="326">
        <f t="shared" si="7"/>
        <v>2768.99</v>
      </c>
      <c r="M73" s="325">
        <v>46.43</v>
      </c>
    </row>
    <row r="74" spans="4:13" ht="15" hidden="1" x14ac:dyDescent="0.25">
      <c r="D74" s="328">
        <f>IF(SUM('DATOS PARA DEPURAR'!D255:D260)&gt;('DATOS PARA DEPURAR'!E255),('FORMULARIO 2019 RENTA CEDULA'!D71),('DATOS PARA DEPURAR'!D257))</f>
        <v>0</v>
      </c>
      <c r="I74" s="319">
        <f>+F51*'DATOS PARA DEPURAR'!$C$23</f>
        <v>0</v>
      </c>
      <c r="L74" s="326">
        <f t="shared" si="7"/>
        <v>2850.99</v>
      </c>
      <c r="M74" s="325">
        <v>55.58</v>
      </c>
    </row>
    <row r="75" spans="4:13" ht="15" hidden="1" x14ac:dyDescent="0.25">
      <c r="D75" s="278">
        <f>IF(D73&gt;D74,(MIN(D73:D74)),D74)</f>
        <v>0</v>
      </c>
      <c r="I75" s="319">
        <f>+F52*'DATOS PARA DEPURAR'!$C$23</f>
        <v>2397054.1599999997</v>
      </c>
      <c r="L75" s="326">
        <f t="shared" si="7"/>
        <v>2931.99</v>
      </c>
      <c r="M75" s="325">
        <v>60.7</v>
      </c>
    </row>
    <row r="76" spans="4:13" ht="15" hidden="1" x14ac:dyDescent="0.25">
      <c r="H76" s="322"/>
      <c r="I76" s="319">
        <f>+F53*'DATOS PARA DEPURAR'!$C$23</f>
        <v>0</v>
      </c>
      <c r="K76" s="323">
        <v>0</v>
      </c>
      <c r="L76" s="326">
        <f t="shared" si="7"/>
        <v>3013.99</v>
      </c>
      <c r="M76" s="325">
        <v>66.02</v>
      </c>
    </row>
    <row r="77" spans="4:13" ht="15.75" hidden="1" x14ac:dyDescent="0.25">
      <c r="D77" s="330" t="s">
        <v>357</v>
      </c>
      <c r="K77" s="323">
        <v>1548</v>
      </c>
      <c r="L77" s="326">
        <f t="shared" si="7"/>
        <v>3094.99</v>
      </c>
      <c r="M77" s="325">
        <v>71.540000000000006</v>
      </c>
    </row>
    <row r="78" spans="4:13" ht="15" hidden="1" x14ac:dyDescent="0.25">
      <c r="D78" s="272" t="s">
        <v>358</v>
      </c>
      <c r="F78" s="328">
        <f>IF(('PATRIMONIO BRUTO'!D28)="S",('PATRIMONIO BRUTO'!E28),0)</f>
        <v>3288899</v>
      </c>
      <c r="I78" s="202">
        <f>LOOKUP(F51,K52:L136,M52:M136)</f>
        <v>66.02</v>
      </c>
      <c r="K78" s="323">
        <v>1588</v>
      </c>
      <c r="L78" s="326">
        <f t="shared" si="7"/>
        <v>3176.99</v>
      </c>
      <c r="M78" s="325">
        <v>77.239999999999995</v>
      </c>
    </row>
    <row r="79" spans="4:13" ht="15" hidden="1" x14ac:dyDescent="0.25">
      <c r="D79" s="272" t="s">
        <v>359</v>
      </c>
      <c r="F79" s="328">
        <f>IF(('PATRIMONIO BRUTO'!D30)="S",('PATRIMONIO BRUTO'!E30),0)</f>
        <v>23444444</v>
      </c>
      <c r="K79" s="323">
        <v>1629</v>
      </c>
      <c r="L79" s="326">
        <f t="shared" si="7"/>
        <v>3257.99</v>
      </c>
      <c r="M79" s="325">
        <v>83.14</v>
      </c>
    </row>
    <row r="80" spans="4:13" ht="15" hidden="1" x14ac:dyDescent="0.25">
      <c r="D80" s="272" t="s">
        <v>305</v>
      </c>
      <c r="F80" s="202">
        <f>IF(('PATRIMONIO BRUTO'!E51)&gt;0,('PATRIMONIO BRUTO'!E51),0)</f>
        <v>0</v>
      </c>
      <c r="K80" s="323">
        <v>1670</v>
      </c>
      <c r="L80" s="326">
        <f t="shared" si="7"/>
        <v>3338.99</v>
      </c>
      <c r="M80" s="325">
        <v>89.23</v>
      </c>
    </row>
    <row r="81" spans="4:13" ht="15" hidden="1" x14ac:dyDescent="0.25">
      <c r="D81" s="331" t="s">
        <v>307</v>
      </c>
      <c r="F81" s="202">
        <f>IF(('PATRIMONIO BRUTO'!E60)&gt;0,('PATRIMONIO BRUTO'!E60),0)</f>
        <v>0</v>
      </c>
      <c r="K81" s="323">
        <v>1710</v>
      </c>
      <c r="L81" s="326">
        <f t="shared" si="7"/>
        <v>3420.99</v>
      </c>
      <c r="M81" s="325">
        <v>95.51</v>
      </c>
    </row>
    <row r="82" spans="4:13" ht="15" hidden="1" x14ac:dyDescent="0.25">
      <c r="D82" s="331" t="s">
        <v>307</v>
      </c>
      <c r="F82" s="202">
        <f>IF(('PATRIMONIO BRUTO'!E61)&gt;0,('PATRIMONIO BRUTO'!E61),0)</f>
        <v>0</v>
      </c>
      <c r="K82" s="323">
        <v>1751</v>
      </c>
      <c r="L82" s="326">
        <f t="shared" si="7"/>
        <v>3501.99</v>
      </c>
      <c r="M82" s="325">
        <v>101.98</v>
      </c>
    </row>
    <row r="83" spans="4:13" ht="15" hidden="1" x14ac:dyDescent="0.25">
      <c r="D83" s="331" t="s">
        <v>348</v>
      </c>
      <c r="F83" s="202">
        <f>IF(('PATRIMONIO BRUTO'!E86)&gt;0,('PATRIMONIO BRUTO'!E86),0)</f>
        <v>0</v>
      </c>
      <c r="K83" s="323">
        <v>1792</v>
      </c>
      <c r="L83" s="326">
        <f t="shared" si="7"/>
        <v>3583.99</v>
      </c>
      <c r="M83" s="325">
        <v>108.64</v>
      </c>
    </row>
    <row r="84" spans="4:13" ht="15" hidden="1" x14ac:dyDescent="0.25">
      <c r="K84" s="323">
        <v>1833</v>
      </c>
      <c r="L84" s="326">
        <f t="shared" si="7"/>
        <v>3664.99</v>
      </c>
      <c r="M84" s="325">
        <v>115.49</v>
      </c>
    </row>
    <row r="85" spans="4:13" ht="15.75" hidden="1" x14ac:dyDescent="0.25">
      <c r="D85" s="332">
        <f>IF((I108-I107)&gt;0,(I108-I107)*0.5%,0)</f>
        <v>1464093.9316501869</v>
      </c>
      <c r="K85" s="323">
        <v>1873</v>
      </c>
      <c r="L85" s="326">
        <f t="shared" si="7"/>
        <v>3746.99</v>
      </c>
      <c r="M85" s="325">
        <v>122.54</v>
      </c>
    </row>
    <row r="86" spans="4:13" ht="15" hidden="1" x14ac:dyDescent="0.25">
      <c r="K86" s="323">
        <v>1914</v>
      </c>
      <c r="L86" s="326">
        <f t="shared" si="7"/>
        <v>3827.99</v>
      </c>
      <c r="M86" s="325">
        <v>129.76</v>
      </c>
    </row>
    <row r="87" spans="4:13" ht="15" hidden="1" x14ac:dyDescent="0.25">
      <c r="K87" s="323">
        <v>1955</v>
      </c>
      <c r="L87" s="326">
        <f t="shared" si="7"/>
        <v>3909.99</v>
      </c>
      <c r="M87" s="325">
        <v>137.18</v>
      </c>
    </row>
    <row r="88" spans="4:13" ht="15" hidden="1" x14ac:dyDescent="0.25">
      <c r="D88" s="333" t="s">
        <v>362</v>
      </c>
      <c r="K88" s="323">
        <v>1996</v>
      </c>
      <c r="L88" s="326">
        <f t="shared" si="7"/>
        <v>3990.99</v>
      </c>
      <c r="M88" s="325">
        <v>144.78</v>
      </c>
    </row>
    <row r="89" spans="4:13" ht="15" hidden="1" x14ac:dyDescent="0.25">
      <c r="D89" s="272" t="s">
        <v>357</v>
      </c>
      <c r="F89" s="202">
        <f>+'DATOS PARA DEPURAR'!C22</f>
        <v>0</v>
      </c>
      <c r="K89" s="323">
        <v>2036</v>
      </c>
      <c r="L89" s="326">
        <f t="shared" si="7"/>
        <v>4071.99</v>
      </c>
      <c r="M89" s="325">
        <v>152.58000000000001</v>
      </c>
    </row>
    <row r="90" spans="4:13" ht="16.5" hidden="1" x14ac:dyDescent="0.25">
      <c r="D90" s="334" t="s">
        <v>364</v>
      </c>
      <c r="K90" s="323">
        <v>2118</v>
      </c>
      <c r="L90" s="326">
        <f t="shared" si="7"/>
        <v>4275.99</v>
      </c>
      <c r="M90" s="325">
        <v>168.71</v>
      </c>
    </row>
    <row r="91" spans="4:13" ht="15" hidden="1" x14ac:dyDescent="0.25">
      <c r="K91" s="323">
        <v>2199</v>
      </c>
      <c r="L91" s="326">
        <f t="shared" si="7"/>
        <v>4479.99</v>
      </c>
      <c r="M91" s="325">
        <v>189.92</v>
      </c>
    </row>
    <row r="92" spans="4:13" ht="15" hidden="1" x14ac:dyDescent="0.25">
      <c r="K92" s="323">
        <v>2281</v>
      </c>
      <c r="L92" s="326">
        <f t="shared" si="7"/>
        <v>4682.99</v>
      </c>
      <c r="M92" s="325">
        <v>212.27</v>
      </c>
    </row>
    <row r="93" spans="4:13" ht="15" hidden="1" x14ac:dyDescent="0.25">
      <c r="K93" s="323">
        <v>2362</v>
      </c>
      <c r="L93" s="326">
        <f t="shared" si="7"/>
        <v>4886.99</v>
      </c>
      <c r="M93" s="325">
        <v>235.75</v>
      </c>
    </row>
    <row r="94" spans="4:13" ht="15" hidden="1" x14ac:dyDescent="0.25">
      <c r="K94" s="323">
        <v>2443</v>
      </c>
      <c r="L94" s="326">
        <f t="shared" si="7"/>
        <v>5090.99</v>
      </c>
      <c r="M94" s="325">
        <v>260.33999999999997</v>
      </c>
    </row>
    <row r="95" spans="4:13" ht="15" hidden="1" x14ac:dyDescent="0.25">
      <c r="K95" s="323">
        <v>2525</v>
      </c>
      <c r="L95" s="326">
        <f t="shared" si="7"/>
        <v>5293.99</v>
      </c>
      <c r="M95" s="325">
        <v>286.02999999999997</v>
      </c>
    </row>
    <row r="96" spans="4:13" ht="15" hidden="1" x14ac:dyDescent="0.25">
      <c r="K96" s="323">
        <v>2606</v>
      </c>
      <c r="L96" s="326">
        <f t="shared" si="7"/>
        <v>5497.99</v>
      </c>
      <c r="M96" s="325">
        <v>312.81</v>
      </c>
    </row>
    <row r="97" spans="4:13" ht="15" hidden="1" x14ac:dyDescent="0.25">
      <c r="K97" s="323">
        <v>2688</v>
      </c>
      <c r="L97" s="326">
        <f t="shared" si="7"/>
        <v>5700.99</v>
      </c>
      <c r="M97" s="325">
        <v>340.66</v>
      </c>
    </row>
    <row r="98" spans="4:13" ht="15" hidden="1" x14ac:dyDescent="0.25">
      <c r="D98" s="2">
        <f>+K41</f>
        <v>380040</v>
      </c>
      <c r="E98" s="36">
        <f>+F98*-1</f>
        <v>465000</v>
      </c>
      <c r="F98" s="36">
        <f>IF('DATOS PARA DEPURAR'!C14&lt;=0,'DATOS PARA DEPURAR'!C14,0)</f>
        <v>-465000</v>
      </c>
      <c r="I98" s="411">
        <f>IF(('DATOS PARA DEPURAR'!E21)=2,('DATOS PARA DEPURAR'!C19/'DATOS PARA DEPURAR'!E19),IF(('DATOS PARA DEPURAR'!E21)=3,('DATOS PARA DEPURAR'!C19/'DATOS PARA DEPURAR'!E19),0))</f>
        <v>1.163760689037755</v>
      </c>
      <c r="K98" s="323">
        <v>2769</v>
      </c>
      <c r="L98" s="326">
        <f t="shared" si="7"/>
        <v>5904.99</v>
      </c>
      <c r="M98" s="325">
        <v>369.57</v>
      </c>
    </row>
    <row r="99" spans="4:13" ht="15" hidden="1" x14ac:dyDescent="0.25">
      <c r="D99" s="2">
        <f>IF((K33+K37-K34-K35-K36)&gt;0,K33+K37-K34-K35-K36,0)</f>
        <v>0</v>
      </c>
      <c r="E99" s="487">
        <f>IF('DATOS PARA DEPURAR'!C14&gt;0,'DATOS PARA DEPURAR'!C14,0)</f>
        <v>0</v>
      </c>
      <c r="F99" s="51"/>
      <c r="I99" s="411">
        <f>IF(I98&gt;0,I98,0)</f>
        <v>1.163760689037755</v>
      </c>
      <c r="K99" s="323">
        <v>2851</v>
      </c>
      <c r="L99" s="326">
        <f t="shared" si="7"/>
        <v>6108.99</v>
      </c>
      <c r="M99" s="325">
        <v>399.52</v>
      </c>
    </row>
    <row r="100" spans="4:13" ht="15" hidden="1" x14ac:dyDescent="0.25">
      <c r="D100" s="1257" t="s">
        <v>459</v>
      </c>
      <c r="E100" s="1258"/>
      <c r="F100" s="36"/>
      <c r="K100" s="323">
        <v>2932</v>
      </c>
      <c r="L100" s="326">
        <f t="shared" si="7"/>
        <v>6311.99</v>
      </c>
      <c r="M100" s="325">
        <v>430.49</v>
      </c>
    </row>
    <row r="101" spans="4:13" ht="15" hidden="1" x14ac:dyDescent="0.25">
      <c r="D101" s="39" t="s">
        <v>460</v>
      </c>
      <c r="E101" s="36"/>
      <c r="F101" s="36"/>
      <c r="I101" s="328">
        <f>IF(($I$99)&gt;0,$I$99*F78,0)</f>
        <v>3827491.3664155835</v>
      </c>
      <c r="K101" s="323">
        <v>3014</v>
      </c>
      <c r="L101" s="326">
        <f t="shared" si="7"/>
        <v>6515.99</v>
      </c>
      <c r="M101" s="325">
        <v>462.46</v>
      </c>
    </row>
    <row r="102" spans="4:13" ht="15" hidden="1" x14ac:dyDescent="0.25">
      <c r="D102" t="str">
        <f>IF(D98&gt;E98,D100,D101)</f>
        <v>YAOP</v>
      </c>
      <c r="E102" s="36"/>
      <c r="F102" s="36"/>
      <c r="I102" s="328">
        <f>IF(($I$99)&gt;0,$I$99*F79,0)</f>
        <v>27283722.303547062</v>
      </c>
      <c r="K102" s="323">
        <v>3095</v>
      </c>
      <c r="L102" s="326">
        <f t="shared" si="7"/>
        <v>6719.99</v>
      </c>
      <c r="M102" s="325">
        <v>495.43</v>
      </c>
    </row>
    <row r="103" spans="4:13" ht="15" hidden="1" x14ac:dyDescent="0.25">
      <c r="D103" t="str">
        <f>IF(D99&gt;E99,D100,D101)</f>
        <v>YAOP</v>
      </c>
      <c r="E103" s="36"/>
      <c r="F103" s="36" t="str">
        <f>IF(D98&gt;=0,IF(E99&gt;=0,D104,IF(D98&gt;=0,IF(E98&gt;=0,D102,IF(D99&gt;=0,IF(E99&gt;=0,D103,0))))))</f>
        <v>ESTA DECLARACION DEBE REALIZARSE SEGÚN ART 589 E.T.</v>
      </c>
      <c r="I103" s="202">
        <f>IF((F80)&lt;=((8000)*('DATOS PARA DEPURAR'!C23)),F80,(8000*'DATOS PARA DEPURAR'!C23))</f>
        <v>0</v>
      </c>
      <c r="K103" s="323">
        <v>3177</v>
      </c>
      <c r="L103" s="326">
        <f t="shared" si="7"/>
        <v>6922.99</v>
      </c>
      <c r="M103" s="325">
        <v>529.36</v>
      </c>
    </row>
    <row r="104" spans="4:13" ht="15" hidden="1" x14ac:dyDescent="0.25">
      <c r="D104" t="str">
        <f>IF(D98&gt;=0,IF(E99&gt;=0,D100,D101))</f>
        <v>ESTA DECLARACION DEBE REALIZARSE SEGÚN ART 589 E.T.</v>
      </c>
      <c r="E104" s="36"/>
      <c r="F104" s="36"/>
      <c r="I104" s="202">
        <f>IF(SUM(F81:F83)&lt;=(19000*'DATOS PARA DEPURAR'!C23),(SUM(F81:F83)),(19000*'DATOS PARA DEPURAR'!C23))</f>
        <v>0</v>
      </c>
      <c r="K104" s="323">
        <v>3258</v>
      </c>
      <c r="L104" s="326">
        <f t="shared" si="7"/>
        <v>7126.99</v>
      </c>
      <c r="M104" s="325">
        <v>564.23</v>
      </c>
    </row>
    <row r="105" spans="4:13" ht="15" hidden="1" x14ac:dyDescent="0.25">
      <c r="K105" s="323">
        <v>3339</v>
      </c>
      <c r="L105" s="326">
        <f t="shared" si="7"/>
        <v>7329.99</v>
      </c>
      <c r="M105" s="325">
        <v>600.04</v>
      </c>
    </row>
    <row r="106" spans="4:13" ht="15" hidden="1" x14ac:dyDescent="0.25">
      <c r="K106" s="323">
        <v>3421</v>
      </c>
      <c r="L106" s="326">
        <f t="shared" si="7"/>
        <v>7533.99</v>
      </c>
      <c r="M106" s="325">
        <v>636.75</v>
      </c>
    </row>
    <row r="107" spans="4:13" ht="15" hidden="1" x14ac:dyDescent="0.25">
      <c r="D107" s="202" t="str">
        <f>IF('DATOS PARA DEPURAR'!C13="S",F103,D101)</f>
        <v>YAOP</v>
      </c>
      <c r="G107" s="50"/>
      <c r="I107" s="328">
        <f>SUM(I101:I106)</f>
        <v>31111213.669962645</v>
      </c>
      <c r="K107" s="323">
        <v>3502</v>
      </c>
      <c r="L107" s="326">
        <f t="shared" si="7"/>
        <v>7737.99</v>
      </c>
      <c r="M107" s="325">
        <v>674.35</v>
      </c>
    </row>
    <row r="108" spans="4:13" ht="15" hidden="1" x14ac:dyDescent="0.25">
      <c r="G108" s="50"/>
      <c r="I108" s="275">
        <f>+'DATOS PARA DEPURAR'!E19</f>
        <v>323930000</v>
      </c>
      <c r="K108" s="323">
        <v>3584</v>
      </c>
      <c r="L108" s="326">
        <f t="shared" si="7"/>
        <v>7940.99</v>
      </c>
      <c r="M108" s="325">
        <v>712.8</v>
      </c>
    </row>
    <row r="109" spans="4:13" ht="15" hidden="1" x14ac:dyDescent="0.25">
      <c r="G109" s="50"/>
      <c r="K109" s="323">
        <v>3665</v>
      </c>
      <c r="L109" s="326">
        <f t="shared" si="7"/>
        <v>8144.99</v>
      </c>
      <c r="M109" s="325">
        <v>752.1</v>
      </c>
    </row>
    <row r="110" spans="4:13" ht="15" hidden="1" x14ac:dyDescent="0.25">
      <c r="D110" s="272" t="s">
        <v>472</v>
      </c>
      <c r="G110" s="50"/>
      <c r="K110" s="323">
        <v>3747</v>
      </c>
      <c r="L110" s="326">
        <f t="shared" si="7"/>
        <v>8348.99</v>
      </c>
      <c r="M110" s="325">
        <v>792.22</v>
      </c>
    </row>
    <row r="111" spans="4:13" ht="15" hidden="1" x14ac:dyDescent="0.25">
      <c r="G111" s="50"/>
      <c r="K111" s="323">
        <v>3828</v>
      </c>
      <c r="L111" s="326">
        <f t="shared" si="7"/>
        <v>8551.99</v>
      </c>
      <c r="M111" s="325">
        <v>833.12</v>
      </c>
    </row>
    <row r="112" spans="4:13" ht="15" hidden="1" x14ac:dyDescent="0.25">
      <c r="D112" s="284" t="s">
        <v>8</v>
      </c>
      <c r="E112" s="285"/>
      <c r="G112" s="50"/>
      <c r="I112" s="202">
        <f>IF((F24)&gt;=F89,F89,F24)</f>
        <v>0</v>
      </c>
      <c r="K112" s="323">
        <v>3910</v>
      </c>
      <c r="L112" s="326">
        <f t="shared" si="7"/>
        <v>8755.99</v>
      </c>
      <c r="M112" s="325">
        <v>874.79</v>
      </c>
    </row>
    <row r="113" spans="4:13" ht="15.75" hidden="1" thickBot="1" x14ac:dyDescent="0.3">
      <c r="D113" s="1244">
        <f>+F28/I136</f>
        <v>0</v>
      </c>
      <c r="E113" s="1245"/>
      <c r="G113" s="50"/>
      <c r="K113" s="323">
        <v>3991</v>
      </c>
      <c r="L113" s="326">
        <f t="shared" si="7"/>
        <v>8958.99</v>
      </c>
      <c r="M113" s="325">
        <v>917.21</v>
      </c>
    </row>
    <row r="114" spans="4:13" ht="15" hidden="1" x14ac:dyDescent="0.25">
      <c r="E114" s="202"/>
      <c r="K114" s="323">
        <v>4072</v>
      </c>
      <c r="L114" s="326">
        <f t="shared" si="7"/>
        <v>9162.99</v>
      </c>
      <c r="M114" s="325">
        <v>960.34</v>
      </c>
    </row>
    <row r="115" spans="4:13" ht="15" hidden="1" x14ac:dyDescent="0.25">
      <c r="D115" s="290">
        <v>0</v>
      </c>
      <c r="F115" s="291">
        <v>1090</v>
      </c>
      <c r="K115" s="323">
        <v>4276</v>
      </c>
      <c r="L115" s="326">
        <f t="shared" si="7"/>
        <v>9366.99</v>
      </c>
      <c r="M115" s="335">
        <v>1004.16</v>
      </c>
    </row>
    <row r="116" spans="4:13" ht="15" hidden="1" x14ac:dyDescent="0.25">
      <c r="D116" s="293" t="s">
        <v>176</v>
      </c>
      <c r="F116" s="294">
        <v>1700</v>
      </c>
      <c r="K116" s="323">
        <v>4480</v>
      </c>
      <c r="L116" s="326">
        <f t="shared" si="7"/>
        <v>9569.99</v>
      </c>
      <c r="M116" s="335">
        <v>1048.6400000000001</v>
      </c>
    </row>
    <row r="117" spans="4:13" ht="15" hidden="1" x14ac:dyDescent="0.25">
      <c r="D117" s="293" t="s">
        <v>177</v>
      </c>
      <c r="F117" s="294">
        <v>4100</v>
      </c>
      <c r="K117" s="323">
        <v>4683</v>
      </c>
      <c r="L117" s="326">
        <f t="shared" si="7"/>
        <v>9773.99</v>
      </c>
      <c r="M117" s="335">
        <v>1093.75</v>
      </c>
    </row>
    <row r="118" spans="4:13" ht="15.75" hidden="1" thickBot="1" x14ac:dyDescent="0.3">
      <c r="D118" s="298" t="s">
        <v>178</v>
      </c>
      <c r="F118" s="299"/>
      <c r="K118" s="323">
        <v>4887</v>
      </c>
      <c r="L118" s="326">
        <f t="shared" ref="L118:L135" si="8">+K143-0.01</f>
        <v>9977.99</v>
      </c>
      <c r="M118" s="335">
        <v>1139.48</v>
      </c>
    </row>
    <row r="119" spans="4:13" ht="15" hidden="1" x14ac:dyDescent="0.25">
      <c r="E119" s="202"/>
      <c r="K119" s="323">
        <v>5091</v>
      </c>
      <c r="L119" s="326">
        <f t="shared" si="8"/>
        <v>10180.99</v>
      </c>
      <c r="M119" s="335">
        <v>1185.78</v>
      </c>
    </row>
    <row r="120" spans="4:13" ht="15" hidden="1" x14ac:dyDescent="0.25">
      <c r="D120" s="1246" t="s">
        <v>179</v>
      </c>
      <c r="E120" s="1247"/>
      <c r="K120" s="323">
        <v>5294</v>
      </c>
      <c r="L120" s="326">
        <f t="shared" si="8"/>
        <v>10384.99</v>
      </c>
      <c r="M120" s="335">
        <v>1232.6199999999999</v>
      </c>
    </row>
    <row r="121" spans="4:13" ht="15.75" hidden="1" thickBot="1" x14ac:dyDescent="0.3">
      <c r="D121" s="1248">
        <f>IF(I138=0,I138,IF(I139&gt;0,I139,IF(I140&gt;0,I140,IF(I141&gt;0,I141))))</f>
        <v>0</v>
      </c>
      <c r="E121" s="1249"/>
      <c r="K121" s="323">
        <v>5498</v>
      </c>
      <c r="L121" s="326">
        <f t="shared" si="8"/>
        <v>10587.99</v>
      </c>
      <c r="M121" s="335">
        <v>1279.99</v>
      </c>
    </row>
    <row r="122" spans="4:13" ht="15" hidden="1" x14ac:dyDescent="0.25">
      <c r="K122" s="323">
        <v>5701</v>
      </c>
      <c r="L122" s="326">
        <f t="shared" si="8"/>
        <v>10791.99</v>
      </c>
      <c r="M122" s="335">
        <v>1327.85</v>
      </c>
    </row>
    <row r="123" spans="4:13" ht="15" hidden="1" x14ac:dyDescent="0.25">
      <c r="K123" s="323">
        <v>5905</v>
      </c>
      <c r="L123" s="326">
        <f t="shared" si="8"/>
        <v>10995.99</v>
      </c>
      <c r="M123" s="335">
        <v>1376.16</v>
      </c>
    </row>
    <row r="124" spans="4:13" ht="15" hidden="1" x14ac:dyDescent="0.25">
      <c r="D124" s="272" t="s">
        <v>473</v>
      </c>
      <c r="K124" s="323">
        <v>6109</v>
      </c>
      <c r="L124" s="326">
        <f t="shared" si="8"/>
        <v>11198.99</v>
      </c>
      <c r="M124" s="335">
        <v>1424.9</v>
      </c>
    </row>
    <row r="125" spans="4:13" ht="15" hidden="1" x14ac:dyDescent="0.25">
      <c r="D125" s="328">
        <f>MAX(J25:K26)</f>
        <v>89</v>
      </c>
      <c r="K125" s="323">
        <v>6312</v>
      </c>
      <c r="L125" s="326">
        <f t="shared" si="8"/>
        <v>11402.99</v>
      </c>
      <c r="M125" s="335">
        <v>1474.04</v>
      </c>
    </row>
    <row r="126" spans="4:13" ht="15" hidden="1" x14ac:dyDescent="0.25">
      <c r="D126" s="272" t="s">
        <v>474</v>
      </c>
      <c r="K126" s="323">
        <v>6516</v>
      </c>
      <c r="L126" s="326">
        <f t="shared" si="8"/>
        <v>11606.99</v>
      </c>
      <c r="M126" s="335">
        <v>1523.54</v>
      </c>
    </row>
    <row r="127" spans="4:13" ht="15" hidden="1" x14ac:dyDescent="0.25">
      <c r="D127" s="329">
        <f>+D121</f>
        <v>0</v>
      </c>
      <c r="K127" s="323">
        <v>6720</v>
      </c>
      <c r="L127" s="326">
        <f t="shared" si="8"/>
        <v>11809.99</v>
      </c>
      <c r="M127" s="335">
        <v>1573.37</v>
      </c>
    </row>
    <row r="128" spans="4:13" ht="15" hidden="1" x14ac:dyDescent="0.25">
      <c r="K128" s="323">
        <v>6923</v>
      </c>
      <c r="L128" s="326">
        <f t="shared" si="8"/>
        <v>12013.99</v>
      </c>
      <c r="M128" s="335">
        <v>1623.49</v>
      </c>
    </row>
    <row r="129" spans="4:13" ht="22.5" hidden="1" x14ac:dyDescent="0.25">
      <c r="D129" s="519" t="s">
        <v>167</v>
      </c>
      <c r="F129" s="278">
        <f>+'DATOS PARA DEPURAR'!E312</f>
        <v>0</v>
      </c>
      <c r="K129" s="323">
        <v>7127</v>
      </c>
      <c r="L129" s="326">
        <f t="shared" si="8"/>
        <v>12216.99</v>
      </c>
      <c r="M129" s="335">
        <v>1673.89</v>
      </c>
    </row>
    <row r="130" spans="4:13" ht="22.5" hidden="1" x14ac:dyDescent="0.25">
      <c r="D130" s="519" t="s">
        <v>168</v>
      </c>
      <c r="F130" s="278">
        <f>+'DATOS PARA DEPURAR'!E313</f>
        <v>0</v>
      </c>
      <c r="K130" s="323">
        <v>7330</v>
      </c>
      <c r="L130" s="326">
        <f t="shared" si="8"/>
        <v>12420.99</v>
      </c>
      <c r="M130" s="335">
        <v>1724.51</v>
      </c>
    </row>
    <row r="131" spans="4:13" ht="22.5" hidden="1" x14ac:dyDescent="0.25">
      <c r="D131" s="519" t="s">
        <v>169</v>
      </c>
      <c r="F131" s="278">
        <f>+'DATOS PARA DEPURAR'!E314</f>
        <v>0</v>
      </c>
      <c r="K131" s="323">
        <v>7534</v>
      </c>
      <c r="L131" s="326">
        <f t="shared" si="8"/>
        <v>12624.99</v>
      </c>
      <c r="M131" s="335">
        <v>1775.33</v>
      </c>
    </row>
    <row r="132" spans="4:13" ht="15" hidden="1" x14ac:dyDescent="0.25">
      <c r="D132" s="520" t="s">
        <v>170</v>
      </c>
      <c r="F132" s="278">
        <f>+'DATOS PARA DEPURAR'!E316</f>
        <v>0</v>
      </c>
      <c r="K132" s="323">
        <v>7738</v>
      </c>
      <c r="L132" s="326">
        <f t="shared" si="8"/>
        <v>12827.99</v>
      </c>
      <c r="M132" s="335">
        <v>1826.31</v>
      </c>
    </row>
    <row r="133" spans="4:13" ht="15" hidden="1" x14ac:dyDescent="0.25">
      <c r="D133" s="272" t="s">
        <v>475</v>
      </c>
      <c r="F133" s="328">
        <f>IF(I156&gt;0,D125-I156,0)</f>
        <v>0</v>
      </c>
      <c r="K133" s="323">
        <v>7941</v>
      </c>
      <c r="L133" s="326">
        <f t="shared" si="8"/>
        <v>13031.99</v>
      </c>
      <c r="M133" s="335">
        <v>1877.42</v>
      </c>
    </row>
    <row r="134" spans="4:13" ht="15" hidden="1" x14ac:dyDescent="0.25">
      <c r="D134" s="272" t="s">
        <v>476</v>
      </c>
      <c r="F134" s="275">
        <f>IF(D127&gt;0,D127*0.75,0)</f>
        <v>0</v>
      </c>
      <c r="K134" s="323">
        <v>8145</v>
      </c>
      <c r="L134" s="326">
        <f t="shared" si="8"/>
        <v>13235.99</v>
      </c>
      <c r="M134" s="335">
        <v>1928.63</v>
      </c>
    </row>
    <row r="135" spans="4:13" ht="15" hidden="1" x14ac:dyDescent="0.25">
      <c r="I135" s="286" t="s">
        <v>10</v>
      </c>
      <c r="K135" s="323">
        <v>8349</v>
      </c>
      <c r="L135" s="326">
        <f t="shared" si="8"/>
        <v>13438.99</v>
      </c>
      <c r="M135" s="335">
        <v>1979.89</v>
      </c>
    </row>
    <row r="136" spans="4:13" ht="15" hidden="1" x14ac:dyDescent="0.25">
      <c r="D136" s="272" t="s">
        <v>477</v>
      </c>
      <c r="F136" s="328">
        <f>IF(F133&lt;F134,0,F133)</f>
        <v>0</v>
      </c>
      <c r="I136" s="287">
        <f>+'DATOS PARA DEPURAR'!C23</f>
        <v>36308</v>
      </c>
      <c r="K136" s="323">
        <v>8552</v>
      </c>
      <c r="L136" s="326">
        <f>13643-0.01</f>
        <v>13642.99</v>
      </c>
      <c r="M136" s="335">
        <v>2031.18</v>
      </c>
    </row>
    <row r="137" spans="4:13" ht="15" hidden="1" x14ac:dyDescent="0.25">
      <c r="K137" s="323">
        <v>8756</v>
      </c>
      <c r="L137" s="324"/>
      <c r="M137" s="325" t="s">
        <v>87</v>
      </c>
    </row>
    <row r="138" spans="4:13" ht="22.5" hidden="1" x14ac:dyDescent="0.2">
      <c r="D138" s="519" t="s">
        <v>167</v>
      </c>
      <c r="F138" s="202">
        <f>IF(F136&gt;0,I152,0)</f>
        <v>0</v>
      </c>
      <c r="I138" s="292">
        <f>IF(D113&lt;=1090,0)</f>
        <v>0</v>
      </c>
      <c r="K138" s="323">
        <v>8959</v>
      </c>
    </row>
    <row r="139" spans="4:13" ht="22.5" hidden="1" x14ac:dyDescent="0.25">
      <c r="D139" s="519" t="s">
        <v>168</v>
      </c>
      <c r="F139" s="202">
        <f>IF(F136&gt;0,I153,0)</f>
        <v>0</v>
      </c>
      <c r="I139" s="295" t="b">
        <f>IF(D113&gt;1090,(IF(D113&lt;=1700,ROUND((((+D113-1090)*19%)*I136),-3),0)),FALSE)</f>
        <v>0</v>
      </c>
      <c r="K139" s="323">
        <v>9163</v>
      </c>
    </row>
    <row r="140" spans="4:13" ht="22.5" hidden="1" x14ac:dyDescent="0.25">
      <c r="D140" s="519" t="s">
        <v>169</v>
      </c>
      <c r="F140" s="202">
        <f>IF(F136&gt;0,I154,0)</f>
        <v>0</v>
      </c>
      <c r="I140" s="295" t="b">
        <f>IF(D113&gt;1700,IF(D113&lt;=4100,ROUND((((+D113-1700)*28%+116)*I136),-3),0))</f>
        <v>0</v>
      </c>
      <c r="K140" s="323">
        <v>9367</v>
      </c>
    </row>
    <row r="141" spans="4:13" ht="15.75" hidden="1" thickBot="1" x14ac:dyDescent="0.3">
      <c r="D141" s="520" t="s">
        <v>170</v>
      </c>
      <c r="F141" s="202">
        <f>IF(F136&gt;0,I155,0)</f>
        <v>0</v>
      </c>
      <c r="I141" s="300">
        <f>IF(D113&gt;4100,ROUND((((+D113-4100)*33%)*I136)+(788*I136),-3),0)</f>
        <v>0</v>
      </c>
      <c r="K141" s="323">
        <v>9570</v>
      </c>
    </row>
    <row r="142" spans="4:13" hidden="1" x14ac:dyDescent="0.2">
      <c r="K142" s="323">
        <v>9774</v>
      </c>
    </row>
    <row r="143" spans="4:13" hidden="1" x14ac:dyDescent="0.2">
      <c r="D143" s="272" t="s">
        <v>478</v>
      </c>
      <c r="K143" s="323">
        <v>9978</v>
      </c>
    </row>
    <row r="144" spans="4:13" hidden="1" x14ac:dyDescent="0.2">
      <c r="D144" s="272" t="s">
        <v>412</v>
      </c>
      <c r="F144" s="202">
        <f>IF('DATOS PARA DEPURAR'!E103="S",'DATOS PARA DEPURAR'!E55,0)</f>
        <v>0</v>
      </c>
      <c r="K144" s="323">
        <v>10181</v>
      </c>
    </row>
    <row r="145" spans="4:13" hidden="1" x14ac:dyDescent="0.2">
      <c r="D145" s="272" t="s">
        <v>479</v>
      </c>
      <c r="K145" s="323">
        <v>10385</v>
      </c>
    </row>
    <row r="146" spans="4:13" hidden="1" x14ac:dyDescent="0.2">
      <c r="D146" s="272" t="s">
        <v>204</v>
      </c>
      <c r="F146" s="202">
        <f>IF(F144&gt;0,'DATOS PARA DEPURAR'!E189+SUM('DATOS PARA DEPURAR'!E206:E217)+'DATOS PARA DEPURAR'!E223+'DATOS PARA DEPURAR'!E227,0)</f>
        <v>0</v>
      </c>
      <c r="K146" s="323">
        <v>10588</v>
      </c>
    </row>
    <row r="147" spans="4:13" hidden="1" x14ac:dyDescent="0.2">
      <c r="D147" s="272" t="s">
        <v>480</v>
      </c>
      <c r="F147" s="272">
        <f>IF(F144&gt;0,'DATOS PARA DEPURAR'!E255-'DATOS PARA DEPURAR'!D255,0)</f>
        <v>0</v>
      </c>
      <c r="K147" s="323">
        <v>10792</v>
      </c>
    </row>
    <row r="148" spans="4:13" hidden="1" x14ac:dyDescent="0.2">
      <c r="D148" s="272" t="s">
        <v>481</v>
      </c>
      <c r="F148" s="202">
        <f>+F144-F146-F147</f>
        <v>0</v>
      </c>
      <c r="K148" s="323">
        <v>10996</v>
      </c>
    </row>
    <row r="149" spans="4:13" hidden="1" x14ac:dyDescent="0.2">
      <c r="D149" s="272" t="s">
        <v>480</v>
      </c>
      <c r="F149" s="202">
        <f>+F148*0.25</f>
        <v>0</v>
      </c>
      <c r="K149" s="323">
        <v>11199</v>
      </c>
    </row>
    <row r="150" spans="4:13" hidden="1" x14ac:dyDescent="0.2">
      <c r="K150" s="323">
        <v>11403</v>
      </c>
      <c r="L150" s="521"/>
      <c r="M150" s="521"/>
    </row>
    <row r="151" spans="4:13" hidden="1" x14ac:dyDescent="0.2">
      <c r="K151" s="323">
        <v>11607</v>
      </c>
      <c r="L151" s="521"/>
      <c r="M151" s="521"/>
    </row>
    <row r="152" spans="4:13" hidden="1" x14ac:dyDescent="0.2">
      <c r="I152" s="202">
        <f>IF(F129&gt;0,(IF((D125-SUM(F129))&gt;0,F129,D125)),0)</f>
        <v>0</v>
      </c>
      <c r="K152" s="323">
        <v>11810</v>
      </c>
      <c r="L152" s="521"/>
      <c r="M152" s="521"/>
    </row>
    <row r="153" spans="4:13" hidden="1" x14ac:dyDescent="0.2">
      <c r="I153" s="202">
        <f>IF(F130&gt;0,(IF((D125-SUM(F130))&gt;0,F130,D125)),0)</f>
        <v>0</v>
      </c>
      <c r="K153" s="323">
        <v>12014</v>
      </c>
      <c r="L153" s="524" t="s">
        <v>10</v>
      </c>
      <c r="M153" s="521"/>
    </row>
    <row r="154" spans="4:13" hidden="1" x14ac:dyDescent="0.2">
      <c r="I154" s="202">
        <f>IF(F131&gt;0,(IF((D125-SUM(F131))&gt;0,F131,D125)),0)</f>
        <v>0</v>
      </c>
      <c r="K154" s="323">
        <v>12217</v>
      </c>
      <c r="L154" s="525">
        <f>+'DATOS PARA DEPURAR'!C23</f>
        <v>36308</v>
      </c>
      <c r="M154" s="521"/>
    </row>
    <row r="155" spans="4:13" hidden="1" x14ac:dyDescent="0.2">
      <c r="I155" s="202">
        <f>IF(F132&gt;0,(IF((D125-SUM(F132))&gt;0,F132,D125)),0)</f>
        <v>0</v>
      </c>
      <c r="K155" s="323">
        <v>12421</v>
      </c>
      <c r="L155" s="521"/>
      <c r="M155" s="521"/>
    </row>
    <row r="156" spans="4:13" hidden="1" x14ac:dyDescent="0.2">
      <c r="I156" s="278">
        <f>MAX(I152:I155)</f>
        <v>0</v>
      </c>
      <c r="K156" s="323">
        <v>12625</v>
      </c>
      <c r="L156" s="528">
        <f>IF(I178&lt;=1090,0)</f>
        <v>0</v>
      </c>
      <c r="M156" s="521"/>
    </row>
    <row r="157" spans="4:13" ht="15" hidden="1" x14ac:dyDescent="0.25">
      <c r="K157" s="323">
        <v>12828</v>
      </c>
      <c r="L157" s="531" t="b">
        <f>IF(I178&gt;1090,(IF(I178&lt;=1700,ROUND((((+I178-1090)*19%)*L154),-3),0)),FALSE)</f>
        <v>0</v>
      </c>
      <c r="M157" s="521"/>
    </row>
    <row r="158" spans="4:13" ht="15" hidden="1" x14ac:dyDescent="0.25">
      <c r="K158" s="323">
        <v>13032</v>
      </c>
      <c r="L158" s="531" t="b">
        <f>IF(I178&gt;1700,IF(I178&lt;=4100,ROUND((((+I178-1700)*28%+116)*L154),-3),0))</f>
        <v>0</v>
      </c>
      <c r="M158" s="521"/>
    </row>
    <row r="159" spans="4:13" ht="15.75" hidden="1" thickBot="1" x14ac:dyDescent="0.3">
      <c r="K159" s="323">
        <v>13236</v>
      </c>
      <c r="L159" s="534">
        <f>IF(I178&gt;4100,ROUND((((+I178-4100)*33%)*L154)+(788*L154),-3),0)</f>
        <v>0</v>
      </c>
      <c r="M159" s="521"/>
    </row>
    <row r="160" spans="4:13" hidden="1" x14ac:dyDescent="0.2">
      <c r="K160" s="323">
        <v>13439</v>
      </c>
      <c r="L160" s="537"/>
      <c r="M160" s="521"/>
    </row>
    <row r="161" spans="4:13" hidden="1" x14ac:dyDescent="0.2">
      <c r="K161" s="325" t="s">
        <v>86</v>
      </c>
      <c r="L161" s="537"/>
      <c r="M161" s="521"/>
    </row>
    <row r="162" spans="4:13" hidden="1" x14ac:dyDescent="0.2">
      <c r="L162" s="1290" t="s">
        <v>179</v>
      </c>
      <c r="M162" s="1291"/>
    </row>
    <row r="163" spans="4:13" ht="13.5" hidden="1" thickBot="1" x14ac:dyDescent="0.25">
      <c r="D163" s="521" t="s">
        <v>482</v>
      </c>
      <c r="L163" s="1292">
        <f>IF(L156=0,L156,IF(L157&gt;0,L157,IF(L158&gt;0,L158,IF(L159&gt;0,L159))))</f>
        <v>0</v>
      </c>
      <c r="M163" s="1293"/>
    </row>
    <row r="164" spans="4:13" hidden="1" x14ac:dyDescent="0.2">
      <c r="L164" s="521"/>
      <c r="M164" s="521"/>
    </row>
    <row r="165" spans="4:13" hidden="1" x14ac:dyDescent="0.2">
      <c r="D165" s="975" t="s">
        <v>729</v>
      </c>
      <c r="F165" s="329">
        <f>K32</f>
        <v>7586000</v>
      </c>
      <c r="L165" s="521"/>
      <c r="M165" s="521"/>
    </row>
    <row r="166" spans="4:13" hidden="1" x14ac:dyDescent="0.2">
      <c r="L166" s="521"/>
      <c r="M166" s="521"/>
    </row>
    <row r="167" spans="4:13" hidden="1" x14ac:dyDescent="0.2">
      <c r="D167" s="975" t="s">
        <v>730</v>
      </c>
      <c r="F167" s="977" t="s">
        <v>36</v>
      </c>
      <c r="G167" s="975" t="s">
        <v>735</v>
      </c>
      <c r="H167" s="975"/>
      <c r="L167" s="521"/>
      <c r="M167" s="521"/>
    </row>
    <row r="168" spans="4:13" hidden="1" x14ac:dyDescent="0.2">
      <c r="D168" s="202" t="str">
        <f>+'DATOS PARA DEPURAR'!B312</f>
        <v>Por impuestos pagados en el exterior de los literales a) a c) del art. 254 E.T.</v>
      </c>
      <c r="F168" s="202">
        <f>+'DATOS PARA DEPURAR'!E312</f>
        <v>0</v>
      </c>
      <c r="G168" s="978" t="e">
        <f>+F168/$F$173</f>
        <v>#DIV/0!</v>
      </c>
      <c r="I168" s="278" t="e">
        <f>+G168*$F$178</f>
        <v>#DIV/0!</v>
      </c>
    </row>
    <row r="169" spans="4:13" hidden="1" x14ac:dyDescent="0.2">
      <c r="D169" s="202" t="str">
        <f>+'DATOS PARA DEPURAR'!B313</f>
        <v>Por impuestos pagados en el exterior del literal d) del art. 254 E.T.</v>
      </c>
      <c r="F169" s="202">
        <f>+'DATOS PARA DEPURAR'!E313</f>
        <v>0</v>
      </c>
      <c r="G169" s="978" t="e">
        <f t="shared" ref="G169:G172" si="9">+F169/$F$173</f>
        <v>#DIV/0!</v>
      </c>
      <c r="I169" s="278" t="e">
        <f t="shared" ref="I169:I171" si="10">+G169*$F$178</f>
        <v>#DIV/0!</v>
      </c>
    </row>
    <row r="170" spans="4:13" hidden="1" x14ac:dyDescent="0.2">
      <c r="D170" s="202" t="str">
        <f>+'DATOS PARA DEPURAR'!B314</f>
        <v>Por impuestos pagados en el exterior, distintos a los registrados anteriormente</v>
      </c>
      <c r="F170" s="202">
        <f>+'DATOS PARA DEPURAR'!E314</f>
        <v>0</v>
      </c>
      <c r="G170" s="978" t="e">
        <f t="shared" si="9"/>
        <v>#DIV/0!</v>
      </c>
      <c r="I170" s="278" t="e">
        <f t="shared" si="10"/>
        <v>#DIV/0!</v>
      </c>
    </row>
    <row r="171" spans="4:13" hidden="1" x14ac:dyDescent="0.2">
      <c r="D171" s="202" t="str">
        <f>+'DATOS PARA DEPURAR'!B315</f>
        <v>Otros</v>
      </c>
      <c r="F171" s="202">
        <f>+'DATOS PARA DEPURAR'!E315</f>
        <v>0</v>
      </c>
      <c r="G171" s="978" t="e">
        <f t="shared" si="9"/>
        <v>#DIV/0!</v>
      </c>
      <c r="I171" s="278" t="e">
        <f t="shared" si="10"/>
        <v>#DIV/0!</v>
      </c>
    </row>
    <row r="172" spans="4:13" hidden="1" x14ac:dyDescent="0.2">
      <c r="D172" s="202" t="str">
        <f>+'DATOS PARA DEPURAR'!B316</f>
        <v>Las donaciones efectuadas a entidades sin ánimo de lucro que hayan sido calificadas en el régimen especial del impuesto sobre la renta y complementarios y a las entidades no contribuyentes de que tratan los artículos 22 y 23 del Estatuto Tributario</v>
      </c>
      <c r="F172" s="202">
        <f>+'DATOS PARA DEPURAR'!E316</f>
        <v>0</v>
      </c>
      <c r="G172" s="978" t="e">
        <f t="shared" si="9"/>
        <v>#DIV/0!</v>
      </c>
      <c r="I172" s="278" t="e">
        <f>+G172*$F$178</f>
        <v>#DIV/0!</v>
      </c>
    </row>
    <row r="173" spans="4:13" hidden="1" x14ac:dyDescent="0.2">
      <c r="D173" s="975" t="s">
        <v>731</v>
      </c>
      <c r="F173" s="328">
        <f>SUM(F168:F172)</f>
        <v>0</v>
      </c>
    </row>
    <row r="174" spans="4:13" ht="25.5" hidden="1" x14ac:dyDescent="0.2">
      <c r="D174" s="976" t="s">
        <v>732</v>
      </c>
      <c r="F174" s="329">
        <f>+F165-F173</f>
        <v>7586000</v>
      </c>
      <c r="J174" s="521"/>
      <c r="K174" s="521"/>
    </row>
    <row r="175" spans="4:13" hidden="1" x14ac:dyDescent="0.2">
      <c r="I175" s="521"/>
      <c r="J175" s="521"/>
      <c r="K175" s="521"/>
    </row>
    <row r="176" spans="4:13" hidden="1" x14ac:dyDescent="0.2">
      <c r="D176" s="975" t="s">
        <v>733</v>
      </c>
      <c r="F176" s="278">
        <f>+K23</f>
        <v>0</v>
      </c>
      <c r="I176" s="521"/>
      <c r="J176" s="521"/>
      <c r="K176" s="521"/>
    </row>
    <row r="177" spans="4:11" hidden="1" x14ac:dyDescent="0.2">
      <c r="I177" s="522" t="s">
        <v>8</v>
      </c>
      <c r="J177" s="523"/>
      <c r="K177" s="521"/>
    </row>
    <row r="178" spans="4:11" ht="13.5" hidden="1" thickBot="1" x14ac:dyDescent="0.25">
      <c r="D178" s="975" t="s">
        <v>734</v>
      </c>
      <c r="F178" s="278">
        <f>F176*75%</f>
        <v>0</v>
      </c>
      <c r="I178" s="1288">
        <f>+'FORMULARIO 2019 RENTA CEDULA'!F28/L154</f>
        <v>0</v>
      </c>
      <c r="J178" s="1289"/>
      <c r="K178" s="521"/>
    </row>
    <row r="179" spans="4:11" hidden="1" x14ac:dyDescent="0.2">
      <c r="I179" s="521"/>
      <c r="J179" s="521"/>
      <c r="K179" s="521"/>
    </row>
    <row r="180" spans="4:11" hidden="1" x14ac:dyDescent="0.2">
      <c r="I180" s="526">
        <v>0</v>
      </c>
      <c r="J180" s="527">
        <v>1090</v>
      </c>
      <c r="K180" s="521"/>
    </row>
    <row r="181" spans="4:11" hidden="1" x14ac:dyDescent="0.2">
      <c r="I181" s="529" t="s">
        <v>176</v>
      </c>
      <c r="J181" s="530">
        <v>1700</v>
      </c>
      <c r="K181" s="521"/>
    </row>
    <row r="182" spans="4:11" hidden="1" x14ac:dyDescent="0.2">
      <c r="I182" s="529" t="s">
        <v>177</v>
      </c>
      <c r="J182" s="530">
        <v>4100</v>
      </c>
      <c r="K182" s="521"/>
    </row>
    <row r="183" spans="4:11" ht="13.5" hidden="1" thickBot="1" x14ac:dyDescent="0.25">
      <c r="I183" s="532" t="s">
        <v>178</v>
      </c>
      <c r="J183" s="533"/>
      <c r="K183" s="521"/>
    </row>
    <row r="184" spans="4:11" hidden="1" x14ac:dyDescent="0.2">
      <c r="I184" s="535"/>
      <c r="J184" s="536"/>
      <c r="K184" s="521"/>
    </row>
    <row r="185" spans="4:11" hidden="1" x14ac:dyDescent="0.2">
      <c r="I185" s="535"/>
      <c r="J185" s="536"/>
      <c r="K185" s="521"/>
    </row>
    <row r="186" spans="4:11" hidden="1" x14ac:dyDescent="0.2">
      <c r="I186" s="521"/>
      <c r="J186" s="521"/>
      <c r="K186" s="521"/>
    </row>
    <row r="187" spans="4:11" hidden="1" x14ac:dyDescent="0.2">
      <c r="I187" s="521"/>
      <c r="J187" s="521"/>
      <c r="K187" s="521"/>
    </row>
    <row r="188" spans="4:11" hidden="1" x14ac:dyDescent="0.2">
      <c r="I188" s="521"/>
      <c r="J188" s="521"/>
      <c r="K188" s="521"/>
    </row>
    <row r="189" spans="4:11" hidden="1" x14ac:dyDescent="0.2">
      <c r="I189" s="521" t="s">
        <v>413</v>
      </c>
      <c r="K189" s="521">
        <f>IF('DATOS PARA DEPURAR'!E317&lt;'FORMULARIO 2019 RENTA CEDULA'!K25,'DATOS PARA DEPURAR'!E317,'FORMULARIO 2019 RENTA CEDULA'!K25)</f>
        <v>0</v>
      </c>
    </row>
    <row r="190" spans="4:11" hidden="1" x14ac:dyDescent="0.2">
      <c r="I190" s="521" t="s">
        <v>414</v>
      </c>
      <c r="K190" s="521">
        <f>IF(L163&gt;0,L163*0.75,0)</f>
        <v>0</v>
      </c>
    </row>
    <row r="191" spans="4:11" hidden="1" x14ac:dyDescent="0.2">
      <c r="I191" s="521" t="s">
        <v>415</v>
      </c>
      <c r="K191" s="521">
        <f>IF(K189&lt;K190,K189,0)</f>
        <v>0</v>
      </c>
    </row>
  </sheetData>
  <mergeCells count="78">
    <mergeCell ref="B7:B13"/>
    <mergeCell ref="G18:G21"/>
    <mergeCell ref="B14:B25"/>
    <mergeCell ref="C20:D20"/>
    <mergeCell ref="A7:A44"/>
    <mergeCell ref="C9:D9"/>
    <mergeCell ref="G5:G9"/>
    <mergeCell ref="C7:D7"/>
    <mergeCell ref="C8:D8"/>
    <mergeCell ref="C10:D10"/>
    <mergeCell ref="C11:D11"/>
    <mergeCell ref="D120:E120"/>
    <mergeCell ref="D121:E121"/>
    <mergeCell ref="I178:J178"/>
    <mergeCell ref="L162:M162"/>
    <mergeCell ref="L163:M163"/>
    <mergeCell ref="H34:I34"/>
    <mergeCell ref="H48:I48"/>
    <mergeCell ref="C21:D21"/>
    <mergeCell ref="H49:I49"/>
    <mergeCell ref="H50:I50"/>
    <mergeCell ref="H45:I45"/>
    <mergeCell ref="C36:D36"/>
    <mergeCell ref="C37:D37"/>
    <mergeCell ref="H37:I37"/>
    <mergeCell ref="C23:D23"/>
    <mergeCell ref="H28:H31"/>
    <mergeCell ref="C24:D24"/>
    <mergeCell ref="C25:D25"/>
    <mergeCell ref="D100:E100"/>
    <mergeCell ref="C34:D34"/>
    <mergeCell ref="C35:D35"/>
    <mergeCell ref="D113:E113"/>
    <mergeCell ref="B42:D42"/>
    <mergeCell ref="B43:D43"/>
    <mergeCell ref="P36:Q36"/>
    <mergeCell ref="B44:D44"/>
    <mergeCell ref="G22:G52"/>
    <mergeCell ref="C33:D33"/>
    <mergeCell ref="B26:B37"/>
    <mergeCell ref="B38:D38"/>
    <mergeCell ref="B39:D39"/>
    <mergeCell ref="B40:D40"/>
    <mergeCell ref="B41:D41"/>
    <mergeCell ref="H40:I40"/>
    <mergeCell ref="H42:I42"/>
    <mergeCell ref="H43:I43"/>
    <mergeCell ref="M30:N30"/>
    <mergeCell ref="H32:I32"/>
    <mergeCell ref="M31:N31"/>
    <mergeCell ref="H33:I33"/>
    <mergeCell ref="M23:N23"/>
    <mergeCell ref="H22:H27"/>
    <mergeCell ref="C22:D22"/>
    <mergeCell ref="C32:D32"/>
    <mergeCell ref="H15:I15"/>
    <mergeCell ref="G10:G16"/>
    <mergeCell ref="C12:D12"/>
    <mergeCell ref="C13:D13"/>
    <mergeCell ref="H13:I13"/>
    <mergeCell ref="H8:I8"/>
    <mergeCell ref="H21:I21"/>
    <mergeCell ref="H18:I18"/>
    <mergeCell ref="H19:I19"/>
    <mergeCell ref="H20:I20"/>
    <mergeCell ref="H16:I16"/>
    <mergeCell ref="H10:I10"/>
    <mergeCell ref="H14:I14"/>
    <mergeCell ref="B1:G1"/>
    <mergeCell ref="H1:K2"/>
    <mergeCell ref="B2:G2"/>
    <mergeCell ref="B3:K3"/>
    <mergeCell ref="A4:A6"/>
    <mergeCell ref="H5:I5"/>
    <mergeCell ref="B4:D4"/>
    <mergeCell ref="B5:D5"/>
    <mergeCell ref="B6:D6"/>
    <mergeCell ref="G4:I4"/>
  </mergeCells>
  <pageMargins left="3.937007874015748E-2" right="3.937007874015748E-2" top="0.19685039370078741" bottom="0.15748031496062992" header="0.31496062992125984" footer="0.31496062992125984"/>
  <pageSetup scale="83" orientation="portrait" verticalDpi="4294967293"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66"/>
  </sheetPr>
  <dimension ref="A1:BJ403"/>
  <sheetViews>
    <sheetView showGridLines="0" view="pageBreakPreview" zoomScaleNormal="100" zoomScaleSheetLayoutView="100" workbookViewId="0">
      <selection activeCell="G13" sqref="G13:H13"/>
    </sheetView>
  </sheetViews>
  <sheetFormatPr baseColWidth="10" defaultRowHeight="12.75" x14ac:dyDescent="0.2"/>
  <cols>
    <col min="1" max="1" width="2.85546875" style="202" customWidth="1"/>
    <col min="2" max="2" width="3.5703125" style="202" customWidth="1"/>
    <col min="3" max="3" width="10.7109375" style="202" customWidth="1"/>
    <col min="4" max="4" width="3.85546875" style="202" customWidth="1"/>
    <col min="5" max="5" width="17.140625" style="202" customWidth="1"/>
    <col min="6" max="6" width="4" style="987" customWidth="1"/>
    <col min="7" max="7" width="14.5703125" style="202" customWidth="1"/>
    <col min="8" max="8" width="11" style="202" customWidth="1"/>
    <col min="9" max="9" width="4.42578125" style="202" customWidth="1"/>
    <col min="10" max="10" width="12.85546875" style="202" customWidth="1"/>
    <col min="11" max="11" width="4.85546875" style="202" customWidth="1"/>
    <col min="12" max="12" width="5.5703125" style="202" customWidth="1"/>
    <col min="13" max="13" width="4.42578125" style="202" customWidth="1"/>
    <col min="14" max="14" width="3.7109375" style="202" customWidth="1"/>
    <col min="15" max="15" width="5.85546875" style="202" customWidth="1"/>
    <col min="16" max="16" width="5.28515625" style="202" customWidth="1"/>
    <col min="17" max="17" width="16.5703125" style="202" customWidth="1"/>
    <col min="18" max="18" width="4.7109375" style="987" customWidth="1"/>
    <col min="19" max="20" width="4.7109375" style="1098" customWidth="1"/>
    <col min="21" max="21" width="12.85546875" style="202" customWidth="1"/>
    <col min="22" max="22" width="15.85546875" style="262" hidden="1" customWidth="1"/>
    <col min="23" max="23" width="30.28515625" style="202" hidden="1" customWidth="1"/>
    <col min="24" max="24" width="11.28515625" style="202" bestFit="1" customWidth="1"/>
    <col min="25" max="25" width="0.140625" style="202" hidden="1" customWidth="1"/>
    <col min="26" max="26" width="12.5703125" style="202" bestFit="1" customWidth="1"/>
    <col min="27" max="27" width="63.7109375" style="202" bestFit="1" customWidth="1"/>
    <col min="28" max="28" width="13.42578125" style="202" bestFit="1" customWidth="1"/>
    <col min="29" max="29" width="0.140625" style="202" hidden="1" customWidth="1"/>
    <col min="30" max="30" width="12.28515625" style="202" bestFit="1" customWidth="1"/>
    <col min="31" max="36" width="0.140625" style="202" hidden="1" customWidth="1"/>
    <col min="37" max="37" width="14.5703125" style="202" bestFit="1" customWidth="1"/>
    <col min="38" max="38" width="17.7109375" style="202" bestFit="1" customWidth="1"/>
    <col min="39" max="39" width="13.28515625" style="202" bestFit="1" customWidth="1"/>
    <col min="40" max="40" width="11.28515625" style="202" bestFit="1" customWidth="1"/>
    <col min="41" max="44" width="11.42578125" style="202" hidden="1" customWidth="1"/>
    <col min="45" max="45" width="5.140625" style="202" hidden="1" customWidth="1"/>
    <col min="46" max="46" width="11.42578125" style="202" hidden="1" customWidth="1"/>
    <col min="47" max="48" width="0" style="202" hidden="1" customWidth="1"/>
    <col min="49" max="58" width="11.42578125" style="202" hidden="1" customWidth="1"/>
    <col min="59" max="59" width="1.7109375" style="202" hidden="1" customWidth="1"/>
    <col min="60" max="62" width="11.42578125" style="202" hidden="1" customWidth="1"/>
    <col min="63" max="63" width="0" style="202" hidden="1" customWidth="1"/>
    <col min="64" max="16384" width="11.42578125" style="202"/>
  </cols>
  <sheetData>
    <row r="1" spans="1:22" ht="16.5" customHeight="1" x14ac:dyDescent="0.25">
      <c r="A1" s="1167"/>
      <c r="B1" s="1506" t="str">
        <f>+'DATOS PARA DEPURAR'!C7</f>
        <v>OJEDA RIOJAS DAVID MATEO</v>
      </c>
      <c r="C1" s="1506"/>
      <c r="D1" s="1506"/>
      <c r="E1" s="1506"/>
      <c r="F1" s="1506"/>
      <c r="G1" s="1506"/>
      <c r="H1" s="1506"/>
      <c r="I1" s="1507" t="s">
        <v>372</v>
      </c>
      <c r="J1" s="1508"/>
      <c r="K1" s="1508"/>
      <c r="L1" s="1508"/>
      <c r="M1" s="1508"/>
      <c r="N1" s="1508"/>
      <c r="O1" s="1508"/>
      <c r="P1" s="1508"/>
      <c r="Q1" s="1508"/>
      <c r="R1" s="1508"/>
      <c r="S1" s="1508"/>
      <c r="T1" s="1508"/>
      <c r="U1" s="1509"/>
    </row>
    <row r="2" spans="1:22" ht="15.75" customHeight="1" thickBot="1" x14ac:dyDescent="0.25">
      <c r="A2" s="1168"/>
      <c r="B2" s="1513">
        <f>+'DATOS PARA DEPURAR'!E7</f>
        <v>18927495</v>
      </c>
      <c r="C2" s="1513"/>
      <c r="D2" s="1513"/>
      <c r="E2" s="1513"/>
      <c r="F2" s="1513"/>
      <c r="G2" s="1513"/>
      <c r="H2" s="1513"/>
      <c r="I2" s="1510"/>
      <c r="J2" s="1511"/>
      <c r="K2" s="1511"/>
      <c r="L2" s="1511"/>
      <c r="M2" s="1511"/>
      <c r="N2" s="1511"/>
      <c r="O2" s="1511"/>
      <c r="P2" s="1511"/>
      <c r="Q2" s="1511"/>
      <c r="R2" s="1511"/>
      <c r="S2" s="1511"/>
      <c r="T2" s="1511"/>
      <c r="U2" s="1512"/>
    </row>
    <row r="3" spans="1:22" ht="9.75" customHeight="1" thickBot="1" x14ac:dyDescent="0.25">
      <c r="B3" s="1335"/>
      <c r="C3" s="1335"/>
      <c r="D3" s="1335"/>
      <c r="E3" s="1335"/>
      <c r="F3" s="1335"/>
      <c r="G3" s="1335"/>
      <c r="H3" s="1335"/>
      <c r="I3" s="1335"/>
      <c r="J3" s="1335"/>
      <c r="K3" s="1335"/>
      <c r="L3" s="1335"/>
      <c r="M3" s="1335"/>
      <c r="N3" s="1335"/>
      <c r="O3" s="1335"/>
      <c r="P3" s="1335"/>
      <c r="Q3" s="1335"/>
      <c r="R3" s="1335"/>
      <c r="S3" s="1335"/>
      <c r="T3" s="1335"/>
      <c r="U3" s="1335"/>
    </row>
    <row r="4" spans="1:22" ht="25.5" customHeight="1" thickBot="1" x14ac:dyDescent="0.25">
      <c r="A4" s="1466" t="s">
        <v>742</v>
      </c>
      <c r="B4" s="1467"/>
      <c r="C4" s="1467"/>
      <c r="D4" s="1468"/>
      <c r="E4" s="1150" t="s">
        <v>110</v>
      </c>
      <c r="F4" s="1151">
        <v>29</v>
      </c>
      <c r="G4" s="1152">
        <f>+'PATRIMONIO BRUTO'!F91</f>
        <v>32262993</v>
      </c>
      <c r="H4" s="1153" t="s">
        <v>111</v>
      </c>
      <c r="I4" s="1151">
        <f>+F4+1</f>
        <v>30</v>
      </c>
      <c r="J4" s="1523">
        <f>+'PATRIMONIO BRUTO'!F133</f>
        <v>0</v>
      </c>
      <c r="K4" s="1524"/>
      <c r="L4" s="1525"/>
      <c r="M4" s="1615" t="s">
        <v>112</v>
      </c>
      <c r="N4" s="1616"/>
      <c r="O4" s="1616"/>
      <c r="P4" s="1616"/>
      <c r="Q4" s="1617"/>
      <c r="R4" s="1151">
        <f>+I4+1</f>
        <v>31</v>
      </c>
      <c r="S4" s="1707">
        <f>IF((G4-J4)&gt;0,(G4-J4),0)</f>
        <v>32262993</v>
      </c>
      <c r="T4" s="1708"/>
      <c r="U4" s="1709"/>
    </row>
    <row r="5" spans="1:22" ht="32.25" customHeight="1" thickBot="1" x14ac:dyDescent="0.25">
      <c r="A5" s="1517" t="s">
        <v>693</v>
      </c>
      <c r="B5" s="1479" t="s">
        <v>748</v>
      </c>
      <c r="C5" s="1480"/>
      <c r="D5" s="1480"/>
      <c r="E5" s="1481"/>
      <c r="F5" s="1629" t="s">
        <v>749</v>
      </c>
      <c r="G5" s="1630"/>
      <c r="H5" s="1630"/>
      <c r="I5" s="1520" t="s">
        <v>752</v>
      </c>
      <c r="J5" s="1521"/>
      <c r="K5" s="1521"/>
      <c r="L5" s="1522"/>
      <c r="M5" s="1629" t="s">
        <v>751</v>
      </c>
      <c r="N5" s="1630"/>
      <c r="O5" s="1630"/>
      <c r="P5" s="1630"/>
      <c r="Q5" s="1630"/>
      <c r="R5" s="1629" t="s">
        <v>750</v>
      </c>
      <c r="S5" s="1630"/>
      <c r="T5" s="1630"/>
      <c r="U5" s="1717"/>
    </row>
    <row r="6" spans="1:22" ht="21" customHeight="1" x14ac:dyDescent="0.2">
      <c r="A6" s="1518"/>
      <c r="B6" s="1618" t="s">
        <v>743</v>
      </c>
      <c r="C6" s="1618"/>
      <c r="D6" s="1619"/>
      <c r="E6" s="1619"/>
      <c r="F6" s="1065">
        <f>+R4+1</f>
        <v>32</v>
      </c>
      <c r="G6" s="1473">
        <f>+'RENTA GENERAL LABORAL'!F4</f>
        <v>115714603</v>
      </c>
      <c r="H6" s="1473"/>
      <c r="I6" s="1065">
        <f>+F22+1</f>
        <v>43</v>
      </c>
      <c r="J6" s="1526">
        <f>+'RENTA GENERAL HONORARIOS'!F4</f>
        <v>10000000</v>
      </c>
      <c r="K6" s="1527"/>
      <c r="L6" s="1528"/>
      <c r="M6" s="1065">
        <f>+I22+1</f>
        <v>58</v>
      </c>
      <c r="N6" s="1660">
        <f>+'RENTA GENERAL CAPITAL'!F4</f>
        <v>0</v>
      </c>
      <c r="O6" s="1661"/>
      <c r="P6" s="1661"/>
      <c r="Q6" s="1662"/>
      <c r="R6" s="1065">
        <f>+M22+1</f>
        <v>74</v>
      </c>
      <c r="S6" s="1526">
        <f>+'RENTA GENERAL NO LABORAL'!F4</f>
        <v>0</v>
      </c>
      <c r="T6" s="1527"/>
      <c r="U6" s="1703"/>
      <c r="V6" s="1185">
        <f>+G6+J6+N6+S6</f>
        <v>125714603</v>
      </c>
    </row>
    <row r="7" spans="1:22" ht="21" customHeight="1" x14ac:dyDescent="0.2">
      <c r="A7" s="1518"/>
      <c r="B7" s="1620" t="s">
        <v>570</v>
      </c>
      <c r="C7" s="1620"/>
      <c r="D7" s="1621"/>
      <c r="E7" s="1621"/>
      <c r="F7" s="1066"/>
      <c r="G7" s="1154"/>
      <c r="H7" s="1154"/>
      <c r="I7" s="1066"/>
      <c r="J7" s="1154"/>
      <c r="K7" s="1154"/>
      <c r="L7" s="1154"/>
      <c r="M7" s="1066"/>
      <c r="N7" s="1663"/>
      <c r="O7" s="1664"/>
      <c r="P7" s="1664"/>
      <c r="Q7" s="1665"/>
      <c r="R7" s="1069">
        <f t="shared" ref="R7:R22" si="0">+R6+1</f>
        <v>75</v>
      </c>
      <c r="S7" s="1529">
        <f>+'RENTA GENERAL NO LABORAL'!F24</f>
        <v>0</v>
      </c>
      <c r="T7" s="1499"/>
      <c r="U7" s="1704"/>
    </row>
    <row r="8" spans="1:22" ht="21" customHeight="1" x14ac:dyDescent="0.2">
      <c r="A8" s="1518"/>
      <c r="B8" s="1622" t="s">
        <v>744</v>
      </c>
      <c r="C8" s="1622"/>
      <c r="D8" s="1623"/>
      <c r="E8" s="1623"/>
      <c r="F8" s="1067">
        <f>+F6+1</f>
        <v>33</v>
      </c>
      <c r="G8" s="1473">
        <f>+'RENTA GENERAL LABORAL'!F23</f>
        <v>11213070</v>
      </c>
      <c r="H8" s="1473"/>
      <c r="I8" s="1067">
        <f>+I6+1</f>
        <v>44</v>
      </c>
      <c r="J8" s="1490">
        <f>+'RENTA GENERAL HONORARIOS'!F7</f>
        <v>0</v>
      </c>
      <c r="K8" s="1473"/>
      <c r="L8" s="1491"/>
      <c r="M8" s="1067">
        <f>+M6+1</f>
        <v>59</v>
      </c>
      <c r="N8" s="1666">
        <f>+'RENTA GENERAL CAPITAL'!F8</f>
        <v>0</v>
      </c>
      <c r="O8" s="1667"/>
      <c r="P8" s="1667"/>
      <c r="Q8" s="1668"/>
      <c r="R8" s="1067">
        <f t="shared" si="0"/>
        <v>76</v>
      </c>
      <c r="S8" s="1490">
        <f>+'RENTA GENERAL NO LABORAL'!F26</f>
        <v>0</v>
      </c>
      <c r="T8" s="1473"/>
      <c r="U8" s="1705"/>
      <c r="V8" s="1185">
        <f>+G8+J8+N8+S8</f>
        <v>11213070</v>
      </c>
    </row>
    <row r="9" spans="1:22" ht="18.75" customHeight="1" x14ac:dyDescent="0.2">
      <c r="A9" s="1518"/>
      <c r="B9" s="1620" t="s">
        <v>745</v>
      </c>
      <c r="C9" s="1620"/>
      <c r="D9" s="1621"/>
      <c r="E9" s="1621"/>
      <c r="F9" s="1066"/>
      <c r="G9" s="1154"/>
      <c r="H9" s="1154"/>
      <c r="I9" s="1069">
        <f>+I8+1</f>
        <v>45</v>
      </c>
      <c r="J9" s="1529">
        <f>+'RENTA GENERAL HONORARIOS'!F12</f>
        <v>0</v>
      </c>
      <c r="K9" s="1499"/>
      <c r="L9" s="1530"/>
      <c r="M9" s="1069">
        <f t="shared" ref="M9:M22" si="1">+M8+1</f>
        <v>60</v>
      </c>
      <c r="N9" s="1669">
        <f>+'RENTA GENERAL CAPITAL'!F12</f>
        <v>0</v>
      </c>
      <c r="O9" s="1670"/>
      <c r="P9" s="1670"/>
      <c r="Q9" s="1671"/>
      <c r="R9" s="1069">
        <f t="shared" si="0"/>
        <v>77</v>
      </c>
      <c r="S9" s="1529">
        <f>+'RENTA GENERAL NO LABORAL'!F35</f>
        <v>0</v>
      </c>
      <c r="T9" s="1499"/>
      <c r="U9" s="1704"/>
    </row>
    <row r="10" spans="1:22" ht="21" customHeight="1" x14ac:dyDescent="0.2">
      <c r="A10" s="1518"/>
      <c r="B10" s="1475" t="s">
        <v>746</v>
      </c>
      <c r="C10" s="1475"/>
      <c r="D10" s="1476"/>
      <c r="E10" s="1476"/>
      <c r="F10" s="1074">
        <f>+F8+1</f>
        <v>34</v>
      </c>
      <c r="G10" s="1474">
        <f>+'RENTA GENERAL LABORAL'!F28</f>
        <v>104501533</v>
      </c>
      <c r="H10" s="1474"/>
      <c r="I10" s="1074">
        <f>+I9+1</f>
        <v>46</v>
      </c>
      <c r="J10" s="1531">
        <f>IF(J6&gt;0,(J6-J8-J9),0)</f>
        <v>10000000</v>
      </c>
      <c r="K10" s="1474"/>
      <c r="L10" s="1532"/>
      <c r="M10" s="1074">
        <f t="shared" si="1"/>
        <v>61</v>
      </c>
      <c r="N10" s="1672">
        <f>+'RENTA GENERAL CAPITAL'!F26</f>
        <v>0</v>
      </c>
      <c r="O10" s="1673"/>
      <c r="P10" s="1673"/>
      <c r="Q10" s="1674"/>
      <c r="R10" s="1074">
        <f t="shared" si="0"/>
        <v>78</v>
      </c>
      <c r="S10" s="1531">
        <f>+'RENTA GENERAL NO LABORAL'!F58</f>
        <v>0</v>
      </c>
      <c r="T10" s="1474"/>
      <c r="U10" s="1706"/>
      <c r="V10" s="1185">
        <f>+G10+J10+N10+S10</f>
        <v>114501533</v>
      </c>
    </row>
    <row r="11" spans="1:22" ht="18.75" customHeight="1" x14ac:dyDescent="0.2">
      <c r="A11" s="1518"/>
      <c r="B11" s="1477" t="s">
        <v>747</v>
      </c>
      <c r="C11" s="1477"/>
      <c r="D11" s="1478"/>
      <c r="E11" s="1478"/>
      <c r="F11" s="1066"/>
      <c r="G11" s="1154"/>
      <c r="H11" s="1154"/>
      <c r="I11" s="1066"/>
      <c r="J11" s="1533"/>
      <c r="K11" s="1534"/>
      <c r="L11" s="1535"/>
      <c r="M11" s="1069">
        <f t="shared" si="1"/>
        <v>62</v>
      </c>
      <c r="N11" s="1675">
        <f>+'RENTA GENERAL CAPITAL'!F28</f>
        <v>0</v>
      </c>
      <c r="O11" s="1676"/>
      <c r="P11" s="1676"/>
      <c r="Q11" s="1677"/>
      <c r="R11" s="1069">
        <f t="shared" si="0"/>
        <v>79</v>
      </c>
      <c r="S11" s="1710">
        <f>+'RENTA GENERAL NO LABORAL'!F60</f>
        <v>0</v>
      </c>
      <c r="T11" s="1711"/>
      <c r="U11" s="1712"/>
    </row>
    <row r="12" spans="1:22" ht="22.5" customHeight="1" x14ac:dyDescent="0.2">
      <c r="A12" s="1518"/>
      <c r="B12" s="1647" t="s">
        <v>753</v>
      </c>
      <c r="C12" s="1650" t="s">
        <v>754</v>
      </c>
      <c r="D12" s="1650"/>
      <c r="E12" s="1650"/>
      <c r="F12" s="1068">
        <f>+F10+1</f>
        <v>35</v>
      </c>
      <c r="G12" s="1536">
        <f>IF(G6&gt;0,MIN('RENTA GENERAL LABORAL'!D38:D40),0)</f>
        <v>0</v>
      </c>
      <c r="H12" s="1537"/>
      <c r="I12" s="1068">
        <f>+I10+1</f>
        <v>47</v>
      </c>
      <c r="J12" s="1536">
        <f>+'RENTA GENERAL HONORARIOS'!D21+'RENTA GENERAL HONORARIOS'!D22</f>
        <v>0</v>
      </c>
      <c r="K12" s="1496"/>
      <c r="L12" s="1537"/>
      <c r="M12" s="1068">
        <f t="shared" si="1"/>
        <v>63</v>
      </c>
      <c r="N12" s="1678">
        <f>+'DATOS PARA DEPURAR'!C261+'DATOS PARA DEPURAR'!C258</f>
        <v>0</v>
      </c>
      <c r="O12" s="1679"/>
      <c r="P12" s="1679"/>
      <c r="Q12" s="1680"/>
      <c r="R12" s="1068">
        <f t="shared" si="0"/>
        <v>80</v>
      </c>
      <c r="S12" s="1536">
        <f>IF(S6&gt;0,'DATOS PARA DEPURAR'!D261+'DATOS PARA DEPURAR'!D258,0)</f>
        <v>0</v>
      </c>
      <c r="T12" s="1496"/>
      <c r="U12" s="1713"/>
    </row>
    <row r="13" spans="1:22" ht="22.5" customHeight="1" x14ac:dyDescent="0.2">
      <c r="A13" s="1518"/>
      <c r="B13" s="1648"/>
      <c r="C13" s="1600" t="s">
        <v>755</v>
      </c>
      <c r="D13" s="1600"/>
      <c r="E13" s="1651"/>
      <c r="F13" s="1069">
        <f t="shared" ref="F13:F18" si="2">+F12+1</f>
        <v>36</v>
      </c>
      <c r="G13" s="1529">
        <f>IF(G6&gt;0,SUM('RENTA GENERAL LABORAL'!D41:D48),0)</f>
        <v>33157731</v>
      </c>
      <c r="H13" s="1530"/>
      <c r="I13" s="1069">
        <f t="shared" ref="I13:I22" si="3">+I12+1</f>
        <v>48</v>
      </c>
      <c r="J13" s="1529">
        <f>'RENTA GENERAL HONORARIOS'!D26</f>
        <v>0</v>
      </c>
      <c r="K13" s="1499"/>
      <c r="L13" s="1530"/>
      <c r="M13" s="1069">
        <f t="shared" si="1"/>
        <v>64</v>
      </c>
      <c r="N13" s="1681"/>
      <c r="O13" s="1504"/>
      <c r="P13" s="1504"/>
      <c r="Q13" s="1682"/>
      <c r="R13" s="1069">
        <f t="shared" si="0"/>
        <v>81</v>
      </c>
      <c r="S13" s="1714">
        <f>IF(S6&gt;0,'RENTA GENERAL NO LABORAL'!D68-'FORMULARIO 2021 RENTA'!S12,0)</f>
        <v>0</v>
      </c>
      <c r="T13" s="1715"/>
      <c r="U13" s="1716"/>
      <c r="V13" s="1185">
        <f>+G13+J13+N13+S13</f>
        <v>33157731</v>
      </c>
    </row>
    <row r="14" spans="1:22" ht="22.5" customHeight="1" x14ac:dyDescent="0.25">
      <c r="A14" s="1518"/>
      <c r="B14" s="1649"/>
      <c r="C14" s="1652" t="s">
        <v>756</v>
      </c>
      <c r="D14" s="1652"/>
      <c r="E14" s="1652"/>
      <c r="F14" s="1073">
        <f t="shared" si="2"/>
        <v>37</v>
      </c>
      <c r="G14" s="1643">
        <f>SUM(G12:H13)</f>
        <v>33157731</v>
      </c>
      <c r="H14" s="1644"/>
      <c r="I14" s="1073">
        <f t="shared" si="3"/>
        <v>49</v>
      </c>
      <c r="J14" s="1544">
        <f>SUM(J12:J13)</f>
        <v>0</v>
      </c>
      <c r="K14" s="1545"/>
      <c r="L14" s="1546"/>
      <c r="M14" s="1073">
        <f t="shared" si="1"/>
        <v>65</v>
      </c>
      <c r="N14" s="1544">
        <f>SUM(N12:Q13)</f>
        <v>0</v>
      </c>
      <c r="O14" s="1683"/>
      <c r="P14" s="1683"/>
      <c r="Q14" s="1684"/>
      <c r="R14" s="1073">
        <f t="shared" si="0"/>
        <v>82</v>
      </c>
      <c r="S14" s="1544">
        <f>SUM(S12:S13)</f>
        <v>0</v>
      </c>
      <c r="T14" s="1545"/>
      <c r="U14" s="1718"/>
    </row>
    <row r="15" spans="1:22" ht="20.25" customHeight="1" x14ac:dyDescent="0.2">
      <c r="A15" s="1518"/>
      <c r="B15" s="1653" t="s">
        <v>757</v>
      </c>
      <c r="C15" s="1656" t="s">
        <v>758</v>
      </c>
      <c r="D15" s="1656"/>
      <c r="E15" s="1656"/>
      <c r="F15" s="1070">
        <f t="shared" si="2"/>
        <v>38</v>
      </c>
      <c r="G15" s="1547">
        <f>IF(G6&gt;0,('RENTA GENERAL LABORAL'!D31),0)</f>
        <v>0</v>
      </c>
      <c r="H15" s="1549"/>
      <c r="I15" s="1070">
        <f t="shared" si="3"/>
        <v>50</v>
      </c>
      <c r="J15" s="1547">
        <f>+'RENTA GENERAL HONORARIOS'!D18</f>
        <v>0</v>
      </c>
      <c r="K15" s="1548"/>
      <c r="L15" s="1549"/>
      <c r="M15" s="1070">
        <f t="shared" si="1"/>
        <v>66</v>
      </c>
      <c r="N15" s="1547">
        <f>+'RENTA GENERAL CAPITAL'!D32</f>
        <v>0</v>
      </c>
      <c r="O15" s="1548"/>
      <c r="P15" s="1548"/>
      <c r="Q15" s="1549"/>
      <c r="R15" s="1070">
        <f t="shared" si="0"/>
        <v>83</v>
      </c>
      <c r="S15" s="1547">
        <f>+'RENTA GENERAL NO LABORAL'!D64</f>
        <v>0</v>
      </c>
      <c r="T15" s="1548"/>
      <c r="U15" s="1719"/>
    </row>
    <row r="16" spans="1:22" ht="20.25" customHeight="1" x14ac:dyDescent="0.2">
      <c r="A16" s="1518"/>
      <c r="B16" s="1654"/>
      <c r="C16" s="1657" t="s">
        <v>759</v>
      </c>
      <c r="D16" s="1657"/>
      <c r="E16" s="1658"/>
      <c r="F16" s="1067">
        <f t="shared" si="2"/>
        <v>39</v>
      </c>
      <c r="G16" s="1490">
        <f>IF(G6&gt;0,'RENTA GENERAL LABORAL'!D30-'FORMULARIO 2021 RENTA'!G15:H15,0)</f>
        <v>189298</v>
      </c>
      <c r="H16" s="1491"/>
      <c r="I16" s="1067">
        <f t="shared" si="3"/>
        <v>51</v>
      </c>
      <c r="J16" s="1490">
        <f>+'RENTA GENERAL HONORARIOS'!D17-'RENTA GENERAL HONORARIOS'!D18</f>
        <v>0</v>
      </c>
      <c r="K16" s="1473"/>
      <c r="L16" s="1491"/>
      <c r="M16" s="1067">
        <f t="shared" si="1"/>
        <v>67</v>
      </c>
      <c r="N16" s="1490">
        <f>SUM('RENTA GENERAL CAPITAL'!D33:D35)</f>
        <v>0</v>
      </c>
      <c r="O16" s="1473"/>
      <c r="P16" s="1473"/>
      <c r="Q16" s="1491"/>
      <c r="R16" s="1067">
        <f t="shared" si="0"/>
        <v>84</v>
      </c>
      <c r="S16" s="1490">
        <f>+'RENTA GENERAL NO LABORAL'!D65+'RENTA GENERAL NO LABORAL'!D67</f>
        <v>0</v>
      </c>
      <c r="T16" s="1473"/>
      <c r="U16" s="1705"/>
      <c r="V16" s="1185">
        <f>+G16+J16+N16+S16</f>
        <v>189298</v>
      </c>
    </row>
    <row r="17" spans="1:23" ht="20.25" customHeight="1" x14ac:dyDescent="0.25">
      <c r="A17" s="1518"/>
      <c r="B17" s="1655"/>
      <c r="C17" s="1659" t="s">
        <v>760</v>
      </c>
      <c r="D17" s="1659"/>
      <c r="E17" s="1659"/>
      <c r="F17" s="1102">
        <f t="shared" si="2"/>
        <v>40</v>
      </c>
      <c r="G17" s="1645">
        <f>IF(G6&gt;0,SUM(G15:H16),0)</f>
        <v>189298</v>
      </c>
      <c r="H17" s="1646"/>
      <c r="I17" s="1102">
        <f t="shared" si="3"/>
        <v>52</v>
      </c>
      <c r="J17" s="1492">
        <f>SUM(J15:J16)</f>
        <v>0</v>
      </c>
      <c r="K17" s="1493"/>
      <c r="L17" s="1494"/>
      <c r="M17" s="1102">
        <f t="shared" si="1"/>
        <v>68</v>
      </c>
      <c r="N17" s="1492">
        <f>SUM(N15:Q16)</f>
        <v>0</v>
      </c>
      <c r="O17" s="1493"/>
      <c r="P17" s="1493"/>
      <c r="Q17" s="1494"/>
      <c r="R17" s="1102">
        <f t="shared" si="0"/>
        <v>85</v>
      </c>
      <c r="S17" s="1492">
        <f>SUM(S15:S16)</f>
        <v>0</v>
      </c>
      <c r="T17" s="1493"/>
      <c r="U17" s="1720"/>
      <c r="W17" s="1186">
        <f>+V13+V16</f>
        <v>33347029</v>
      </c>
    </row>
    <row r="18" spans="1:23" ht="24.75" customHeight="1" x14ac:dyDescent="0.2">
      <c r="A18" s="1518"/>
      <c r="B18" s="1631" t="s">
        <v>761</v>
      </c>
      <c r="C18" s="1632"/>
      <c r="D18" s="1632"/>
      <c r="E18" s="1633"/>
      <c r="F18" s="1072">
        <f t="shared" si="2"/>
        <v>41</v>
      </c>
      <c r="G18" s="1495">
        <f>IF((J6+N6+S6)&gt;0,V18,'RENTA GENERAL LABORAL'!F49)</f>
        <v>33347029</v>
      </c>
      <c r="H18" s="1497"/>
      <c r="I18" s="1062">
        <f t="shared" si="3"/>
        <v>53</v>
      </c>
      <c r="J18" s="1495">
        <f>+'RENTA GENERAL HONORARIOS'!F27</f>
        <v>0</v>
      </c>
      <c r="K18" s="1496"/>
      <c r="L18" s="1497"/>
      <c r="M18" s="1062">
        <f t="shared" si="1"/>
        <v>69</v>
      </c>
      <c r="N18" s="1495">
        <f>+'RENTA GENERAL CAPITAL'!F40</f>
        <v>0</v>
      </c>
      <c r="O18" s="1496"/>
      <c r="P18" s="1496"/>
      <c r="Q18" s="1497"/>
      <c r="R18" s="1062">
        <f t="shared" si="0"/>
        <v>86</v>
      </c>
      <c r="S18" s="1495">
        <f>+'RENTA GENERAL NO LABORAL'!F75</f>
        <v>0</v>
      </c>
      <c r="T18" s="1496"/>
      <c r="U18" s="1713"/>
      <c r="V18" s="1185">
        <f>MIN(W17,W18,W19)</f>
        <v>33347029</v>
      </c>
      <c r="W18" s="328">
        <f>IF(V6&gt;0,(V6-V8)*40%)</f>
        <v>45800613.200000003</v>
      </c>
    </row>
    <row r="19" spans="1:23" ht="17.25" customHeight="1" x14ac:dyDescent="0.2">
      <c r="A19" s="1518"/>
      <c r="B19" s="1634" t="s">
        <v>762</v>
      </c>
      <c r="C19" s="1635"/>
      <c r="D19" s="1635"/>
      <c r="E19" s="1636"/>
      <c r="F19" s="1060"/>
      <c r="G19" s="1071"/>
      <c r="H19" s="1071"/>
      <c r="I19" s="1063">
        <f t="shared" si="3"/>
        <v>54</v>
      </c>
      <c r="J19" s="1498">
        <f>IF((J10-J18)&gt;0,J10-J18,0)</f>
        <v>10000000</v>
      </c>
      <c r="K19" s="1499"/>
      <c r="L19" s="1500"/>
      <c r="M19" s="1063">
        <f t="shared" si="1"/>
        <v>70</v>
      </c>
      <c r="N19" s="1498">
        <f>+'RENTA GENERAL CAPITAL'!F45</f>
        <v>0</v>
      </c>
      <c r="O19" s="1499"/>
      <c r="P19" s="1499"/>
      <c r="Q19" s="1500"/>
      <c r="R19" s="1063">
        <f t="shared" si="0"/>
        <v>87</v>
      </c>
      <c r="S19" s="1498">
        <f>+'RENTA GENERAL NO LABORAL'!F80</f>
        <v>0</v>
      </c>
      <c r="T19" s="1499"/>
      <c r="U19" s="1704"/>
      <c r="W19" s="962">
        <f>IF((V6-V8)&gt;0,5040*'DATOS PARA DEPURAR'!C23,0)</f>
        <v>182992320</v>
      </c>
    </row>
    <row r="20" spans="1:23" ht="17.25" customHeight="1" x14ac:dyDescent="0.2">
      <c r="A20" s="1518"/>
      <c r="B20" s="1637" t="s">
        <v>763</v>
      </c>
      <c r="C20" s="1638"/>
      <c r="D20" s="1638"/>
      <c r="E20" s="1639"/>
      <c r="F20" s="1060"/>
      <c r="G20" s="1071"/>
      <c r="H20" s="1071"/>
      <c r="I20" s="1061">
        <f t="shared" si="3"/>
        <v>55</v>
      </c>
      <c r="J20" s="1501">
        <f>IF((J17-J10)&gt;0,J17-J10,0)</f>
        <v>0</v>
      </c>
      <c r="K20" s="1473"/>
      <c r="L20" s="1502"/>
      <c r="M20" s="1061">
        <f t="shared" si="1"/>
        <v>71</v>
      </c>
      <c r="N20" s="1501">
        <f>+'RENTA GENERAL CAPITAL'!F46</f>
        <v>0</v>
      </c>
      <c r="O20" s="1473"/>
      <c r="P20" s="1473"/>
      <c r="Q20" s="1502"/>
      <c r="R20" s="1061">
        <f t="shared" si="0"/>
        <v>88</v>
      </c>
      <c r="S20" s="1501">
        <f>+'RENTA GENERAL NO LABORAL'!F81</f>
        <v>0</v>
      </c>
      <c r="T20" s="1473"/>
      <c r="U20" s="1705"/>
    </row>
    <row r="21" spans="1:23" ht="17.25" customHeight="1" x14ac:dyDescent="0.2">
      <c r="A21" s="1518"/>
      <c r="B21" s="1634" t="s">
        <v>764</v>
      </c>
      <c r="C21" s="1635"/>
      <c r="D21" s="1635"/>
      <c r="E21" s="1636"/>
      <c r="F21" s="1060"/>
      <c r="G21" s="1071"/>
      <c r="H21" s="1071"/>
      <c r="I21" s="1063">
        <f t="shared" si="3"/>
        <v>56</v>
      </c>
      <c r="J21" s="1503">
        <f>+'DATOS PARA DEPURAR'!E290</f>
        <v>0</v>
      </c>
      <c r="K21" s="1504"/>
      <c r="L21" s="1505"/>
      <c r="M21" s="1063">
        <f t="shared" si="1"/>
        <v>72</v>
      </c>
      <c r="N21" s="1498">
        <f>+'RENTA GENERAL CAPITAL'!F47</f>
        <v>0</v>
      </c>
      <c r="O21" s="1499"/>
      <c r="P21" s="1499"/>
      <c r="Q21" s="1500"/>
      <c r="R21" s="1063">
        <f t="shared" si="0"/>
        <v>89</v>
      </c>
      <c r="S21" s="1498">
        <f>+'RENTA GENERAL NO LABORAL'!F82</f>
        <v>0</v>
      </c>
      <c r="T21" s="1499"/>
      <c r="U21" s="1704"/>
    </row>
    <row r="22" spans="1:23" ht="17.25" customHeight="1" x14ac:dyDescent="0.2">
      <c r="A22" s="1518"/>
      <c r="B22" s="1640" t="s">
        <v>765</v>
      </c>
      <c r="C22" s="1641"/>
      <c r="D22" s="1641"/>
      <c r="E22" s="1642"/>
      <c r="F22" s="1072">
        <f>+F18+1</f>
        <v>42</v>
      </c>
      <c r="G22" s="1452">
        <f>+'RENTA GENERAL LABORAL'!F53</f>
        <v>71154504</v>
      </c>
      <c r="H22" s="1454"/>
      <c r="I22" s="1064">
        <f t="shared" si="3"/>
        <v>57</v>
      </c>
      <c r="J22" s="1452">
        <f>IF((J19-J21)&gt;0,J19-J21,0)</f>
        <v>10000000</v>
      </c>
      <c r="K22" s="1453"/>
      <c r="L22" s="1454"/>
      <c r="M22" s="1064">
        <f t="shared" si="1"/>
        <v>73</v>
      </c>
      <c r="N22" s="1452">
        <f>+'RENTA GENERAL CAPITAL'!F48</f>
        <v>0</v>
      </c>
      <c r="O22" s="1453"/>
      <c r="P22" s="1453"/>
      <c r="Q22" s="1454"/>
      <c r="R22" s="1064">
        <f t="shared" si="0"/>
        <v>90</v>
      </c>
      <c r="S22" s="1452">
        <f>+'RENTA GENERAL NO LABORAL'!F83</f>
        <v>0</v>
      </c>
      <c r="T22" s="1453"/>
      <c r="U22" s="1721"/>
    </row>
    <row r="23" spans="1:23" ht="15.75" customHeight="1" x14ac:dyDescent="0.2">
      <c r="A23" s="1518"/>
      <c r="B23" s="1514" t="s">
        <v>605</v>
      </c>
      <c r="C23" s="1514"/>
      <c r="D23" s="1514"/>
      <c r="E23" s="1514"/>
      <c r="F23" s="1514"/>
      <c r="G23" s="1514"/>
      <c r="H23" s="1514"/>
      <c r="I23" s="1514"/>
      <c r="J23" s="1515" t="s">
        <v>604</v>
      </c>
      <c r="K23" s="1515"/>
      <c r="L23" s="1515"/>
      <c r="M23" s="1515"/>
      <c r="N23" s="1515"/>
      <c r="O23" s="1515"/>
      <c r="P23" s="1515"/>
      <c r="Q23" s="1515"/>
      <c r="R23" s="1515"/>
      <c r="S23" s="1515"/>
      <c r="T23" s="1515"/>
      <c r="U23" s="1516"/>
    </row>
    <row r="24" spans="1:23" ht="27" customHeight="1" x14ac:dyDescent="0.2">
      <c r="A24" s="1518"/>
      <c r="B24" s="1469" t="s">
        <v>782</v>
      </c>
      <c r="C24" s="1470"/>
      <c r="D24" s="1123">
        <f>+R22+1</f>
        <v>91</v>
      </c>
      <c r="E24" s="1141">
        <f>+G10+J10+N10+S10</f>
        <v>114501533</v>
      </c>
      <c r="F24" s="1123">
        <f>+D24+1</f>
        <v>92</v>
      </c>
      <c r="G24" s="1124" t="s">
        <v>781</v>
      </c>
      <c r="H24" s="1464">
        <f>+G18+J18+N18+S18</f>
        <v>33347029</v>
      </c>
      <c r="I24" s="1464"/>
      <c r="J24" s="1125" t="s">
        <v>778</v>
      </c>
      <c r="K24" s="1126">
        <f>+F24+1</f>
        <v>93</v>
      </c>
      <c r="L24" s="1725">
        <f>+G22+J22+N22+S22</f>
        <v>81154504</v>
      </c>
      <c r="M24" s="1726"/>
      <c r="N24" s="1726"/>
      <c r="O24" s="1726"/>
      <c r="P24" s="1727"/>
      <c r="Q24" s="1125" t="s">
        <v>777</v>
      </c>
      <c r="R24" s="1127">
        <f>+K24+1</f>
        <v>94</v>
      </c>
      <c r="S24" s="1722">
        <f>+J21+N21+S21</f>
        <v>0</v>
      </c>
      <c r="T24" s="1723"/>
      <c r="U24" s="1724"/>
    </row>
    <row r="25" spans="1:23" ht="27" customHeight="1" thickBot="1" x14ac:dyDescent="0.25">
      <c r="A25" s="1519"/>
      <c r="B25" s="1471" t="s">
        <v>783</v>
      </c>
      <c r="C25" s="1472"/>
      <c r="D25" s="1155">
        <f>+R24+1</f>
        <v>95</v>
      </c>
      <c r="E25" s="1156">
        <f>+'DATOS PARA DEPURAR'!E291</f>
        <v>0</v>
      </c>
      <c r="F25" s="1155">
        <f>+D25+1</f>
        <v>96</v>
      </c>
      <c r="G25" s="1157" t="s">
        <v>780</v>
      </c>
      <c r="H25" s="1465">
        <f>+'DATOS PARA DEPURAR'!E292</f>
        <v>0</v>
      </c>
      <c r="I25" s="1465"/>
      <c r="J25" s="1158" t="s">
        <v>779</v>
      </c>
      <c r="K25" s="1159">
        <f>+F25+1</f>
        <v>97</v>
      </c>
      <c r="L25" s="1728">
        <f>IF((L24+H25-S24-E25)&gt;0,L24+H25-S24-E25,0)</f>
        <v>81154504</v>
      </c>
      <c r="M25" s="1729"/>
      <c r="N25" s="1729"/>
      <c r="O25" s="1729"/>
      <c r="P25" s="1730"/>
      <c r="Q25" s="1160" t="s">
        <v>595</v>
      </c>
      <c r="R25" s="1131">
        <f>+K25+1</f>
        <v>98</v>
      </c>
      <c r="S25" s="1755">
        <f>IF(('DATOS PARA DEPURAR'!E21=1),0,E129)</f>
        <v>0</v>
      </c>
      <c r="T25" s="1756"/>
      <c r="U25" s="1757"/>
    </row>
    <row r="26" spans="1:23" ht="27" customHeight="1" x14ac:dyDescent="0.2">
      <c r="A26" s="1417" t="s">
        <v>678</v>
      </c>
      <c r="B26" s="1482" t="s">
        <v>514</v>
      </c>
      <c r="C26" s="1483"/>
      <c r="D26" s="1483"/>
      <c r="E26" s="1483"/>
      <c r="F26" s="1483"/>
      <c r="G26" s="1483"/>
      <c r="H26" s="1484"/>
      <c r="I26" s="1140">
        <f>+R25+1</f>
        <v>99</v>
      </c>
      <c r="J26" s="1540">
        <f>+'RENTA CEDULAR PENSION'!F4</f>
        <v>0</v>
      </c>
      <c r="K26" s="1541"/>
      <c r="L26" s="1542" t="s">
        <v>95</v>
      </c>
      <c r="M26" s="1543"/>
      <c r="N26" s="1543"/>
      <c r="O26" s="1543"/>
      <c r="P26" s="1543"/>
      <c r="Q26" s="1543"/>
      <c r="R26" s="1172">
        <f>+I42+1</f>
        <v>116</v>
      </c>
      <c r="S26" s="1695">
        <f>+J38-J41-J42</f>
        <v>0</v>
      </c>
      <c r="T26" s="1695"/>
      <c r="U26" s="1696"/>
    </row>
    <row r="27" spans="1:23" ht="27" customHeight="1" x14ac:dyDescent="0.2">
      <c r="A27" s="1418"/>
      <c r="B27" s="1444" t="s">
        <v>488</v>
      </c>
      <c r="C27" s="1445"/>
      <c r="D27" s="1445"/>
      <c r="E27" s="1445"/>
      <c r="F27" s="1445"/>
      <c r="G27" s="1445"/>
      <c r="H27" s="1446"/>
      <c r="I27" s="1135">
        <f t="shared" ref="I27:I42" si="4">+I26+1</f>
        <v>100</v>
      </c>
      <c r="J27" s="1436">
        <f>+'RENTA CEDULAR PENSION'!F7</f>
        <v>0</v>
      </c>
      <c r="K27" s="1437"/>
      <c r="L27" s="1485" t="s">
        <v>172</v>
      </c>
      <c r="M27" s="1538" t="s">
        <v>696</v>
      </c>
      <c r="N27" s="1697" t="s">
        <v>792</v>
      </c>
      <c r="O27" s="1698"/>
      <c r="P27" s="1698"/>
      <c r="Q27" s="1698"/>
      <c r="R27" s="1173">
        <f>+R26+1</f>
        <v>117</v>
      </c>
      <c r="S27" s="1685">
        <f>IF(L25&gt;S25,'Num. 2 ART 241 E.T. 2021'!E5,0)</f>
        <v>9652000</v>
      </c>
      <c r="T27" s="1685"/>
      <c r="U27" s="1686"/>
    </row>
    <row r="28" spans="1:23" ht="27" customHeight="1" x14ac:dyDescent="0.2">
      <c r="A28" s="1418"/>
      <c r="B28" s="1447" t="s">
        <v>784</v>
      </c>
      <c r="C28" s="1397"/>
      <c r="D28" s="1397"/>
      <c r="E28" s="1397"/>
      <c r="F28" s="1397"/>
      <c r="G28" s="1397"/>
      <c r="H28" s="1448"/>
      <c r="I28" s="1136">
        <f t="shared" si="4"/>
        <v>101</v>
      </c>
      <c r="J28" s="1438">
        <f>+'RENTA CEDULAR PENSION'!F10</f>
        <v>0</v>
      </c>
      <c r="K28" s="1439"/>
      <c r="L28" s="1485"/>
      <c r="M28" s="1359"/>
      <c r="N28" s="1699" t="s">
        <v>695</v>
      </c>
      <c r="O28" s="1700"/>
      <c r="P28" s="1700"/>
      <c r="Q28" s="1700"/>
      <c r="R28" s="1174">
        <f t="shared" ref="R28:R32" si="5">+R27+1</f>
        <v>118</v>
      </c>
      <c r="S28" s="1687">
        <f>IF(S25&gt;L25,'Num. 2 ART 241 E.T. 2021'!E5,0)</f>
        <v>0</v>
      </c>
      <c r="T28" s="1687"/>
      <c r="U28" s="1688"/>
    </row>
    <row r="29" spans="1:23" ht="27" customHeight="1" x14ac:dyDescent="0.2">
      <c r="A29" s="1418"/>
      <c r="B29" s="1449" t="s">
        <v>492</v>
      </c>
      <c r="C29" s="1450"/>
      <c r="D29" s="1450"/>
      <c r="E29" s="1450"/>
      <c r="F29" s="1450"/>
      <c r="G29" s="1450"/>
      <c r="H29" s="1451"/>
      <c r="I29" s="1135">
        <f t="shared" si="4"/>
        <v>102</v>
      </c>
      <c r="J29" s="1436">
        <f>+'RENTA CEDULAR PENSION'!F11</f>
        <v>0</v>
      </c>
      <c r="K29" s="1437"/>
      <c r="L29" s="1485"/>
      <c r="M29" s="1359"/>
      <c r="N29" s="1701" t="s">
        <v>609</v>
      </c>
      <c r="O29" s="1702"/>
      <c r="P29" s="1702"/>
      <c r="Q29" s="1702"/>
      <c r="R29" s="1175">
        <f t="shared" si="5"/>
        <v>119</v>
      </c>
      <c r="S29" s="1689"/>
      <c r="T29" s="1689"/>
      <c r="U29" s="1690"/>
    </row>
    <row r="30" spans="1:23" ht="27" customHeight="1" thickBot="1" x14ac:dyDescent="0.25">
      <c r="A30" s="1419"/>
      <c r="B30" s="1455" t="s">
        <v>717</v>
      </c>
      <c r="C30" s="1456"/>
      <c r="D30" s="1456"/>
      <c r="E30" s="1456"/>
      <c r="F30" s="1456"/>
      <c r="G30" s="1456"/>
      <c r="H30" s="1457"/>
      <c r="I30" s="1137">
        <f t="shared" si="4"/>
        <v>103</v>
      </c>
      <c r="J30" s="1440">
        <f>+'RENTA CEDULAR PENSION'!F21</f>
        <v>0</v>
      </c>
      <c r="K30" s="1441"/>
      <c r="L30" s="1485"/>
      <c r="M30" s="1359"/>
      <c r="N30" s="1699" t="s">
        <v>611</v>
      </c>
      <c r="O30" s="1700"/>
      <c r="P30" s="1700"/>
      <c r="Q30" s="1700"/>
      <c r="R30" s="1174">
        <f t="shared" si="5"/>
        <v>120</v>
      </c>
      <c r="S30" s="1691">
        <f>+'IMPUESTO DIVIDENDOS'!E5</f>
        <v>932000</v>
      </c>
      <c r="T30" s="1691"/>
      <c r="U30" s="1692"/>
    </row>
    <row r="31" spans="1:23" ht="27" customHeight="1" x14ac:dyDescent="0.2">
      <c r="A31" s="1561" t="s">
        <v>679</v>
      </c>
      <c r="B31" s="1458" t="s">
        <v>597</v>
      </c>
      <c r="C31" s="1459"/>
      <c r="D31" s="1459"/>
      <c r="E31" s="1459"/>
      <c r="F31" s="1459"/>
      <c r="G31" s="1459"/>
      <c r="H31" s="1460"/>
      <c r="I31" s="1138">
        <f t="shared" si="4"/>
        <v>104</v>
      </c>
      <c r="J31" s="1442">
        <f>+'RENTA CEDULAR DIVIDENDOS'!F4</f>
        <v>0</v>
      </c>
      <c r="K31" s="1443"/>
      <c r="L31" s="1485"/>
      <c r="M31" s="1359"/>
      <c r="N31" s="1701" t="s">
        <v>610</v>
      </c>
      <c r="O31" s="1702"/>
      <c r="P31" s="1702"/>
      <c r="Q31" s="1702"/>
      <c r="R31" s="1175">
        <f t="shared" si="5"/>
        <v>121</v>
      </c>
      <c r="S31" s="1689"/>
      <c r="T31" s="1689"/>
      <c r="U31" s="1690"/>
    </row>
    <row r="32" spans="1:23" ht="27" customHeight="1" thickBot="1" x14ac:dyDescent="0.25">
      <c r="A32" s="1562"/>
      <c r="B32" s="1447" t="s">
        <v>488</v>
      </c>
      <c r="C32" s="1397"/>
      <c r="D32" s="1397"/>
      <c r="E32" s="1397"/>
      <c r="F32" s="1397"/>
      <c r="G32" s="1397"/>
      <c r="H32" s="1448"/>
      <c r="I32" s="1136">
        <f t="shared" si="4"/>
        <v>105</v>
      </c>
      <c r="J32" s="1438">
        <f>+'RENTA CEDULAR DIVIDENDOS'!F7</f>
        <v>0</v>
      </c>
      <c r="K32" s="1439"/>
      <c r="L32" s="1485"/>
      <c r="M32" s="1539"/>
      <c r="N32" s="1745" t="s">
        <v>697</v>
      </c>
      <c r="O32" s="1746"/>
      <c r="P32" s="1746"/>
      <c r="Q32" s="1746"/>
      <c r="R32" s="1176">
        <f t="shared" si="5"/>
        <v>122</v>
      </c>
      <c r="S32" s="1693">
        <f>SUM(S27:S31)</f>
        <v>10584000</v>
      </c>
      <c r="T32" s="1693"/>
      <c r="U32" s="1694"/>
    </row>
    <row r="33" spans="1:21" ht="23.25" customHeight="1" x14ac:dyDescent="0.2">
      <c r="A33" s="1562"/>
      <c r="B33" s="1433" t="s">
        <v>598</v>
      </c>
      <c r="C33" s="1434"/>
      <c r="D33" s="1434"/>
      <c r="E33" s="1434"/>
      <c r="F33" s="1434"/>
      <c r="G33" s="1434"/>
      <c r="H33" s="1435"/>
      <c r="I33" s="1135">
        <f t="shared" si="4"/>
        <v>106</v>
      </c>
      <c r="J33" s="1436">
        <f>+'RENTA CEDULAR DIVIDENDOS'!F10</f>
        <v>0</v>
      </c>
      <c r="K33" s="1437"/>
      <c r="L33" s="1485"/>
      <c r="M33" s="1748" t="s">
        <v>144</v>
      </c>
      <c r="N33" s="1747" t="s">
        <v>787</v>
      </c>
      <c r="O33" s="1747"/>
      <c r="P33" s="1180">
        <f>+R32+1</f>
        <v>123</v>
      </c>
      <c r="Q33" s="1181">
        <f>IF(G217&lt;G222,(G212+G213+G214),IF(G217&gt;G222,(J212+J213+J214),0))</f>
        <v>0</v>
      </c>
      <c r="R33" s="1753" t="s">
        <v>131</v>
      </c>
      <c r="S33" s="1753"/>
      <c r="T33" s="1178">
        <f>+P33+1</f>
        <v>124</v>
      </c>
      <c r="U33" s="1179">
        <f>IF(G217&lt;G222,(G216),IF(G217&gt;G222,(J216),0))</f>
        <v>0</v>
      </c>
    </row>
    <row r="34" spans="1:21" ht="27" customHeight="1" thickBot="1" x14ac:dyDescent="0.25">
      <c r="A34" s="1562"/>
      <c r="B34" s="1461" t="s">
        <v>599</v>
      </c>
      <c r="C34" s="1462"/>
      <c r="D34" s="1462"/>
      <c r="E34" s="1462"/>
      <c r="F34" s="1462"/>
      <c r="G34" s="1462"/>
      <c r="H34" s="1463"/>
      <c r="I34" s="1136">
        <f t="shared" si="4"/>
        <v>107</v>
      </c>
      <c r="J34" s="1438">
        <f>+'RENTA CEDULAR DIVIDENDOS'!F11</f>
        <v>20000000</v>
      </c>
      <c r="K34" s="1439"/>
      <c r="L34" s="1485"/>
      <c r="M34" s="1749"/>
      <c r="N34" s="1752" t="s">
        <v>170</v>
      </c>
      <c r="O34" s="1752"/>
      <c r="P34" s="1177">
        <f>+T33+1</f>
        <v>125</v>
      </c>
      <c r="Q34" s="1132">
        <f>IF(G217&lt;G222,(G215),IF(G217&gt;G222,(J215),0))</f>
        <v>0</v>
      </c>
      <c r="R34" s="1754" t="s">
        <v>788</v>
      </c>
      <c r="S34" s="1754"/>
      <c r="T34" s="1177">
        <f>+P34+1</f>
        <v>126</v>
      </c>
      <c r="U34" s="1133">
        <f>+Q33+U33+Q34</f>
        <v>0</v>
      </c>
    </row>
    <row r="35" spans="1:21" ht="27" customHeight="1" x14ac:dyDescent="0.2">
      <c r="A35" s="1562"/>
      <c r="B35" s="1428" t="s">
        <v>600</v>
      </c>
      <c r="C35" s="1396"/>
      <c r="D35" s="1396"/>
      <c r="E35" s="1396"/>
      <c r="F35" s="1396"/>
      <c r="G35" s="1396"/>
      <c r="H35" s="1429"/>
      <c r="I35" s="1135">
        <f t="shared" si="4"/>
        <v>108</v>
      </c>
      <c r="J35" s="1436">
        <f>+'RENTA CEDULAR DIVIDENDOS'!F12</f>
        <v>0</v>
      </c>
      <c r="K35" s="1437"/>
      <c r="L35" s="1485"/>
      <c r="M35" s="1750" t="s">
        <v>173</v>
      </c>
      <c r="N35" s="1751"/>
      <c r="O35" s="1751"/>
      <c r="P35" s="1751"/>
      <c r="Q35" s="1751"/>
      <c r="R35" s="1169">
        <f>+T34+1</f>
        <v>127</v>
      </c>
      <c r="S35" s="1737">
        <f>IF((S32&gt;U34),S32-U34,0)</f>
        <v>10584000</v>
      </c>
      <c r="T35" s="1737"/>
      <c r="U35" s="1738"/>
    </row>
    <row r="36" spans="1:21" ht="27" customHeight="1" x14ac:dyDescent="0.2">
      <c r="A36" s="1562"/>
      <c r="B36" s="1461" t="s">
        <v>601</v>
      </c>
      <c r="C36" s="1462"/>
      <c r="D36" s="1462"/>
      <c r="E36" s="1462"/>
      <c r="F36" s="1462"/>
      <c r="G36" s="1462"/>
      <c r="H36" s="1463"/>
      <c r="I36" s="1136">
        <f t="shared" si="4"/>
        <v>109</v>
      </c>
      <c r="J36" s="1438">
        <f>+'RENTA CEDULAR DIVIDENDOS'!F13</f>
        <v>0</v>
      </c>
      <c r="K36" s="1439"/>
      <c r="L36" s="1485"/>
      <c r="M36" s="1550" t="s">
        <v>106</v>
      </c>
      <c r="N36" s="1299"/>
      <c r="O36" s="1299"/>
      <c r="P36" s="1299"/>
      <c r="Q36" s="1299"/>
      <c r="R36" s="1170">
        <f t="shared" ref="R36:R42" si="6">+R35+1</f>
        <v>128</v>
      </c>
      <c r="S36" s="1207">
        <f>SUM('DEPURACION POR IMAS EMPLEADO'!K30:K31)</f>
        <v>0</v>
      </c>
      <c r="T36" s="1207"/>
      <c r="U36" s="1739"/>
    </row>
    <row r="37" spans="1:21" ht="27" customHeight="1" thickBot="1" x14ac:dyDescent="0.25">
      <c r="A37" s="1563"/>
      <c r="B37" s="1582" t="s">
        <v>680</v>
      </c>
      <c r="C37" s="1583"/>
      <c r="D37" s="1583"/>
      <c r="E37" s="1583"/>
      <c r="F37" s="1583"/>
      <c r="G37" s="1583"/>
      <c r="H37" s="1584"/>
      <c r="I37" s="1139">
        <f t="shared" si="4"/>
        <v>110</v>
      </c>
      <c r="J37" s="1486">
        <f>+'RENTA CEDULAR DIVIDENDOS'!F14</f>
        <v>0</v>
      </c>
      <c r="K37" s="1487"/>
      <c r="L37" s="1485"/>
      <c r="M37" s="1701" t="s">
        <v>174</v>
      </c>
      <c r="N37" s="1702"/>
      <c r="O37" s="1702"/>
      <c r="P37" s="1702"/>
      <c r="Q37" s="1702"/>
      <c r="R37" s="1171">
        <f t="shared" si="6"/>
        <v>129</v>
      </c>
      <c r="S37" s="1740">
        <f>+'DATOS PARA DEPURAR'!E307</f>
        <v>0</v>
      </c>
      <c r="T37" s="1740"/>
      <c r="U37" s="1741"/>
    </row>
    <row r="38" spans="1:21" ht="27" customHeight="1" x14ac:dyDescent="0.2">
      <c r="A38" s="1378" t="s">
        <v>72</v>
      </c>
      <c r="B38" s="1425" t="s">
        <v>592</v>
      </c>
      <c r="C38" s="1426"/>
      <c r="D38" s="1426"/>
      <c r="E38" s="1426"/>
      <c r="F38" s="1426"/>
      <c r="G38" s="1426"/>
      <c r="H38" s="1427"/>
      <c r="I38" s="1140">
        <f t="shared" si="4"/>
        <v>111</v>
      </c>
      <c r="J38" s="1488">
        <f>+'DEPURACION POR IMAS EMPLEADO'!I37+'DEPURACION POR IMAS EMPLEADO'!J30+'DEPURACION POR IMAS EMPLEADO'!I39+IF(('DATOS PARA DEPURAR'!D94="s"),'DATOS PARA DEPURAR'!E94,0)</f>
        <v>0</v>
      </c>
      <c r="K38" s="1489"/>
      <c r="L38" s="1485"/>
      <c r="M38" s="1550" t="s">
        <v>108</v>
      </c>
      <c r="N38" s="1299"/>
      <c r="O38" s="1299"/>
      <c r="P38" s="1299"/>
      <c r="Q38" s="1299"/>
      <c r="R38" s="1170">
        <f t="shared" si="6"/>
        <v>130</v>
      </c>
      <c r="S38" s="1742">
        <f>IF((S35+S36-S37)&gt;0,S35+S36-S37,0)</f>
        <v>10584000</v>
      </c>
      <c r="T38" s="1743"/>
      <c r="U38" s="1744"/>
    </row>
    <row r="39" spans="1:21" ht="27" customHeight="1" x14ac:dyDescent="0.2">
      <c r="A39" s="1379"/>
      <c r="B39" s="1428" t="s">
        <v>785</v>
      </c>
      <c r="C39" s="1396"/>
      <c r="D39" s="1396"/>
      <c r="E39" s="1396"/>
      <c r="F39" s="1396"/>
      <c r="G39" s="1396"/>
      <c r="H39" s="1429"/>
      <c r="I39" s="1135">
        <f t="shared" si="4"/>
        <v>112</v>
      </c>
      <c r="J39" s="1436"/>
      <c r="K39" s="1437"/>
      <c r="L39" s="1485"/>
      <c r="M39" s="1731" t="s">
        <v>709</v>
      </c>
      <c r="N39" s="1732"/>
      <c r="O39" s="1732"/>
      <c r="P39" s="1732"/>
      <c r="Q39" s="1732"/>
      <c r="R39" s="1171">
        <f t="shared" si="6"/>
        <v>131</v>
      </c>
      <c r="S39" s="1740">
        <f>IF('DATOS PARA DEPURAR'!E20&gt;0,'DATOS PARA DEPURAR'!E20,0)</f>
        <v>1820000</v>
      </c>
      <c r="T39" s="1740"/>
      <c r="U39" s="1741"/>
    </row>
    <row r="40" spans="1:21" ht="27" customHeight="1" x14ac:dyDescent="0.2">
      <c r="A40" s="1379"/>
      <c r="B40" s="1430" t="s">
        <v>786</v>
      </c>
      <c r="C40" s="1431"/>
      <c r="D40" s="1431"/>
      <c r="E40" s="1431"/>
      <c r="F40" s="1431"/>
      <c r="G40" s="1431"/>
      <c r="H40" s="1432"/>
      <c r="I40" s="1134">
        <f t="shared" si="4"/>
        <v>113</v>
      </c>
      <c r="J40" s="1423"/>
      <c r="K40" s="1424"/>
      <c r="L40" s="1485"/>
      <c r="M40" s="1733" t="s">
        <v>708</v>
      </c>
      <c r="N40" s="1734"/>
      <c r="O40" s="1734"/>
      <c r="P40" s="1734"/>
      <c r="Q40" s="1734"/>
      <c r="R40" s="1170">
        <f t="shared" si="6"/>
        <v>132</v>
      </c>
      <c r="S40" s="1207">
        <f>IF('DATOS PARA DEPURAR'!C21&gt;0,'DATOS PARA DEPURAR'!C21,0)</f>
        <v>0</v>
      </c>
      <c r="T40" s="1207"/>
      <c r="U40" s="1739"/>
    </row>
    <row r="41" spans="1:21" ht="27" customHeight="1" x14ac:dyDescent="0.2">
      <c r="A41" s="1379"/>
      <c r="B41" s="1433" t="s">
        <v>93</v>
      </c>
      <c r="C41" s="1434"/>
      <c r="D41" s="1434"/>
      <c r="E41" s="1434"/>
      <c r="F41" s="1434"/>
      <c r="G41" s="1434"/>
      <c r="H41" s="1435"/>
      <c r="I41" s="1135">
        <f t="shared" si="4"/>
        <v>114</v>
      </c>
      <c r="J41" s="1436">
        <f>SUM('DEPURACION POR IMAS EMPLEADO'!I40:I41)+V242</f>
        <v>0</v>
      </c>
      <c r="K41" s="1437"/>
      <c r="L41" s="1485"/>
      <c r="M41" s="1735" t="s">
        <v>707</v>
      </c>
      <c r="N41" s="1736"/>
      <c r="O41" s="1736"/>
      <c r="P41" s="1736"/>
      <c r="Q41" s="1736"/>
      <c r="R41" s="1171">
        <f t="shared" si="6"/>
        <v>133</v>
      </c>
      <c r="S41" s="1740">
        <f>+'DATOS PARA DEPURAR'!E308</f>
        <v>12096000</v>
      </c>
      <c r="T41" s="1740"/>
      <c r="U41" s="1741"/>
    </row>
    <row r="42" spans="1:21" ht="27" customHeight="1" thickBot="1" x14ac:dyDescent="0.25">
      <c r="A42" s="1379"/>
      <c r="B42" s="1430" t="s">
        <v>94</v>
      </c>
      <c r="C42" s="1431"/>
      <c r="D42" s="1431"/>
      <c r="E42" s="1431"/>
      <c r="F42" s="1431"/>
      <c r="G42" s="1431"/>
      <c r="H42" s="1432"/>
      <c r="I42" s="1134">
        <f t="shared" si="4"/>
        <v>115</v>
      </c>
      <c r="J42" s="1423">
        <f>'DEPURACION POR IMAS EMPLEADO'!I42</f>
        <v>0</v>
      </c>
      <c r="K42" s="1424"/>
      <c r="L42" s="1485"/>
      <c r="M42" s="1550" t="s">
        <v>207</v>
      </c>
      <c r="N42" s="1299"/>
      <c r="O42" s="1299"/>
      <c r="P42" s="1299"/>
      <c r="Q42" s="1299"/>
      <c r="R42" s="1170">
        <f t="shared" si="6"/>
        <v>134</v>
      </c>
      <c r="S42" s="1207">
        <f>+AA279</f>
        <v>0</v>
      </c>
      <c r="T42" s="1207"/>
      <c r="U42" s="1739"/>
    </row>
    <row r="43" spans="1:21" ht="30" customHeight="1" thickBot="1" x14ac:dyDescent="0.25">
      <c r="A43" s="1579" t="s">
        <v>789</v>
      </c>
      <c r="B43" s="1580"/>
      <c r="C43" s="1580"/>
      <c r="D43" s="1161">
        <f>+R42+1</f>
        <v>135</v>
      </c>
      <c r="E43" s="1767">
        <f>IF((S38+S42-S39-S40-S41)&gt;0,S38+S42-S39-S40-S41,0)</f>
        <v>0</v>
      </c>
      <c r="F43" s="1768"/>
      <c r="G43" s="1581" t="s">
        <v>181</v>
      </c>
      <c r="H43" s="1581"/>
      <c r="I43" s="1162">
        <f>+D43+1</f>
        <v>136</v>
      </c>
      <c r="J43" s="1163">
        <f>+V274</f>
        <v>529200</v>
      </c>
      <c r="K43" s="1763" t="s">
        <v>790</v>
      </c>
      <c r="L43" s="1763"/>
      <c r="M43" s="1164">
        <f>+I43+1</f>
        <v>137</v>
      </c>
      <c r="N43" s="1764">
        <f>IF((S38-S39-S40-S41+S42+J43)&gt;0,S38-S39-S40-S41+S42+J43,0)</f>
        <v>0</v>
      </c>
      <c r="O43" s="1764"/>
      <c r="P43" s="1764"/>
      <c r="Q43" s="1165" t="s">
        <v>791</v>
      </c>
      <c r="R43" s="1166">
        <f>+M43+1</f>
        <v>138</v>
      </c>
      <c r="S43" s="1765">
        <f>IF((S39+S40+S41-S38-S42-J43)&gt;0,S39+S40+S41-S38-S42-J43,0)</f>
        <v>2802800</v>
      </c>
      <c r="T43" s="1765"/>
      <c r="U43" s="1766"/>
    </row>
    <row r="44" spans="1:21" hidden="1" x14ac:dyDescent="0.2">
      <c r="A44" s="1051"/>
      <c r="B44" s="1121"/>
      <c r="C44" s="1121"/>
      <c r="D44" s="1121"/>
      <c r="E44" s="1121"/>
      <c r="F44" s="1121"/>
      <c r="G44" s="1121"/>
      <c r="H44" s="1121"/>
      <c r="I44" s="282"/>
      <c r="J44" s="1025"/>
      <c r="K44" s="1025"/>
      <c r="L44" s="85"/>
      <c r="M44" s="85"/>
      <c r="N44" s="85"/>
      <c r="O44" s="85"/>
      <c r="P44" s="85"/>
      <c r="Q44" s="1118"/>
      <c r="R44" s="1119"/>
      <c r="S44" s="1119"/>
      <c r="T44" s="1119"/>
      <c r="U44" s="1120"/>
    </row>
    <row r="45" spans="1:21" hidden="1" x14ac:dyDescent="0.2">
      <c r="A45" s="1051"/>
      <c r="B45" s="1121"/>
      <c r="C45" s="1121"/>
      <c r="D45" s="1121"/>
      <c r="E45" s="1121"/>
      <c r="F45" s="1121"/>
      <c r="G45" s="1121"/>
      <c r="H45" s="1121"/>
      <c r="I45" s="282"/>
      <c r="J45" s="1025"/>
      <c r="K45" s="1025"/>
      <c r="L45" s="85"/>
      <c r="M45" s="85"/>
      <c r="N45" s="85"/>
      <c r="O45" s="85"/>
      <c r="P45" s="85"/>
      <c r="Q45" s="1118"/>
      <c r="R45" s="1119"/>
      <c r="S45" s="1119"/>
      <c r="T45" s="1119"/>
      <c r="U45" s="1120"/>
    </row>
    <row r="46" spans="1:21" hidden="1" x14ac:dyDescent="0.2">
      <c r="A46" s="1051"/>
      <c r="B46" s="1121"/>
      <c r="C46" s="1121"/>
      <c r="D46" s="1121"/>
      <c r="E46" s="1121"/>
      <c r="F46" s="1121"/>
      <c r="G46" s="1121"/>
      <c r="H46" s="1121"/>
      <c r="I46" s="282"/>
      <c r="J46" s="1025"/>
      <c r="K46" s="1025"/>
      <c r="L46" s="85"/>
      <c r="M46" s="85"/>
      <c r="N46" s="85"/>
      <c r="O46" s="85"/>
      <c r="P46" s="85"/>
      <c r="Q46" s="1118"/>
      <c r="R46" s="1119"/>
      <c r="S46" s="1119"/>
      <c r="T46" s="1119"/>
      <c r="U46" s="1120"/>
    </row>
    <row r="47" spans="1:21" hidden="1" x14ac:dyDescent="0.2">
      <c r="A47" s="1108"/>
      <c r="B47" s="1113"/>
      <c r="C47" s="1114"/>
      <c r="D47" s="1115"/>
      <c r="E47" s="51"/>
      <c r="F47" s="1115"/>
      <c r="G47" s="763"/>
      <c r="H47" s="85"/>
      <c r="I47" s="85"/>
      <c r="J47" s="1116"/>
      <c r="K47" s="1117"/>
      <c r="L47" s="85"/>
      <c r="M47" s="85"/>
      <c r="N47" s="85"/>
      <c r="O47" s="85"/>
      <c r="P47" s="85"/>
      <c r="Q47" s="1118"/>
      <c r="R47" s="1119"/>
      <c r="S47" s="1119"/>
      <c r="T47" s="1119"/>
      <c r="U47" s="1120"/>
    </row>
    <row r="48" spans="1:21" ht="13.5" hidden="1" thickBot="1" x14ac:dyDescent="0.25">
      <c r="A48" s="1337" t="s">
        <v>113</v>
      </c>
      <c r="B48" s="1760"/>
      <c r="C48" s="1761"/>
      <c r="D48" s="1761"/>
      <c r="E48" s="1762"/>
      <c r="F48" s="202"/>
      <c r="G48" s="875"/>
      <c r="H48" s="1758"/>
      <c r="I48" s="1759"/>
      <c r="J48" s="1759"/>
      <c r="K48" s="1109"/>
      <c r="L48" s="1109"/>
      <c r="M48" s="1109"/>
      <c r="N48" s="1109"/>
      <c r="O48" s="1109"/>
      <c r="P48" s="1109"/>
      <c r="Q48" s="1109"/>
      <c r="R48" s="1110">
        <f>+F88+1</f>
        <v>69</v>
      </c>
      <c r="S48" s="1128"/>
      <c r="T48" s="1128"/>
      <c r="U48" s="1111"/>
    </row>
    <row r="49" spans="1:21" hidden="1" x14ac:dyDescent="0.2">
      <c r="A49" s="1337"/>
      <c r="B49" s="1447" t="s">
        <v>111</v>
      </c>
      <c r="C49" s="1397"/>
      <c r="D49" s="1397"/>
      <c r="E49" s="1448"/>
      <c r="F49" s="202"/>
      <c r="G49" s="868"/>
      <c r="K49" s="1052"/>
      <c r="L49" s="1052"/>
      <c r="M49" s="1052"/>
      <c r="N49" s="1052"/>
      <c r="O49" s="1052"/>
      <c r="P49" s="1052"/>
      <c r="Q49" s="1052"/>
      <c r="R49" s="202"/>
      <c r="S49" s="202"/>
      <c r="T49" s="202"/>
    </row>
    <row r="50" spans="1:21" ht="13.5" hidden="1" thickBot="1" x14ac:dyDescent="0.25">
      <c r="A50" s="1338"/>
      <c r="B50" s="1582" t="s">
        <v>112</v>
      </c>
      <c r="C50" s="1583"/>
      <c r="D50" s="1583"/>
      <c r="E50" s="1584"/>
      <c r="F50" s="202"/>
      <c r="G50" s="881"/>
      <c r="K50" s="873"/>
      <c r="L50" s="873"/>
      <c r="M50" s="873"/>
      <c r="N50" s="873"/>
      <c r="O50" s="873"/>
      <c r="P50" s="873"/>
      <c r="Q50" s="873"/>
      <c r="R50" s="202"/>
      <c r="S50" s="202"/>
      <c r="T50" s="202"/>
    </row>
    <row r="51" spans="1:21" hidden="1" x14ac:dyDescent="0.2">
      <c r="A51" s="1551"/>
      <c r="B51" s="1410" t="s">
        <v>510</v>
      </c>
      <c r="C51" s="1552"/>
      <c r="D51" s="1553"/>
      <c r="E51" s="1554"/>
      <c r="F51" s="863">
        <f>+R4+1</f>
        <v>32</v>
      </c>
      <c r="G51" s="864"/>
      <c r="K51" s="866"/>
      <c r="L51" s="866"/>
      <c r="M51" s="866"/>
      <c r="N51" s="866"/>
      <c r="O51" s="866"/>
      <c r="P51" s="866"/>
      <c r="Q51" s="866"/>
      <c r="R51" s="202"/>
      <c r="S51" s="202"/>
      <c r="T51" s="202"/>
    </row>
    <row r="52" spans="1:21" hidden="1" x14ac:dyDescent="0.2">
      <c r="A52" s="1415"/>
      <c r="B52" s="1411"/>
      <c r="C52" s="1555" t="s">
        <v>675</v>
      </c>
      <c r="D52" s="1556"/>
      <c r="E52" s="1557"/>
      <c r="F52" s="874">
        <f t="shared" ref="F52:F57" si="7">+F51+1</f>
        <v>33</v>
      </c>
      <c r="G52" s="875"/>
      <c r="K52" s="1033"/>
      <c r="L52" s="1033"/>
      <c r="M52" s="1009"/>
      <c r="N52" s="1095"/>
      <c r="O52" s="1095"/>
      <c r="P52" s="1095"/>
      <c r="Q52" s="1009"/>
      <c r="R52" s="202"/>
      <c r="S52" s="202"/>
      <c r="T52" s="202"/>
    </row>
    <row r="53" spans="1:21" ht="13.5" hidden="1" thickBot="1" x14ac:dyDescent="0.25">
      <c r="A53" s="1415"/>
      <c r="B53" s="1411"/>
      <c r="C53" s="1558" t="s">
        <v>676</v>
      </c>
      <c r="D53" s="1559"/>
      <c r="E53" s="1560"/>
      <c r="F53" s="867">
        <f>+F52+1</f>
        <v>34</v>
      </c>
      <c r="G53" s="891" t="e">
        <f>+'RENTA GENERAL LABORAL'!#REF!</f>
        <v>#REF!</v>
      </c>
      <c r="K53" s="870"/>
      <c r="L53" s="870"/>
      <c r="M53" s="870"/>
      <c r="N53" s="870"/>
      <c r="O53" s="870"/>
      <c r="P53" s="870"/>
      <c r="Q53" s="870"/>
      <c r="R53" s="202"/>
      <c r="S53" s="202"/>
      <c r="T53" s="202"/>
    </row>
    <row r="54" spans="1:21" hidden="1" x14ac:dyDescent="0.2">
      <c r="A54" s="1415"/>
      <c r="B54" s="1411"/>
      <c r="C54" s="1433" t="s">
        <v>677</v>
      </c>
      <c r="D54" s="1434"/>
      <c r="E54" s="1435"/>
      <c r="F54" s="874">
        <f>+F53+1</f>
        <v>35</v>
      </c>
      <c r="G54" s="875">
        <f>+'RENTA GENERAL LABORAL'!F28</f>
        <v>104501533</v>
      </c>
      <c r="K54" s="1039"/>
      <c r="L54" s="1039"/>
      <c r="M54" s="1014"/>
      <c r="N54" s="1096"/>
      <c r="O54" s="1096"/>
      <c r="P54" s="1096"/>
      <c r="Q54" s="1014"/>
      <c r="R54" s="202"/>
      <c r="S54" s="202"/>
      <c r="T54" s="202"/>
    </row>
    <row r="55" spans="1:21" hidden="1" x14ac:dyDescent="0.2">
      <c r="A55" s="1415"/>
      <c r="B55" s="1411"/>
      <c r="C55" s="1564" t="s">
        <v>492</v>
      </c>
      <c r="D55" s="1565"/>
      <c r="E55" s="1566"/>
      <c r="F55" s="892">
        <f t="shared" si="7"/>
        <v>36</v>
      </c>
      <c r="G55" s="891">
        <f>+'RENTA GENERAL LABORAL'!F29</f>
        <v>33347029</v>
      </c>
      <c r="K55" s="878"/>
      <c r="L55" s="878"/>
      <c r="M55" s="878"/>
      <c r="N55" s="878"/>
      <c r="O55" s="878"/>
      <c r="P55" s="878"/>
      <c r="Q55" s="878"/>
      <c r="R55" s="202"/>
      <c r="S55" s="202"/>
      <c r="T55" s="202"/>
    </row>
    <row r="56" spans="1:21" hidden="1" x14ac:dyDescent="0.2">
      <c r="A56" s="1415"/>
      <c r="B56" s="1411"/>
      <c r="C56" s="1567" t="s">
        <v>506</v>
      </c>
      <c r="D56" s="1568"/>
      <c r="E56" s="1569"/>
      <c r="F56" s="874">
        <f t="shared" si="7"/>
        <v>37</v>
      </c>
      <c r="G56" s="875">
        <f>+'RENTA GENERAL LABORAL'!F49</f>
        <v>33347029</v>
      </c>
      <c r="K56" s="879"/>
      <c r="L56" s="879"/>
      <c r="M56" s="879"/>
      <c r="N56" s="879"/>
      <c r="O56" s="879"/>
      <c r="P56" s="879"/>
      <c r="Q56" s="879"/>
      <c r="R56" s="202"/>
      <c r="S56" s="202"/>
      <c r="T56" s="202"/>
    </row>
    <row r="57" spans="1:21" ht="13.5" hidden="1" thickBot="1" x14ac:dyDescent="0.25">
      <c r="A57" s="1415"/>
      <c r="B57" s="1412"/>
      <c r="C57" s="1570" t="s">
        <v>507</v>
      </c>
      <c r="D57" s="1571"/>
      <c r="E57" s="1572"/>
      <c r="F57" s="893">
        <f t="shared" si="7"/>
        <v>38</v>
      </c>
      <c r="G57" s="894">
        <f>+'RENTA GENERAL LABORAL'!F53</f>
        <v>71154504</v>
      </c>
      <c r="K57" s="1032"/>
      <c r="L57" s="1032"/>
      <c r="M57" s="1008"/>
      <c r="N57" s="1090"/>
      <c r="O57" s="1090"/>
      <c r="P57" s="1090"/>
      <c r="Q57" s="1008"/>
      <c r="R57" s="202"/>
      <c r="S57" s="202"/>
      <c r="T57" s="202"/>
    </row>
    <row r="58" spans="1:21" hidden="1" x14ac:dyDescent="0.2">
      <c r="A58" s="1415"/>
      <c r="B58" s="1378" t="s">
        <v>529</v>
      </c>
      <c r="C58" s="886" t="s">
        <v>522</v>
      </c>
      <c r="D58" s="886"/>
      <c r="E58" s="1015"/>
      <c r="F58" s="876">
        <f>+F57+1</f>
        <v>39</v>
      </c>
      <c r="G58" s="888"/>
      <c r="K58" s="1040"/>
      <c r="L58" s="1040"/>
      <c r="M58" s="995"/>
      <c r="N58" s="1091"/>
      <c r="O58" s="1091"/>
      <c r="P58" s="1091"/>
      <c r="Q58" s="995"/>
      <c r="R58" s="202"/>
      <c r="S58" s="202"/>
      <c r="T58" s="202"/>
    </row>
    <row r="59" spans="1:21" hidden="1" x14ac:dyDescent="0.2">
      <c r="A59" s="1415"/>
      <c r="B59" s="1379"/>
      <c r="C59" s="991" t="s">
        <v>488</v>
      </c>
      <c r="D59" s="1020"/>
      <c r="E59" s="992"/>
      <c r="F59" s="867">
        <f>+F58+1</f>
        <v>40</v>
      </c>
      <c r="G59" s="889"/>
      <c r="K59" s="1041"/>
      <c r="L59" s="1041"/>
      <c r="M59" s="1007"/>
      <c r="N59" s="1092"/>
      <c r="O59" s="1092"/>
      <c r="P59" s="1092"/>
      <c r="Q59" s="1007"/>
      <c r="R59" s="202"/>
      <c r="S59" s="202"/>
      <c r="T59" s="202"/>
    </row>
    <row r="60" spans="1:21" ht="13.5" hidden="1" thickBot="1" x14ac:dyDescent="0.25">
      <c r="A60" s="1415"/>
      <c r="B60" s="1379"/>
      <c r="C60" s="884" t="s">
        <v>681</v>
      </c>
      <c r="D60" s="884"/>
      <c r="E60" s="885"/>
      <c r="F60" s="874">
        <f>+F59+1</f>
        <v>41</v>
      </c>
      <c r="G60" s="890"/>
      <c r="K60" s="1038"/>
      <c r="L60" s="1038"/>
      <c r="M60" s="1013"/>
      <c r="N60" s="1093"/>
      <c r="O60" s="1093"/>
      <c r="P60" s="1093"/>
      <c r="Q60" s="1013"/>
      <c r="R60" s="202"/>
      <c r="S60" s="202"/>
      <c r="T60" s="202"/>
    </row>
    <row r="61" spans="1:21" ht="13.5" hidden="1" thickBot="1" x14ac:dyDescent="0.25">
      <c r="A61" s="1415"/>
      <c r="B61" s="1379"/>
      <c r="E61" s="643"/>
      <c r="F61" s="643"/>
      <c r="G61" s="643"/>
      <c r="H61" s="882"/>
      <c r="I61" s="883"/>
      <c r="M61" s="642"/>
      <c r="N61" s="642"/>
      <c r="O61" s="642"/>
      <c r="P61" s="642"/>
      <c r="Q61" s="642"/>
      <c r="R61" s="643"/>
      <c r="S61" s="643"/>
      <c r="T61" s="643"/>
      <c r="U61" s="644"/>
    </row>
    <row r="62" spans="1:21" hidden="1" x14ac:dyDescent="0.2">
      <c r="A62" s="1415"/>
      <c r="B62" s="1379"/>
      <c r="C62" s="994" t="s">
        <v>719</v>
      </c>
      <c r="D62" s="1021"/>
      <c r="E62" s="994"/>
      <c r="F62" s="867">
        <f>+F60+1</f>
        <v>42</v>
      </c>
      <c r="G62" s="889"/>
      <c r="K62" s="1035"/>
      <c r="L62" s="1035"/>
      <c r="M62" s="1011"/>
      <c r="N62" s="1094"/>
      <c r="O62" s="1094"/>
      <c r="P62" s="1094"/>
      <c r="Q62" s="1011"/>
      <c r="R62" s="202"/>
      <c r="S62" s="202"/>
      <c r="T62" s="202"/>
    </row>
    <row r="63" spans="1:21" hidden="1" x14ac:dyDescent="0.2">
      <c r="A63" s="1415"/>
      <c r="B63" s="1379"/>
      <c r="C63" s="884" t="s">
        <v>547</v>
      </c>
      <c r="D63" s="884"/>
      <c r="E63" s="884"/>
      <c r="F63" s="874">
        <f t="shared" ref="F63:F88" si="8">+F62+1</f>
        <v>43</v>
      </c>
      <c r="G63" s="890"/>
      <c r="K63" s="1036"/>
      <c r="L63" s="1036"/>
      <c r="M63" s="1000"/>
      <c r="N63" s="1082"/>
      <c r="O63" s="1082"/>
      <c r="P63" s="1082"/>
      <c r="Q63" s="1000"/>
      <c r="R63" s="202"/>
      <c r="S63" s="202"/>
      <c r="T63" s="202"/>
    </row>
    <row r="64" spans="1:21" hidden="1" x14ac:dyDescent="0.2">
      <c r="A64" s="1415"/>
      <c r="B64" s="1379"/>
      <c r="C64" s="1573" t="s">
        <v>492</v>
      </c>
      <c r="D64" s="1414"/>
      <c r="E64" s="1574"/>
      <c r="F64" s="867">
        <f t="shared" si="8"/>
        <v>44</v>
      </c>
      <c r="G64" s="889">
        <f>+'RENTA GENERAL CAPITAL'!F30</f>
        <v>0</v>
      </c>
      <c r="K64" s="1037"/>
      <c r="L64" s="1037"/>
      <c r="M64" s="1012"/>
      <c r="N64" s="1087"/>
      <c r="O64" s="1087"/>
      <c r="P64" s="1087"/>
      <c r="Q64" s="1012"/>
      <c r="R64" s="202"/>
      <c r="S64" s="202"/>
      <c r="T64" s="202"/>
    </row>
    <row r="65" spans="1:21" ht="13.5" hidden="1" thickBot="1" x14ac:dyDescent="0.25">
      <c r="A65" s="1415"/>
      <c r="B65" s="1379"/>
      <c r="C65" s="1428" t="s">
        <v>506</v>
      </c>
      <c r="D65" s="1396"/>
      <c r="E65" s="1429"/>
      <c r="F65" s="874">
        <f t="shared" si="8"/>
        <v>45</v>
      </c>
      <c r="G65" s="890">
        <f>+'RENTA GENERAL CAPITAL'!F40</f>
        <v>0</v>
      </c>
      <c r="K65" s="1034"/>
      <c r="L65" s="1034"/>
      <c r="M65" s="1010"/>
      <c r="N65" s="1088"/>
      <c r="O65" s="1088"/>
      <c r="P65" s="1088"/>
      <c r="Q65" s="1010"/>
      <c r="R65" s="202"/>
      <c r="S65" s="202"/>
      <c r="T65" s="202"/>
    </row>
    <row r="66" spans="1:21" hidden="1" x14ac:dyDescent="0.2">
      <c r="A66" s="1415"/>
      <c r="B66" s="1379"/>
      <c r="C66" s="1575" t="s">
        <v>720</v>
      </c>
      <c r="D66" s="1308"/>
      <c r="E66" s="1576"/>
      <c r="F66" s="867">
        <f t="shared" si="8"/>
        <v>46</v>
      </c>
      <c r="G66" s="889">
        <f>+'RENTA GENERAL CAPITAL'!F45</f>
        <v>0</v>
      </c>
      <c r="H66" s="1374"/>
      <c r="K66" s="913"/>
      <c r="L66" s="913"/>
      <c r="M66" s="913"/>
      <c r="N66" s="913"/>
      <c r="O66" s="913"/>
      <c r="P66" s="913"/>
      <c r="Q66" s="913"/>
      <c r="R66" s="908" t="e">
        <f>+#REF!+1</f>
        <v>#REF!</v>
      </c>
      <c r="S66" s="1112"/>
      <c r="T66" s="1112"/>
    </row>
    <row r="67" spans="1:21" hidden="1" x14ac:dyDescent="0.2">
      <c r="A67" s="1415"/>
      <c r="B67" s="1379"/>
      <c r="C67" s="1577" t="s">
        <v>721</v>
      </c>
      <c r="D67" s="1404"/>
      <c r="E67" s="1578"/>
      <c r="F67" s="874">
        <f t="shared" si="8"/>
        <v>47</v>
      </c>
      <c r="G67" s="890">
        <f>+'RENTA GENERAL CAPITAL'!F46</f>
        <v>0</v>
      </c>
      <c r="H67" s="1300"/>
      <c r="K67" s="905"/>
      <c r="L67" s="905"/>
      <c r="M67" s="905"/>
      <c r="N67" s="905"/>
      <c r="O67" s="905"/>
      <c r="P67" s="905"/>
      <c r="Q67" s="905"/>
      <c r="R67" s="906" t="e">
        <f t="shared" ref="R67:R87" si="9">+R66+1</f>
        <v>#REF!</v>
      </c>
      <c r="S67" s="862"/>
      <c r="T67" s="862"/>
    </row>
    <row r="68" spans="1:21" hidden="1" x14ac:dyDescent="0.2">
      <c r="A68" s="1415"/>
      <c r="B68" s="1379"/>
      <c r="C68" s="1627" t="s">
        <v>687</v>
      </c>
      <c r="D68" s="1408"/>
      <c r="E68" s="1628"/>
      <c r="F68" s="867">
        <f t="shared" si="8"/>
        <v>48</v>
      </c>
      <c r="G68" s="889">
        <f>+'RENTA GENERAL CAPITAL'!F47</f>
        <v>0</v>
      </c>
      <c r="H68" s="1300"/>
      <c r="K68" s="907"/>
      <c r="L68" s="907"/>
      <c r="M68" s="907"/>
      <c r="N68" s="907"/>
      <c r="O68" s="907"/>
      <c r="P68" s="907"/>
      <c r="Q68" s="907"/>
      <c r="R68" s="908" t="e">
        <f t="shared" si="9"/>
        <v>#REF!</v>
      </c>
      <c r="S68" s="1112"/>
      <c r="T68" s="1112"/>
    </row>
    <row r="69" spans="1:21" ht="13.5" hidden="1" thickBot="1" x14ac:dyDescent="0.25">
      <c r="A69" s="1415"/>
      <c r="B69" s="1380"/>
      <c r="C69" s="1585" t="s">
        <v>723</v>
      </c>
      <c r="D69" s="1586"/>
      <c r="E69" s="1587"/>
      <c r="F69" s="874">
        <f t="shared" si="8"/>
        <v>49</v>
      </c>
      <c r="G69" s="890">
        <f>+'RENTA GENERAL CAPITAL'!F48</f>
        <v>0</v>
      </c>
      <c r="H69" s="1300"/>
      <c r="K69" s="909"/>
      <c r="L69" s="909"/>
      <c r="M69" s="909"/>
      <c r="N69" s="909"/>
      <c r="O69" s="909"/>
      <c r="P69" s="909"/>
      <c r="Q69" s="909"/>
      <c r="R69" s="906" t="e">
        <f t="shared" si="9"/>
        <v>#REF!</v>
      </c>
      <c r="S69" s="862"/>
      <c r="T69" s="862"/>
    </row>
    <row r="70" spans="1:21" hidden="1" x14ac:dyDescent="0.2">
      <c r="A70" s="1415"/>
      <c r="B70" s="1378" t="s">
        <v>591</v>
      </c>
      <c r="C70" s="895" t="s">
        <v>557</v>
      </c>
      <c r="D70" s="895"/>
      <c r="E70" s="896"/>
      <c r="F70" s="863">
        <f t="shared" si="8"/>
        <v>50</v>
      </c>
      <c r="G70" s="864"/>
      <c r="H70" s="1300"/>
      <c r="K70" s="907"/>
      <c r="L70" s="907"/>
      <c r="M70" s="907"/>
      <c r="N70" s="907"/>
      <c r="O70" s="907"/>
      <c r="P70" s="907"/>
      <c r="Q70" s="907"/>
      <c r="R70" s="908" t="e">
        <f t="shared" si="9"/>
        <v>#REF!</v>
      </c>
      <c r="S70" s="1112"/>
      <c r="T70" s="1112"/>
    </row>
    <row r="71" spans="1:21" ht="13.5" hidden="1" thickBot="1" x14ac:dyDescent="0.25">
      <c r="A71" s="1415"/>
      <c r="B71" s="1379"/>
      <c r="C71" s="999" t="s">
        <v>570</v>
      </c>
      <c r="D71" s="1048"/>
      <c r="E71" s="999"/>
      <c r="F71" s="874">
        <f t="shared" si="8"/>
        <v>51</v>
      </c>
      <c r="G71" s="875"/>
      <c r="H71" s="1300"/>
      <c r="K71" s="920"/>
      <c r="L71" s="920"/>
      <c r="M71" s="920"/>
      <c r="N71" s="920"/>
      <c r="O71" s="920"/>
      <c r="P71" s="920"/>
      <c r="Q71" s="920"/>
      <c r="R71" s="906" t="e">
        <f>+R70+1</f>
        <v>#REF!</v>
      </c>
      <c r="S71" s="862"/>
      <c r="T71" s="862"/>
    </row>
    <row r="72" spans="1:21" hidden="1" x14ac:dyDescent="0.2">
      <c r="A72" s="1415"/>
      <c r="B72" s="1379"/>
      <c r="C72" s="997" t="s">
        <v>488</v>
      </c>
      <c r="D72" s="1047"/>
      <c r="E72" s="998"/>
      <c r="F72" s="867">
        <f t="shared" si="8"/>
        <v>52</v>
      </c>
      <c r="G72" s="868"/>
      <c r="H72" s="1300"/>
      <c r="J72" s="921" t="s">
        <v>613</v>
      </c>
      <c r="K72" s="921"/>
      <c r="L72" s="921"/>
      <c r="M72" s="921"/>
      <c r="N72" s="921"/>
      <c r="O72" s="921"/>
      <c r="P72" s="921"/>
      <c r="Q72" s="921"/>
      <c r="R72" s="922" t="e">
        <f>+R71+1</f>
        <v>#REF!</v>
      </c>
      <c r="S72" s="922"/>
      <c r="T72" s="922"/>
      <c r="U72" s="923"/>
    </row>
    <row r="73" spans="1:21" hidden="1" x14ac:dyDescent="0.2">
      <c r="A73" s="1415"/>
      <c r="B73" s="1379"/>
      <c r="C73" s="999" t="s">
        <v>527</v>
      </c>
      <c r="D73" s="1048"/>
      <c r="E73" s="999"/>
      <c r="F73" s="874">
        <f t="shared" si="8"/>
        <v>53</v>
      </c>
      <c r="G73" s="875"/>
      <c r="H73" s="1300"/>
      <c r="J73" s="924" t="s">
        <v>131</v>
      </c>
      <c r="K73" s="924"/>
      <c r="L73" s="924"/>
      <c r="M73" s="924"/>
      <c r="N73" s="924"/>
      <c r="O73" s="924"/>
      <c r="P73" s="924"/>
      <c r="Q73" s="924"/>
      <c r="R73" s="906" t="e">
        <f t="shared" si="9"/>
        <v>#REF!</v>
      </c>
      <c r="S73" s="906"/>
      <c r="T73" s="906"/>
      <c r="U73" s="925"/>
    </row>
    <row r="74" spans="1:21" hidden="1" x14ac:dyDescent="0.2">
      <c r="A74" s="1415"/>
      <c r="B74" s="1379"/>
      <c r="C74" s="997" t="s">
        <v>567</v>
      </c>
      <c r="D74" s="1047"/>
      <c r="E74" s="998"/>
      <c r="F74" s="867">
        <f t="shared" si="8"/>
        <v>54</v>
      </c>
      <c r="G74" s="868"/>
      <c r="H74" s="1300"/>
      <c r="J74" s="926" t="s">
        <v>170</v>
      </c>
      <c r="K74" s="926"/>
      <c r="L74" s="926"/>
      <c r="M74" s="926"/>
      <c r="N74" s="926"/>
      <c r="O74" s="926"/>
      <c r="P74" s="926"/>
      <c r="Q74" s="926"/>
      <c r="R74" s="927" t="e">
        <f t="shared" si="9"/>
        <v>#REF!</v>
      </c>
      <c r="S74" s="927"/>
      <c r="T74" s="927"/>
      <c r="U74" s="928"/>
    </row>
    <row r="75" spans="1:21" ht="13.5" hidden="1" thickBot="1" x14ac:dyDescent="0.25">
      <c r="A75" s="1415"/>
      <c r="B75" s="1379"/>
      <c r="C75" s="972" t="s">
        <v>562</v>
      </c>
      <c r="D75" s="972"/>
      <c r="E75" s="999"/>
      <c r="F75" s="874">
        <f t="shared" si="8"/>
        <v>55</v>
      </c>
      <c r="G75" s="875"/>
      <c r="H75" s="1300"/>
      <c r="J75" s="940" t="s">
        <v>171</v>
      </c>
      <c r="K75" s="940"/>
      <c r="L75" s="940"/>
      <c r="M75" s="940"/>
      <c r="N75" s="940"/>
      <c r="O75" s="940"/>
      <c r="P75" s="940"/>
      <c r="Q75" s="940"/>
      <c r="R75" s="941" t="e">
        <f t="shared" si="9"/>
        <v>#REF!</v>
      </c>
      <c r="S75" s="941"/>
      <c r="T75" s="941"/>
      <c r="U75" s="942">
        <f>SUM(U72:U74)</f>
        <v>0</v>
      </c>
    </row>
    <row r="76" spans="1:21" hidden="1" x14ac:dyDescent="0.2">
      <c r="A76" s="1415"/>
      <c r="B76" s="1379"/>
      <c r="C76" s="1588" t="s">
        <v>682</v>
      </c>
      <c r="D76" s="1589"/>
      <c r="E76" s="1590"/>
      <c r="F76" s="867">
        <f t="shared" si="8"/>
        <v>56</v>
      </c>
      <c r="G76" s="868">
        <f>+'RENTA GENERAL NO LABORAL'!F62</f>
        <v>0</v>
      </c>
      <c r="H76" s="1300"/>
      <c r="K76" s="1045"/>
      <c r="L76" s="1045"/>
      <c r="M76" s="1005"/>
      <c r="N76" s="1086"/>
      <c r="O76" s="1086"/>
      <c r="P76" s="1086"/>
      <c r="Q76" s="1005"/>
      <c r="R76" s="927" t="e">
        <f t="shared" si="9"/>
        <v>#REF!</v>
      </c>
      <c r="S76" s="927"/>
      <c r="T76" s="927"/>
      <c r="U76" s="939"/>
    </row>
    <row r="77" spans="1:21" hidden="1" x14ac:dyDescent="0.2">
      <c r="A77" s="1415"/>
      <c r="B77" s="1379"/>
      <c r="C77" s="1591" t="s">
        <v>683</v>
      </c>
      <c r="D77" s="1592"/>
      <c r="E77" s="1593"/>
      <c r="F77" s="874">
        <f t="shared" si="8"/>
        <v>57</v>
      </c>
      <c r="G77" s="875">
        <f>+'RENTA GENERAL NO LABORAL'!F75</f>
        <v>0</v>
      </c>
      <c r="H77" s="1300"/>
      <c r="K77" s="1046"/>
      <c r="L77" s="1046"/>
      <c r="M77" s="1006"/>
      <c r="N77" s="1089"/>
      <c r="O77" s="1089"/>
      <c r="P77" s="1089"/>
      <c r="Q77" s="1006"/>
      <c r="R77" s="906" t="e">
        <f t="shared" si="9"/>
        <v>#REF!</v>
      </c>
      <c r="S77" s="906"/>
      <c r="T77" s="906"/>
      <c r="U77" s="929"/>
    </row>
    <row r="78" spans="1:21" hidden="1" x14ac:dyDescent="0.2">
      <c r="A78" s="1415"/>
      <c r="B78" s="1379"/>
      <c r="C78" s="1599" t="s">
        <v>548</v>
      </c>
      <c r="D78" s="1600"/>
      <c r="E78" s="1601"/>
      <c r="F78" s="867">
        <f t="shared" si="8"/>
        <v>58</v>
      </c>
      <c r="G78" s="868">
        <f>+'RENTA GENERAL NO LABORAL'!F80</f>
        <v>0</v>
      </c>
      <c r="H78" s="1300"/>
      <c r="K78" s="1049"/>
      <c r="L78" s="1049"/>
      <c r="M78" s="996"/>
      <c r="N78" s="1084"/>
      <c r="O78" s="1084"/>
      <c r="P78" s="1084"/>
      <c r="Q78" s="996"/>
      <c r="R78" s="908" t="e">
        <f t="shared" si="9"/>
        <v>#REF!</v>
      </c>
      <c r="S78" s="908"/>
      <c r="T78" s="908"/>
      <c r="U78" s="928"/>
    </row>
    <row r="79" spans="1:21" hidden="1" x14ac:dyDescent="0.2">
      <c r="A79" s="1415"/>
      <c r="B79" s="1379"/>
      <c r="C79" s="1602" t="s">
        <v>549</v>
      </c>
      <c r="D79" s="1603"/>
      <c r="E79" s="1604"/>
      <c r="F79" s="874">
        <f t="shared" si="8"/>
        <v>59</v>
      </c>
      <c r="G79" s="875">
        <f>+'RENTA GENERAL NO LABORAL'!F81</f>
        <v>0</v>
      </c>
      <c r="H79" s="1300"/>
      <c r="K79" s="1046"/>
      <c r="L79" s="1046"/>
      <c r="M79" s="1006"/>
      <c r="N79" s="1089"/>
      <c r="O79" s="1089"/>
      <c r="P79" s="1089"/>
      <c r="Q79" s="1006"/>
      <c r="R79" s="906" t="e">
        <f t="shared" si="9"/>
        <v>#REF!</v>
      </c>
      <c r="S79" s="906"/>
      <c r="T79" s="906"/>
      <c r="U79" s="925"/>
    </row>
    <row r="80" spans="1:21" hidden="1" x14ac:dyDescent="0.2">
      <c r="A80" s="1415"/>
      <c r="B80" s="1379"/>
      <c r="C80" s="1605" t="s">
        <v>688</v>
      </c>
      <c r="D80" s="1606"/>
      <c r="E80" s="1607"/>
      <c r="F80" s="867">
        <f t="shared" si="8"/>
        <v>60</v>
      </c>
      <c r="G80" s="868">
        <f>+'RENTA GENERAL NO LABORAL'!F82</f>
        <v>0</v>
      </c>
      <c r="H80" s="1300"/>
      <c r="K80" s="1045"/>
      <c r="L80" s="1045"/>
      <c r="M80" s="1005"/>
      <c r="N80" s="1086"/>
      <c r="O80" s="1086"/>
      <c r="P80" s="1086"/>
      <c r="Q80" s="1005"/>
      <c r="R80" s="908" t="e">
        <f t="shared" si="9"/>
        <v>#REF!</v>
      </c>
      <c r="S80" s="908"/>
      <c r="T80" s="908"/>
      <c r="U80" s="928"/>
    </row>
    <row r="81" spans="1:21" ht="13.5" hidden="1" thickBot="1" x14ac:dyDescent="0.25">
      <c r="A81" s="1415"/>
      <c r="B81" s="1380"/>
      <c r="C81" s="1611" t="s">
        <v>566</v>
      </c>
      <c r="D81" s="1612"/>
      <c r="E81" s="1613"/>
      <c r="F81" s="880">
        <f t="shared" si="8"/>
        <v>61</v>
      </c>
      <c r="G81" s="881">
        <f>+'RENTA GENERAL NO LABORAL'!F83</f>
        <v>0</v>
      </c>
      <c r="H81" s="1300"/>
      <c r="K81" s="1050"/>
      <c r="L81" s="1050"/>
      <c r="M81" s="1001"/>
      <c r="N81" s="1085"/>
      <c r="O81" s="1085"/>
      <c r="P81" s="1085"/>
      <c r="Q81" s="1001"/>
      <c r="R81" s="906" t="e">
        <f t="shared" si="9"/>
        <v>#REF!</v>
      </c>
      <c r="S81" s="906"/>
      <c r="T81" s="906"/>
      <c r="U81" s="925"/>
    </row>
    <row r="82" spans="1:21" hidden="1" x14ac:dyDescent="0.2">
      <c r="A82" s="1415"/>
      <c r="B82" s="1552" t="s">
        <v>684</v>
      </c>
      <c r="C82" s="1553"/>
      <c r="D82" s="1553"/>
      <c r="E82" s="1554"/>
      <c r="F82" s="863">
        <f t="shared" si="8"/>
        <v>62</v>
      </c>
      <c r="G82" s="901">
        <f>+G54+G62+G63+G74+G75-G68-G80</f>
        <v>104501533</v>
      </c>
      <c r="H82" s="1300"/>
      <c r="K82" s="932"/>
      <c r="L82" s="932"/>
      <c r="M82" s="932"/>
      <c r="N82" s="932"/>
      <c r="O82" s="932"/>
      <c r="P82" s="932"/>
      <c r="Q82" s="932"/>
      <c r="R82" s="908" t="e">
        <f t="shared" si="9"/>
        <v>#REF!</v>
      </c>
      <c r="S82" s="908"/>
      <c r="T82" s="908"/>
      <c r="U82" s="928"/>
    </row>
    <row r="83" spans="1:21" hidden="1" x14ac:dyDescent="0.2">
      <c r="A83" s="1415"/>
      <c r="B83" s="1594" t="s">
        <v>685</v>
      </c>
      <c r="C83" s="1595"/>
      <c r="D83" s="1595"/>
      <c r="E83" s="1596"/>
      <c r="F83" s="874">
        <f t="shared" si="8"/>
        <v>63</v>
      </c>
      <c r="G83" s="902">
        <f>+G56+G65+G77</f>
        <v>33347029</v>
      </c>
      <c r="H83" s="1300"/>
      <c r="K83" s="1046"/>
      <c r="L83" s="1046"/>
      <c r="M83" s="1006"/>
      <c r="N83" s="1089"/>
      <c r="O83" s="1089"/>
      <c r="P83" s="1089"/>
      <c r="Q83" s="1006"/>
      <c r="R83" s="933" t="e">
        <f t="shared" si="9"/>
        <v>#REF!</v>
      </c>
      <c r="S83" s="933"/>
      <c r="T83" s="933"/>
      <c r="U83" s="925"/>
    </row>
    <row r="84" spans="1:21" hidden="1" x14ac:dyDescent="0.2">
      <c r="A84" s="1415"/>
      <c r="B84" s="1608" t="s">
        <v>686</v>
      </c>
      <c r="C84" s="1609"/>
      <c r="D84" s="1609"/>
      <c r="E84" s="1610"/>
      <c r="F84" s="867">
        <f t="shared" si="8"/>
        <v>64</v>
      </c>
      <c r="G84" s="904">
        <f>+G82-G83</f>
        <v>71154504</v>
      </c>
      <c r="H84" s="1300"/>
      <c r="I84" s="1384" t="s">
        <v>704</v>
      </c>
      <c r="J84" s="1385"/>
      <c r="K84" s="1042"/>
      <c r="L84" s="1042"/>
      <c r="M84" s="1002"/>
      <c r="N84" s="1081"/>
      <c r="O84" s="1081"/>
      <c r="P84" s="1081"/>
      <c r="Q84" s="1002"/>
      <c r="R84" s="934" t="e">
        <f t="shared" si="9"/>
        <v>#REF!</v>
      </c>
      <c r="S84" s="934"/>
      <c r="T84" s="934"/>
      <c r="U84" s="928">
        <f>IF((U79+U83-U80-U81-U82)&gt;0,U79+U83-U80-U81-U82,0)</f>
        <v>0</v>
      </c>
    </row>
    <row r="85" spans="1:21" hidden="1" x14ac:dyDescent="0.2">
      <c r="A85" s="1415"/>
      <c r="B85" s="1594" t="s">
        <v>689</v>
      </c>
      <c r="C85" s="1595"/>
      <c r="D85" s="1595"/>
      <c r="E85" s="1596"/>
      <c r="F85" s="874">
        <f t="shared" si="8"/>
        <v>65</v>
      </c>
      <c r="G85" s="900"/>
      <c r="H85" s="1300"/>
      <c r="I85" s="935" t="s">
        <v>181</v>
      </c>
      <c r="J85" s="935"/>
      <c r="K85" s="935"/>
      <c r="L85" s="935"/>
      <c r="M85" s="935"/>
      <c r="N85" s="935"/>
      <c r="O85" s="935"/>
      <c r="P85" s="935"/>
      <c r="Q85" s="935"/>
      <c r="R85" s="933" t="e">
        <f t="shared" si="9"/>
        <v>#REF!</v>
      </c>
      <c r="S85" s="933"/>
      <c r="T85" s="933"/>
      <c r="U85" s="925"/>
    </row>
    <row r="86" spans="1:21" hidden="1" x14ac:dyDescent="0.2">
      <c r="A86" s="1415"/>
      <c r="B86" s="1597" t="s">
        <v>690</v>
      </c>
      <c r="C86" s="1250"/>
      <c r="D86" s="1250"/>
      <c r="E86" s="1598"/>
      <c r="F86" s="867">
        <f t="shared" si="8"/>
        <v>66</v>
      </c>
      <c r="G86" s="969">
        <f>+'DATOS PARA DEPURAR'!E291</f>
        <v>0</v>
      </c>
      <c r="H86" s="1300"/>
      <c r="I86" s="1386" t="s">
        <v>705</v>
      </c>
      <c r="J86" s="1387"/>
      <c r="K86" s="1043"/>
      <c r="L86" s="1043"/>
      <c r="M86" s="1003"/>
      <c r="N86" s="1083"/>
      <c r="O86" s="1083"/>
      <c r="P86" s="1083"/>
      <c r="Q86" s="1003"/>
      <c r="R86" s="934" t="e">
        <f t="shared" si="9"/>
        <v>#REF!</v>
      </c>
      <c r="S86" s="934"/>
      <c r="T86" s="934"/>
      <c r="U86" s="936">
        <f>IF((U79+U83-U80-U81-U82+U85)&gt;0,U79+U83-U80-U81-U82+U85,0)</f>
        <v>0</v>
      </c>
    </row>
    <row r="87" spans="1:21" ht="13.5" hidden="1" thickBot="1" x14ac:dyDescent="0.25">
      <c r="A87" s="1415"/>
      <c r="B87" s="1602" t="s">
        <v>691</v>
      </c>
      <c r="C87" s="1603"/>
      <c r="D87" s="1603"/>
      <c r="E87" s="1604"/>
      <c r="F87" s="874">
        <f t="shared" si="8"/>
        <v>67</v>
      </c>
      <c r="G87" s="875">
        <f>+'DATOS PARA DEPURAR'!E292</f>
        <v>0</v>
      </c>
      <c r="H87" s="1300"/>
      <c r="I87" s="1388" t="s">
        <v>706</v>
      </c>
      <c r="J87" s="1389"/>
      <c r="K87" s="1044"/>
      <c r="L87" s="1044"/>
      <c r="M87" s="1004"/>
      <c r="N87" s="1079"/>
      <c r="O87" s="1079"/>
      <c r="P87" s="1079"/>
      <c r="Q87" s="1004"/>
      <c r="R87" s="937" t="e">
        <f t="shared" si="9"/>
        <v>#REF!</v>
      </c>
      <c r="S87" s="937"/>
      <c r="T87" s="937"/>
      <c r="U87" s="938">
        <f>IF((U80+U81+U82-U79-U83-U85)&gt;0,U80+U81+U82-U79-U83-U85,0)</f>
        <v>0</v>
      </c>
    </row>
    <row r="88" spans="1:21" ht="13.5" hidden="1" thickBot="1" x14ac:dyDescent="0.25">
      <c r="A88" s="1415"/>
      <c r="B88" s="1624" t="s">
        <v>692</v>
      </c>
      <c r="C88" s="1625"/>
      <c r="D88" s="1625"/>
      <c r="E88" s="1626"/>
      <c r="F88" s="871">
        <f t="shared" si="8"/>
        <v>68</v>
      </c>
      <c r="G88" s="903">
        <f>+G84+G87-G85-G86</f>
        <v>71154504</v>
      </c>
      <c r="H88" s="1300"/>
      <c r="I88" s="984"/>
      <c r="J88" s="984"/>
      <c r="K88" s="1018"/>
      <c r="L88" s="1018"/>
      <c r="M88" s="984"/>
      <c r="N88" s="1076"/>
      <c r="O88" s="1076"/>
      <c r="P88" s="1076"/>
      <c r="Q88" s="984"/>
      <c r="R88" s="919"/>
      <c r="S88" s="919"/>
      <c r="T88" s="919"/>
      <c r="U88" s="648"/>
    </row>
    <row r="89" spans="1:21" hidden="1" x14ac:dyDescent="0.2">
      <c r="H89" s="1300"/>
      <c r="I89" s="1398"/>
      <c r="J89" s="1398"/>
      <c r="K89" s="1022"/>
      <c r="L89" s="1022"/>
      <c r="M89" s="993"/>
      <c r="N89" s="1080"/>
      <c r="O89" s="1080"/>
      <c r="P89" s="1080"/>
      <c r="Q89" s="993"/>
      <c r="R89" s="988"/>
      <c r="S89" s="1097"/>
      <c r="T89" s="1097"/>
      <c r="U89" s="266"/>
    </row>
    <row r="90" spans="1:21" hidden="1" x14ac:dyDescent="0.2">
      <c r="E90" s="272" t="s">
        <v>161</v>
      </c>
      <c r="G90" s="202">
        <f>IF(G71&lt;G72,G72+G80-G79,IF(G72&lt;G71,G71-G79+G80,0))</f>
        <v>0</v>
      </c>
      <c r="H90" s="1300"/>
      <c r="I90" s="51"/>
      <c r="J90" s="289"/>
      <c r="K90" s="289"/>
      <c r="L90" s="289"/>
      <c r="M90" s="289"/>
      <c r="N90" s="289"/>
      <c r="O90" s="289"/>
      <c r="P90" s="289"/>
      <c r="Q90" s="289"/>
      <c r="R90" s="268"/>
      <c r="S90" s="268"/>
      <c r="T90" s="268"/>
      <c r="U90" s="269"/>
    </row>
    <row r="91" spans="1:21" hidden="1" x14ac:dyDescent="0.2">
      <c r="H91" s="1300"/>
      <c r="I91" s="51"/>
      <c r="J91" s="646"/>
      <c r="K91" s="646"/>
      <c r="L91" s="646"/>
      <c r="M91" s="646"/>
      <c r="N91" s="646"/>
      <c r="O91" s="646"/>
      <c r="P91" s="646"/>
      <c r="Q91" s="646"/>
      <c r="R91" s="988"/>
      <c r="S91" s="1097"/>
      <c r="T91" s="1097"/>
      <c r="U91" s="266"/>
    </row>
    <row r="92" spans="1:21" ht="13.5" hidden="1" thickBot="1" x14ac:dyDescent="0.25">
      <c r="H92" s="1300"/>
      <c r="I92" s="1308"/>
      <c r="J92" s="1308"/>
      <c r="K92" s="1019"/>
      <c r="L92" s="1019"/>
      <c r="M92" s="983"/>
      <c r="N92" s="1075"/>
      <c r="O92" s="1075"/>
      <c r="P92" s="1075"/>
      <c r="Q92" s="983"/>
      <c r="R92" s="988"/>
      <c r="S92" s="1097"/>
      <c r="T92" s="1097"/>
      <c r="U92" s="266"/>
    </row>
    <row r="93" spans="1:21" ht="15" hidden="1" x14ac:dyDescent="0.25">
      <c r="E93" s="313" t="s">
        <v>35</v>
      </c>
      <c r="F93" s="314"/>
      <c r="G93" s="315" t="s">
        <v>81</v>
      </c>
      <c r="H93" s="1300"/>
      <c r="I93" s="1274"/>
      <c r="J93" s="1274"/>
      <c r="K93" s="1017"/>
      <c r="L93" s="1017"/>
      <c r="M93" s="985"/>
      <c r="N93" s="1077"/>
      <c r="O93" s="1077"/>
      <c r="P93" s="1077"/>
      <c r="Q93" s="985"/>
      <c r="R93" s="268"/>
      <c r="S93" s="268"/>
      <c r="T93" s="268"/>
      <c r="U93" s="269"/>
    </row>
    <row r="94" spans="1:21" hidden="1" x14ac:dyDescent="0.2">
      <c r="E94" s="317" t="s">
        <v>18</v>
      </c>
      <c r="F94" s="317"/>
      <c r="G94" s="318">
        <f>+J36/'DATOS PARA DEPURAR'!$C$23</f>
        <v>0</v>
      </c>
      <c r="H94" s="1300"/>
      <c r="I94" s="1397"/>
      <c r="J94" s="1397"/>
      <c r="K94" s="1023"/>
      <c r="L94" s="1023"/>
      <c r="M94" s="989"/>
      <c r="N94" s="1078"/>
      <c r="O94" s="1078"/>
      <c r="P94" s="1078"/>
      <c r="Q94" s="989"/>
      <c r="R94" s="988"/>
      <c r="S94" s="1097"/>
      <c r="T94" s="1097"/>
      <c r="U94" s="266"/>
    </row>
    <row r="95" spans="1:21" hidden="1" x14ac:dyDescent="0.2">
      <c r="E95" s="320" t="s">
        <v>83</v>
      </c>
      <c r="F95" s="320"/>
      <c r="G95" s="318">
        <f>+U29/'DATOS PARA DEPURAR'!$C$23</f>
        <v>0</v>
      </c>
      <c r="H95" s="1300"/>
    </row>
    <row r="96" spans="1:21" hidden="1" x14ac:dyDescent="0.2">
      <c r="E96" s="320" t="s">
        <v>84</v>
      </c>
      <c r="F96" s="320"/>
      <c r="G96" s="986">
        <f>+G99</f>
        <v>66.02</v>
      </c>
      <c r="H96" s="1375"/>
    </row>
    <row r="97" spans="5:21" hidden="1" x14ac:dyDescent="0.2">
      <c r="E97" s="321"/>
      <c r="F97" s="321"/>
      <c r="G97" s="988"/>
      <c r="H97" s="990"/>
    </row>
    <row r="98" spans="5:21" hidden="1" x14ac:dyDescent="0.2"/>
    <row r="99" spans="5:21" hidden="1" x14ac:dyDescent="0.2">
      <c r="G99" s="202">
        <f>IF(G95&lt;=13642.99,J122,IF(G95&gt;13642.99,(G95*27%)-1622,0))</f>
        <v>66.02</v>
      </c>
    </row>
    <row r="100" spans="5:21" hidden="1" x14ac:dyDescent="0.2">
      <c r="E100" s="327">
        <f>+G95-1622</f>
        <v>-1622</v>
      </c>
    </row>
    <row r="101" spans="5:21" ht="13.5" hidden="1" thickBot="1" x14ac:dyDescent="0.25">
      <c r="E101" s="202">
        <f>+E100*0.27</f>
        <v>-437.94000000000005</v>
      </c>
    </row>
    <row r="102" spans="5:21" hidden="1" x14ac:dyDescent="0.2">
      <c r="E102" s="202">
        <f>E101*26841</f>
        <v>-11754747.540000001</v>
      </c>
      <c r="H102" s="315"/>
    </row>
    <row r="103" spans="5:21" hidden="1" x14ac:dyDescent="0.2">
      <c r="H103" s="318"/>
    </row>
    <row r="104" spans="5:21" hidden="1" x14ac:dyDescent="0.2">
      <c r="H104" s="318"/>
    </row>
    <row r="105" spans="5:21" hidden="1" x14ac:dyDescent="0.2">
      <c r="E105" s="202" t="s">
        <v>333</v>
      </c>
      <c r="H105" s="986"/>
    </row>
    <row r="106" spans="5:21" hidden="1" x14ac:dyDescent="0.2">
      <c r="E106" s="328">
        <f>3800*'DATOS PARA DEPURAR'!C23</f>
        <v>137970400</v>
      </c>
      <c r="H106" s="988"/>
    </row>
    <row r="107" spans="5:21" hidden="1" x14ac:dyDescent="0.2">
      <c r="E107" s="328">
        <f>(SUM('DATOS PARA DEPURAR'!E50:E53)+('DATOS PARA DEPURAR'!E28))*0.3</f>
        <v>24140258.699999999</v>
      </c>
    </row>
    <row r="108" spans="5:21" hidden="1" x14ac:dyDescent="0.2">
      <c r="E108" s="329">
        <f>MIN(E106:E107)</f>
        <v>24140258.699999999</v>
      </c>
    </row>
    <row r="109" spans="5:21" hidden="1" x14ac:dyDescent="0.2"/>
    <row r="110" spans="5:21" hidden="1" x14ac:dyDescent="0.2">
      <c r="E110" s="272" t="s">
        <v>334</v>
      </c>
    </row>
    <row r="111" spans="5:21" hidden="1" x14ac:dyDescent="0.2">
      <c r="E111" s="328">
        <f>IF(SUM('DATOS PARA DEPURAR'!D255:D260)&lt;=('DATOS PARA DEPURAR'!E255),('DATOS PARA DEPURAR'!D260),IF(SUM('DATOS PARA DEPURAR'!D255:D260)&gt;('DATOS PARA DEPURAR'!E255),('DATOS PARA DEPURAR'!E255-'DATOS PARA DEPURAR'!D255-'DATOS PARA DEPURAR'!D257),0))</f>
        <v>0</v>
      </c>
      <c r="I111" s="990"/>
      <c r="J111" s="990"/>
      <c r="K111" s="1024"/>
      <c r="L111" s="1024"/>
      <c r="M111" s="990"/>
      <c r="N111" s="1099"/>
      <c r="O111" s="1099"/>
      <c r="P111" s="1099"/>
      <c r="Q111" s="990"/>
      <c r="R111" s="990"/>
      <c r="S111" s="1099"/>
      <c r="T111" s="1099"/>
      <c r="U111" s="990"/>
    </row>
    <row r="112" spans="5:21" hidden="1" x14ac:dyDescent="0.2">
      <c r="E112" s="272" t="s">
        <v>335</v>
      </c>
    </row>
    <row r="113" spans="5:21" hidden="1" x14ac:dyDescent="0.2">
      <c r="E113" s="275">
        <f>IF(SUM('DATOS PARA DEPURAR'!D255:D257)&lt;=('DATOS PARA DEPURAR'!E255+'DATOS PARA DEPURAR'!D256),'DATOS PARA DEPURAR'!D257,'DATOS PARA DEPURAR'!E255-'DATOS PARA DEPURAR'!D255-'DATOS PARA DEPURAR'!D256)</f>
        <v>0</v>
      </c>
      <c r="U113" s="987"/>
    </row>
    <row r="114" spans="5:21" hidden="1" x14ac:dyDescent="0.2">
      <c r="E114" s="275">
        <f>+'DATOS PARA DEPURAR'!D257</f>
        <v>0</v>
      </c>
    </row>
    <row r="115" spans="5:21" ht="13.5" hidden="1" thickBot="1" x14ac:dyDescent="0.25">
      <c r="E115" s="278">
        <f>MIN(E113:E114)</f>
        <v>0</v>
      </c>
      <c r="G115" s="272" t="s">
        <v>336</v>
      </c>
    </row>
    <row r="116" spans="5:21" ht="13.5" hidden="1" thickBot="1" x14ac:dyDescent="0.25">
      <c r="J116" s="316" t="s">
        <v>82</v>
      </c>
      <c r="K116" s="1053"/>
      <c r="L116" s="1053"/>
      <c r="M116" s="1053"/>
      <c r="N116" s="1053"/>
      <c r="O116" s="1053"/>
      <c r="P116" s="1053"/>
      <c r="Q116" s="1053"/>
    </row>
    <row r="117" spans="5:21" ht="13.5" hidden="1" thickBot="1" x14ac:dyDescent="0.25">
      <c r="E117" s="275">
        <f>IF(('DATOS PARA DEPURAR'!D260&lt;=0),('FORMULARIO 2021 RENTA'!E115),0)</f>
        <v>0</v>
      </c>
      <c r="J117" s="319">
        <f>+G94*'DATOS PARA DEPURAR'!$C$23</f>
        <v>0</v>
      </c>
      <c r="K117" s="1054"/>
      <c r="L117" s="1054"/>
      <c r="M117" s="1054"/>
      <c r="N117" s="1054"/>
      <c r="O117" s="1054"/>
      <c r="P117" s="1054"/>
      <c r="Q117" s="1054"/>
    </row>
    <row r="118" spans="5:21" ht="13.5" hidden="1" thickBot="1" x14ac:dyDescent="0.25">
      <c r="E118" s="328">
        <f>IF(SUM('DATOS PARA DEPURAR'!D255:D260)&gt;('DATOS PARA DEPURAR'!E255),('FORMULARIO 2021 RENTA'!E115),('DATOS PARA DEPURAR'!D257))</f>
        <v>0</v>
      </c>
      <c r="J118" s="319">
        <f>+G95*'DATOS PARA DEPURAR'!$C$23</f>
        <v>0</v>
      </c>
      <c r="K118" s="1054"/>
      <c r="L118" s="1054"/>
      <c r="M118" s="1054"/>
      <c r="N118" s="1054"/>
      <c r="O118" s="1054"/>
      <c r="P118" s="1054"/>
      <c r="Q118" s="1054"/>
    </row>
    <row r="119" spans="5:21" ht="13.5" hidden="1" thickBot="1" x14ac:dyDescent="0.25">
      <c r="E119" s="278">
        <f>IF(E117&gt;E118,(MIN(E117:E118)),E118)</f>
        <v>0</v>
      </c>
      <c r="J119" s="319">
        <f>+G96*'DATOS PARA DEPURAR'!$C$23</f>
        <v>2397054.1599999997</v>
      </c>
      <c r="K119" s="1054"/>
      <c r="L119" s="1054"/>
      <c r="M119" s="1054"/>
      <c r="N119" s="1054"/>
      <c r="O119" s="1054"/>
      <c r="P119" s="1054"/>
      <c r="Q119" s="1054"/>
    </row>
    <row r="120" spans="5:21" hidden="1" x14ac:dyDescent="0.2">
      <c r="I120" s="322"/>
      <c r="J120" s="319">
        <f>+G97*'DATOS PARA DEPURAR'!$C$23</f>
        <v>0</v>
      </c>
      <c r="K120" s="1054"/>
      <c r="L120" s="1054"/>
      <c r="M120" s="1054"/>
      <c r="N120" s="1054"/>
      <c r="O120" s="1054"/>
      <c r="P120" s="1054"/>
      <c r="Q120" s="1054"/>
      <c r="U120" s="323">
        <v>0</v>
      </c>
    </row>
    <row r="121" spans="5:21" ht="15.75" hidden="1" x14ac:dyDescent="0.25">
      <c r="E121" s="330" t="s">
        <v>357</v>
      </c>
      <c r="U121" s="323">
        <v>1548</v>
      </c>
    </row>
    <row r="122" spans="5:21" hidden="1" x14ac:dyDescent="0.2">
      <c r="E122" s="272" t="s">
        <v>358</v>
      </c>
      <c r="G122" s="328">
        <f>IF(('PATRIMONIO BRUTO'!D28)="S",('PATRIMONIO BRUTO'!E28),0)</f>
        <v>3288899</v>
      </c>
      <c r="J122" s="202">
        <f>LOOKUP(G95,U96:V180,W288:W372)</f>
        <v>66.02</v>
      </c>
      <c r="U122" s="323">
        <v>1588</v>
      </c>
    </row>
    <row r="123" spans="5:21" hidden="1" x14ac:dyDescent="0.2">
      <c r="E123" s="272" t="s">
        <v>359</v>
      </c>
      <c r="G123" s="328">
        <f>IF(('PATRIMONIO BRUTO'!D30)="S",('PATRIMONIO BRUTO'!E30),0)</f>
        <v>23444444</v>
      </c>
      <c r="U123" s="323">
        <v>1629</v>
      </c>
    </row>
    <row r="124" spans="5:21" hidden="1" x14ac:dyDescent="0.2">
      <c r="E124" s="272" t="s">
        <v>305</v>
      </c>
      <c r="G124" s="202">
        <f>IF(('PATRIMONIO BRUTO'!E51)&gt;0,('PATRIMONIO BRUTO'!E51),0)</f>
        <v>0</v>
      </c>
      <c r="U124" s="323">
        <v>1670</v>
      </c>
    </row>
    <row r="125" spans="5:21" hidden="1" x14ac:dyDescent="0.2">
      <c r="E125" s="331" t="s">
        <v>307</v>
      </c>
      <c r="G125" s="202">
        <f>IF(('PATRIMONIO BRUTO'!E60)&gt;0,('PATRIMONIO BRUTO'!E60),0)</f>
        <v>0</v>
      </c>
      <c r="U125" s="323">
        <v>1710</v>
      </c>
    </row>
    <row r="126" spans="5:21" hidden="1" x14ac:dyDescent="0.2">
      <c r="E126" s="331" t="s">
        <v>307</v>
      </c>
      <c r="G126" s="202">
        <f>IF(('PATRIMONIO BRUTO'!E61)&gt;0,('PATRIMONIO BRUTO'!E61),0)</f>
        <v>0</v>
      </c>
      <c r="U126" s="323">
        <v>1751</v>
      </c>
    </row>
    <row r="127" spans="5:21" hidden="1" x14ac:dyDescent="0.2">
      <c r="E127" s="331" t="s">
        <v>348</v>
      </c>
      <c r="G127" s="202">
        <f>IF(('PATRIMONIO BRUTO'!E86)&gt;0,('PATRIMONIO BRUTO'!E86),0)</f>
        <v>0</v>
      </c>
      <c r="U127" s="323">
        <v>1792</v>
      </c>
    </row>
    <row r="128" spans="5:21" hidden="1" x14ac:dyDescent="0.2">
      <c r="U128" s="323">
        <v>1833</v>
      </c>
    </row>
    <row r="129" spans="5:21" ht="15.75" hidden="1" x14ac:dyDescent="0.25">
      <c r="E129" s="332">
        <f>IF((J152-J151)&gt;0,(J152-J151)*0%,0)</f>
        <v>0</v>
      </c>
      <c r="U129" s="323">
        <v>1873</v>
      </c>
    </row>
    <row r="130" spans="5:21" hidden="1" x14ac:dyDescent="0.2">
      <c r="U130" s="323">
        <v>1914</v>
      </c>
    </row>
    <row r="131" spans="5:21" hidden="1" x14ac:dyDescent="0.2">
      <c r="U131" s="323">
        <v>1955</v>
      </c>
    </row>
    <row r="132" spans="5:21" hidden="1" x14ac:dyDescent="0.2">
      <c r="E132" s="333" t="s">
        <v>362</v>
      </c>
      <c r="U132" s="323">
        <v>1996</v>
      </c>
    </row>
    <row r="133" spans="5:21" hidden="1" x14ac:dyDescent="0.2">
      <c r="E133" s="272" t="s">
        <v>357</v>
      </c>
      <c r="G133" s="202">
        <f>+'DATOS PARA DEPURAR'!C22</f>
        <v>0</v>
      </c>
      <c r="U133" s="323">
        <v>2036</v>
      </c>
    </row>
    <row r="134" spans="5:21" ht="24.75" hidden="1" x14ac:dyDescent="0.2">
      <c r="E134" s="334" t="s">
        <v>364</v>
      </c>
      <c r="U134" s="323">
        <v>2118</v>
      </c>
    </row>
    <row r="135" spans="5:21" hidden="1" x14ac:dyDescent="0.2">
      <c r="U135" s="323">
        <v>2199</v>
      </c>
    </row>
    <row r="136" spans="5:21" hidden="1" x14ac:dyDescent="0.2">
      <c r="U136" s="323">
        <v>2281</v>
      </c>
    </row>
    <row r="137" spans="5:21" hidden="1" x14ac:dyDescent="0.2">
      <c r="U137" s="323">
        <v>2362</v>
      </c>
    </row>
    <row r="138" spans="5:21" hidden="1" x14ac:dyDescent="0.2">
      <c r="U138" s="323">
        <v>2443</v>
      </c>
    </row>
    <row r="139" spans="5:21" hidden="1" x14ac:dyDescent="0.2">
      <c r="U139" s="323">
        <v>2525</v>
      </c>
    </row>
    <row r="140" spans="5:21" hidden="1" x14ac:dyDescent="0.2">
      <c r="U140" s="323">
        <v>2606</v>
      </c>
    </row>
    <row r="141" spans="5:21" hidden="1" x14ac:dyDescent="0.2">
      <c r="U141" s="323">
        <v>2688</v>
      </c>
    </row>
    <row r="142" spans="5:21" hidden="1" x14ac:dyDescent="0.2">
      <c r="E142" s="2">
        <f>+U85</f>
        <v>0</v>
      </c>
      <c r="F142" s="36">
        <f>+G142*-1</f>
        <v>465000</v>
      </c>
      <c r="G142" s="36">
        <f>IF('DATOS PARA DEPURAR'!C14&lt;=0,'DATOS PARA DEPURAR'!C14,0)</f>
        <v>-465000</v>
      </c>
      <c r="J142" s="411">
        <f>IF(('DATOS PARA DEPURAR'!E21)=2,('DATOS PARA DEPURAR'!C19/'DATOS PARA DEPURAR'!E19),IF(('DATOS PARA DEPURAR'!E21)=3,('DATOS PARA DEPURAR'!C19/'DATOS PARA DEPURAR'!E19),0))</f>
        <v>1.163760689037755</v>
      </c>
      <c r="K142" s="411"/>
      <c r="L142" s="411"/>
      <c r="M142" s="411"/>
      <c r="N142" s="411"/>
      <c r="O142" s="411"/>
      <c r="P142" s="411"/>
      <c r="Q142" s="411"/>
      <c r="U142" s="323">
        <v>2769</v>
      </c>
    </row>
    <row r="143" spans="5:21" hidden="1" x14ac:dyDescent="0.2">
      <c r="E143" s="2">
        <f>IF((U77+U81-U78-U79-U80)&gt;0,U77+U81-U78-U79-U80,0)</f>
        <v>0</v>
      </c>
      <c r="F143" s="487">
        <f>IF('DATOS PARA DEPURAR'!C14&gt;0,'DATOS PARA DEPURAR'!C14,0)</f>
        <v>0</v>
      </c>
      <c r="G143" s="51"/>
      <c r="J143" s="411">
        <f>IF(J142&gt;0,J142,0)</f>
        <v>1.163760689037755</v>
      </c>
      <c r="K143" s="411"/>
      <c r="L143" s="411"/>
      <c r="M143" s="411"/>
      <c r="N143" s="411"/>
      <c r="O143" s="411"/>
      <c r="P143" s="411"/>
      <c r="Q143" s="411"/>
      <c r="U143" s="323">
        <v>2851</v>
      </c>
    </row>
    <row r="144" spans="5:21" hidden="1" x14ac:dyDescent="0.2">
      <c r="E144" s="1257" t="s">
        <v>459</v>
      </c>
      <c r="F144" s="1258"/>
      <c r="G144" s="36"/>
      <c r="U144" s="323">
        <v>2932</v>
      </c>
    </row>
    <row r="145" spans="5:21" hidden="1" x14ac:dyDescent="0.2">
      <c r="E145" s="39" t="s">
        <v>460</v>
      </c>
      <c r="F145" s="36"/>
      <c r="G145" s="36"/>
      <c r="J145" s="328">
        <f>IF(($J$143)&gt;0,$J$143*G122,0)</f>
        <v>3827491.3664155835</v>
      </c>
      <c r="K145" s="328"/>
      <c r="L145" s="328"/>
      <c r="M145" s="328"/>
      <c r="N145" s="328"/>
      <c r="O145" s="328"/>
      <c r="P145" s="328"/>
      <c r="Q145" s="328"/>
      <c r="U145" s="323">
        <v>3014</v>
      </c>
    </row>
    <row r="146" spans="5:21" hidden="1" x14ac:dyDescent="0.2">
      <c r="E146" t="str">
        <f>IF(E142&gt;F142,E144,E145)</f>
        <v>YAOP</v>
      </c>
      <c r="F146" s="36"/>
      <c r="G146" s="36"/>
      <c r="J146" s="328">
        <f>IF(($J$143)&gt;0,$J$143*G123,0)</f>
        <v>27283722.303547062</v>
      </c>
      <c r="K146" s="328"/>
      <c r="L146" s="328"/>
      <c r="M146" s="328"/>
      <c r="N146" s="328"/>
      <c r="O146" s="328"/>
      <c r="P146" s="328"/>
      <c r="Q146" s="328"/>
      <c r="U146" s="323">
        <v>3095</v>
      </c>
    </row>
    <row r="147" spans="5:21" hidden="1" x14ac:dyDescent="0.2">
      <c r="E147" t="str">
        <f>IF(E143&gt;F143,E144,E145)</f>
        <v>YAOP</v>
      </c>
      <c r="F147" s="36"/>
      <c r="G147" s="36" t="str">
        <f>IF(E142&gt;=0,IF(F143&gt;=0,E148,IF(E142&gt;=0,IF(F142&gt;=0,E146,IF(E143&gt;=0,IF(F143&gt;=0,E147,0))))))</f>
        <v>ESTA DECLARACION DEBE REALIZARSE SEGÚN ART 589 E.T.</v>
      </c>
      <c r="J147" s="202">
        <f>IF((G124)&lt;=((8000)*('DATOS PARA DEPURAR'!C23)),G124,(8000*'DATOS PARA DEPURAR'!C23))</f>
        <v>0</v>
      </c>
      <c r="U147" s="323">
        <v>3177</v>
      </c>
    </row>
    <row r="148" spans="5:21" hidden="1" x14ac:dyDescent="0.2">
      <c r="E148" t="str">
        <f>IF(E142&gt;=0,IF(F143&gt;=0,E144,E145))</f>
        <v>ESTA DECLARACION DEBE REALIZARSE SEGÚN ART 589 E.T.</v>
      </c>
      <c r="F148" s="36"/>
      <c r="G148" s="36"/>
      <c r="J148" s="202">
        <f>IF(SUM(G125:G127)&lt;=(19000*'DATOS PARA DEPURAR'!C23),(SUM(G125:G127)),(19000*'DATOS PARA DEPURAR'!C23))</f>
        <v>0</v>
      </c>
      <c r="U148" s="323">
        <v>3258</v>
      </c>
    </row>
    <row r="149" spans="5:21" hidden="1" x14ac:dyDescent="0.2">
      <c r="U149" s="323">
        <v>3339</v>
      </c>
    </row>
    <row r="150" spans="5:21" hidden="1" x14ac:dyDescent="0.2">
      <c r="U150" s="323">
        <v>3421</v>
      </c>
    </row>
    <row r="151" spans="5:21" hidden="1" x14ac:dyDescent="0.2">
      <c r="E151" s="202" t="str">
        <f>IF('DATOS PARA DEPURAR'!C13="S",G147,E145)</f>
        <v>YAOP</v>
      </c>
      <c r="H151" s="50"/>
      <c r="J151" s="328">
        <f>SUM(J145:J150)</f>
        <v>31111213.669962645</v>
      </c>
      <c r="K151" s="328"/>
      <c r="L151" s="328"/>
      <c r="M151" s="328"/>
      <c r="N151" s="328"/>
      <c r="O151" s="328"/>
      <c r="P151" s="328"/>
      <c r="Q151" s="328"/>
      <c r="U151" s="323">
        <v>3502</v>
      </c>
    </row>
    <row r="152" spans="5:21" hidden="1" x14ac:dyDescent="0.2">
      <c r="H152" s="50"/>
      <c r="J152" s="1183">
        <f>+'DATOS PARA DEPURAR'!E19</f>
        <v>323930000</v>
      </c>
      <c r="K152" s="275"/>
      <c r="L152" s="275"/>
      <c r="M152" s="275"/>
      <c r="N152" s="275"/>
      <c r="O152" s="275"/>
      <c r="P152" s="275"/>
      <c r="Q152" s="275"/>
      <c r="U152" s="323">
        <v>3584</v>
      </c>
    </row>
    <row r="153" spans="5:21" hidden="1" x14ac:dyDescent="0.2">
      <c r="H153" s="50"/>
      <c r="U153" s="323">
        <v>3665</v>
      </c>
    </row>
    <row r="154" spans="5:21" hidden="1" x14ac:dyDescent="0.2">
      <c r="E154" s="272" t="s">
        <v>472</v>
      </c>
      <c r="H154" s="50"/>
      <c r="U154" s="323">
        <v>3747</v>
      </c>
    </row>
    <row r="155" spans="5:21" ht="13.5" hidden="1" thickBot="1" x14ac:dyDescent="0.25">
      <c r="H155" s="50"/>
      <c r="U155" s="323">
        <v>3828</v>
      </c>
    </row>
    <row r="156" spans="5:21" hidden="1" x14ac:dyDescent="0.2">
      <c r="E156" s="284" t="s">
        <v>8</v>
      </c>
      <c r="F156" s="285"/>
      <c r="H156" s="50"/>
      <c r="J156" s="202">
        <f>IF((G68)&gt;=G133,G133,G68)</f>
        <v>0</v>
      </c>
      <c r="U156" s="323">
        <v>3910</v>
      </c>
    </row>
    <row r="157" spans="5:21" ht="13.5" hidden="1" thickBot="1" x14ac:dyDescent="0.25">
      <c r="E157" s="1244">
        <f>+G72/J180</f>
        <v>0</v>
      </c>
      <c r="F157" s="1245"/>
      <c r="H157" s="50"/>
      <c r="U157" s="323">
        <v>3991</v>
      </c>
    </row>
    <row r="158" spans="5:21" ht="13.5" hidden="1" thickBot="1" x14ac:dyDescent="0.25">
      <c r="F158" s="202"/>
      <c r="U158" s="323">
        <v>4072</v>
      </c>
    </row>
    <row r="159" spans="5:21" hidden="1" x14ac:dyDescent="0.2">
      <c r="E159" s="290">
        <v>0</v>
      </c>
      <c r="G159" s="291">
        <v>1090</v>
      </c>
      <c r="U159" s="323">
        <v>4276</v>
      </c>
    </row>
    <row r="160" spans="5:21" hidden="1" x14ac:dyDescent="0.2">
      <c r="E160" s="293" t="s">
        <v>176</v>
      </c>
      <c r="G160" s="294">
        <v>1700</v>
      </c>
      <c r="U160" s="323">
        <v>4480</v>
      </c>
    </row>
    <row r="161" spans="5:21" hidden="1" x14ac:dyDescent="0.2">
      <c r="E161" s="293" t="s">
        <v>177</v>
      </c>
      <c r="G161" s="294">
        <v>4100</v>
      </c>
      <c r="U161" s="323">
        <v>4683</v>
      </c>
    </row>
    <row r="162" spans="5:21" ht="13.5" hidden="1" thickBot="1" x14ac:dyDescent="0.25">
      <c r="E162" s="298" t="s">
        <v>178</v>
      </c>
      <c r="G162" s="299"/>
      <c r="U162" s="323">
        <v>4887</v>
      </c>
    </row>
    <row r="163" spans="5:21" ht="13.5" hidden="1" thickBot="1" x14ac:dyDescent="0.25">
      <c r="F163" s="202"/>
      <c r="U163" s="323">
        <v>5091</v>
      </c>
    </row>
    <row r="164" spans="5:21" hidden="1" x14ac:dyDescent="0.2">
      <c r="E164" s="1246" t="s">
        <v>179</v>
      </c>
      <c r="F164" s="1247"/>
      <c r="U164" s="323">
        <v>5294</v>
      </c>
    </row>
    <row r="165" spans="5:21" ht="15.75" hidden="1" thickBot="1" x14ac:dyDescent="0.3">
      <c r="E165" s="1248">
        <f>IF(J182=0,J182,IF(J183&gt;0,J183,IF(J184&gt;0,J184,IF(J185&gt;0,J185))))</f>
        <v>0</v>
      </c>
      <c r="F165" s="1249"/>
      <c r="U165" s="323">
        <v>5498</v>
      </c>
    </row>
    <row r="166" spans="5:21" hidden="1" x14ac:dyDescent="0.2">
      <c r="U166" s="323">
        <v>5701</v>
      </c>
    </row>
    <row r="167" spans="5:21" hidden="1" x14ac:dyDescent="0.2">
      <c r="U167" s="323">
        <v>5905</v>
      </c>
    </row>
    <row r="168" spans="5:21" hidden="1" x14ac:dyDescent="0.2">
      <c r="E168" s="272" t="s">
        <v>473</v>
      </c>
      <c r="U168" s="323">
        <v>6109</v>
      </c>
    </row>
    <row r="169" spans="5:21" hidden="1" x14ac:dyDescent="0.2">
      <c r="E169" s="328" t="e">
        <f>MAX(R69:U70)</f>
        <v>#REF!</v>
      </c>
      <c r="U169" s="323">
        <v>6312</v>
      </c>
    </row>
    <row r="170" spans="5:21" hidden="1" x14ac:dyDescent="0.2">
      <c r="E170" s="272" t="s">
        <v>474</v>
      </c>
      <c r="U170" s="323">
        <v>6516</v>
      </c>
    </row>
    <row r="171" spans="5:21" hidden="1" x14ac:dyDescent="0.2">
      <c r="E171" s="329">
        <f>+E165</f>
        <v>0</v>
      </c>
      <c r="U171" s="323">
        <v>6720</v>
      </c>
    </row>
    <row r="172" spans="5:21" hidden="1" x14ac:dyDescent="0.2">
      <c r="U172" s="323">
        <v>6923</v>
      </c>
    </row>
    <row r="173" spans="5:21" ht="45" hidden="1" x14ac:dyDescent="0.2">
      <c r="E173" s="519" t="s">
        <v>167</v>
      </c>
      <c r="G173" s="278">
        <f>+'DATOS PARA DEPURAR'!E312</f>
        <v>0</v>
      </c>
      <c r="U173" s="323">
        <v>7127</v>
      </c>
    </row>
    <row r="174" spans="5:21" ht="45" hidden="1" x14ac:dyDescent="0.2">
      <c r="E174" s="519" t="s">
        <v>168</v>
      </c>
      <c r="G174" s="278">
        <f>+'DATOS PARA DEPURAR'!E313</f>
        <v>0</v>
      </c>
      <c r="U174" s="323">
        <v>7330</v>
      </c>
    </row>
    <row r="175" spans="5:21" ht="56.25" hidden="1" x14ac:dyDescent="0.2">
      <c r="E175" s="519" t="s">
        <v>169</v>
      </c>
      <c r="G175" s="278">
        <f>+'DATOS PARA DEPURAR'!E314</f>
        <v>0</v>
      </c>
      <c r="U175" s="323">
        <v>7534</v>
      </c>
    </row>
    <row r="176" spans="5:21" hidden="1" x14ac:dyDescent="0.2">
      <c r="E176" s="520" t="s">
        <v>170</v>
      </c>
      <c r="G176" s="278">
        <f>+'DATOS PARA DEPURAR'!E316</f>
        <v>0</v>
      </c>
      <c r="U176" s="323">
        <v>7738</v>
      </c>
    </row>
    <row r="177" spans="5:21" hidden="1" x14ac:dyDescent="0.2">
      <c r="E177" s="272" t="s">
        <v>475</v>
      </c>
      <c r="G177" s="328">
        <f>IF(J200&gt;0,E169-J200,0)</f>
        <v>0</v>
      </c>
      <c r="U177" s="323">
        <v>7941</v>
      </c>
    </row>
    <row r="178" spans="5:21" hidden="1" x14ac:dyDescent="0.2">
      <c r="E178" s="272" t="s">
        <v>476</v>
      </c>
      <c r="G178" s="275">
        <f>IF(E171&gt;0,E171*0.75,0)</f>
        <v>0</v>
      </c>
      <c r="U178" s="323">
        <v>8145</v>
      </c>
    </row>
    <row r="179" spans="5:21" hidden="1" x14ac:dyDescent="0.2">
      <c r="J179" s="286" t="s">
        <v>10</v>
      </c>
      <c r="K179" s="286"/>
      <c r="L179" s="286"/>
      <c r="M179" s="286"/>
      <c r="N179" s="286"/>
      <c r="O179" s="286"/>
      <c r="P179" s="286"/>
      <c r="Q179" s="286"/>
      <c r="U179" s="323">
        <v>8349</v>
      </c>
    </row>
    <row r="180" spans="5:21" ht="15" hidden="1" x14ac:dyDescent="0.25">
      <c r="E180" s="272" t="s">
        <v>477</v>
      </c>
      <c r="G180" s="328">
        <f>IF(G177&lt;G178,0,G177)</f>
        <v>0</v>
      </c>
      <c r="J180" s="287">
        <f>+'DATOS PARA DEPURAR'!C23</f>
        <v>36308</v>
      </c>
      <c r="K180" s="287"/>
      <c r="L180" s="287"/>
      <c r="M180" s="287"/>
      <c r="N180" s="287"/>
      <c r="O180" s="287"/>
      <c r="P180" s="287"/>
      <c r="Q180" s="287"/>
      <c r="U180" s="323">
        <v>8552</v>
      </c>
    </row>
    <row r="181" spans="5:21" ht="13.5" hidden="1" thickBot="1" x14ac:dyDescent="0.25">
      <c r="U181" s="323">
        <v>8756</v>
      </c>
    </row>
    <row r="182" spans="5:21" ht="45" hidden="1" x14ac:dyDescent="0.2">
      <c r="E182" s="519" t="s">
        <v>167</v>
      </c>
      <c r="G182" s="202">
        <f>IF(G180&gt;0,J196,0)</f>
        <v>0</v>
      </c>
      <c r="J182" s="292">
        <f>IF(E157&lt;=1090,0)</f>
        <v>0</v>
      </c>
      <c r="K182" s="322"/>
      <c r="L182" s="322"/>
      <c r="M182" s="322"/>
      <c r="N182" s="322"/>
      <c r="O182" s="322"/>
      <c r="P182" s="322"/>
      <c r="Q182" s="322"/>
      <c r="U182" s="323">
        <v>8959</v>
      </c>
    </row>
    <row r="183" spans="5:21" ht="45" hidden="1" x14ac:dyDescent="0.25">
      <c r="E183" s="519" t="s">
        <v>168</v>
      </c>
      <c r="G183" s="202">
        <f>IF(G180&gt;0,J197,0)</f>
        <v>0</v>
      </c>
      <c r="J183" s="295" t="b">
        <f>IF(E157&gt;1090,(IF(E157&lt;=1700,ROUND((((+E157-1090)*19%)*J180),-3),0)),FALSE)</f>
        <v>0</v>
      </c>
      <c r="K183" s="1055"/>
      <c r="L183" s="1055"/>
      <c r="M183" s="1055"/>
      <c r="N183" s="1055"/>
      <c r="O183" s="1055"/>
      <c r="P183" s="1055"/>
      <c r="Q183" s="1055"/>
      <c r="U183" s="323">
        <v>9163</v>
      </c>
    </row>
    <row r="184" spans="5:21" ht="56.25" hidden="1" x14ac:dyDescent="0.25">
      <c r="E184" s="519" t="s">
        <v>169</v>
      </c>
      <c r="G184" s="202">
        <f>IF(G180&gt;0,J198,0)</f>
        <v>0</v>
      </c>
      <c r="J184" s="295" t="b">
        <f>IF(E157&gt;1700,IF(E157&lt;=4100,ROUND((((+E157-1700)*28%+116)*J180),-3),0))</f>
        <v>0</v>
      </c>
      <c r="K184" s="1055"/>
      <c r="L184" s="1055"/>
      <c r="M184" s="1055"/>
      <c r="N184" s="1055"/>
      <c r="O184" s="1055"/>
      <c r="P184" s="1055"/>
      <c r="Q184" s="1055"/>
      <c r="U184" s="323">
        <v>9367</v>
      </c>
    </row>
    <row r="185" spans="5:21" ht="15.75" hidden="1" thickBot="1" x14ac:dyDescent="0.3">
      <c r="E185" s="520" t="s">
        <v>170</v>
      </c>
      <c r="G185" s="202">
        <f>IF(G180&gt;0,J199,0)</f>
        <v>0</v>
      </c>
      <c r="J185" s="300">
        <f>IF(E157&gt;4100,ROUND((((+E157-4100)*33%)*J180)+(788*J180),-3),0)</f>
        <v>0</v>
      </c>
      <c r="K185" s="1055"/>
      <c r="L185" s="1055"/>
      <c r="M185" s="1055"/>
      <c r="N185" s="1055"/>
      <c r="O185" s="1055"/>
      <c r="P185" s="1055"/>
      <c r="Q185" s="1055"/>
      <c r="U185" s="323">
        <v>9570</v>
      </c>
    </row>
    <row r="186" spans="5:21" hidden="1" x14ac:dyDescent="0.2">
      <c r="U186" s="323">
        <v>9774</v>
      </c>
    </row>
    <row r="187" spans="5:21" hidden="1" x14ac:dyDescent="0.2">
      <c r="E187" s="272" t="s">
        <v>478</v>
      </c>
      <c r="U187" s="323">
        <v>9978</v>
      </c>
    </row>
    <row r="188" spans="5:21" hidden="1" x14ac:dyDescent="0.2">
      <c r="E188" s="272" t="s">
        <v>412</v>
      </c>
      <c r="G188" s="202">
        <f>IF('DATOS PARA DEPURAR'!E103="S",'DATOS PARA DEPURAR'!E55,0)</f>
        <v>0</v>
      </c>
      <c r="U188" s="323">
        <v>10181</v>
      </c>
    </row>
    <row r="189" spans="5:21" hidden="1" x14ac:dyDescent="0.2">
      <c r="E189" s="272" t="s">
        <v>479</v>
      </c>
      <c r="U189" s="323">
        <v>10385</v>
      </c>
    </row>
    <row r="190" spans="5:21" hidden="1" x14ac:dyDescent="0.2">
      <c r="E190" s="272" t="s">
        <v>204</v>
      </c>
      <c r="G190" s="202">
        <f>IF(G188&gt;0,'DATOS PARA DEPURAR'!E189+SUM('DATOS PARA DEPURAR'!E206:E217)+'DATOS PARA DEPURAR'!E223+'DATOS PARA DEPURAR'!E227,0)</f>
        <v>0</v>
      </c>
      <c r="U190" s="323">
        <v>10588</v>
      </c>
    </row>
    <row r="191" spans="5:21" hidden="1" x14ac:dyDescent="0.2">
      <c r="E191" s="272" t="s">
        <v>480</v>
      </c>
      <c r="G191" s="272">
        <f>IF(G188&gt;0,'DATOS PARA DEPURAR'!E255-'DATOS PARA DEPURAR'!D255,0)</f>
        <v>0</v>
      </c>
      <c r="U191" s="323">
        <v>10792</v>
      </c>
    </row>
    <row r="192" spans="5:21" hidden="1" x14ac:dyDescent="0.2">
      <c r="E192" s="272" t="s">
        <v>481</v>
      </c>
      <c r="G192" s="202">
        <f>+G188-G190-G191</f>
        <v>0</v>
      </c>
      <c r="U192" s="323">
        <v>10996</v>
      </c>
    </row>
    <row r="193" spans="5:21" hidden="1" x14ac:dyDescent="0.2">
      <c r="E193" s="272" t="s">
        <v>480</v>
      </c>
      <c r="G193" s="202">
        <f>+G192*0.25</f>
        <v>0</v>
      </c>
      <c r="U193" s="323">
        <v>11199</v>
      </c>
    </row>
    <row r="194" spans="5:21" hidden="1" x14ac:dyDescent="0.2">
      <c r="U194" s="323">
        <v>11403</v>
      </c>
    </row>
    <row r="195" spans="5:21" hidden="1" x14ac:dyDescent="0.2">
      <c r="U195" s="323">
        <v>11607</v>
      </c>
    </row>
    <row r="196" spans="5:21" hidden="1" x14ac:dyDescent="0.2">
      <c r="J196" s="202">
        <f>IF(G173&gt;0,(IF((E169-SUM(G173))&gt;0,G173,E169)),0)</f>
        <v>0</v>
      </c>
      <c r="U196" s="323">
        <v>11810</v>
      </c>
    </row>
    <row r="197" spans="5:21" hidden="1" x14ac:dyDescent="0.2">
      <c r="J197" s="202">
        <f>IF(G174&gt;0,(IF((E169-SUM(G174))&gt;0,G174,E169)),0)</f>
        <v>0</v>
      </c>
      <c r="U197" s="323">
        <v>12014</v>
      </c>
    </row>
    <row r="198" spans="5:21" hidden="1" x14ac:dyDescent="0.2">
      <c r="J198" s="202">
        <f>IF(G175&gt;0,(IF((E169-SUM(G175))&gt;0,G175,E169)),0)</f>
        <v>0</v>
      </c>
      <c r="U198" s="323">
        <v>12217</v>
      </c>
    </row>
    <row r="199" spans="5:21" hidden="1" x14ac:dyDescent="0.2">
      <c r="J199" s="202">
        <f>IF(G176&gt;0,(IF((E169-SUM(G176))&gt;0,G176,E169)),0)</f>
        <v>0</v>
      </c>
      <c r="U199" s="323">
        <v>12421</v>
      </c>
    </row>
    <row r="200" spans="5:21" hidden="1" x14ac:dyDescent="0.2">
      <c r="J200" s="278">
        <f>MAX(J196:J199)</f>
        <v>0</v>
      </c>
      <c r="K200" s="278"/>
      <c r="L200" s="278"/>
      <c r="M200" s="278"/>
      <c r="N200" s="278"/>
      <c r="O200" s="278"/>
      <c r="P200" s="278"/>
      <c r="Q200" s="278"/>
      <c r="U200" s="323">
        <v>12625</v>
      </c>
    </row>
    <row r="201" spans="5:21" hidden="1" x14ac:dyDescent="0.2">
      <c r="U201" s="323">
        <v>12828</v>
      </c>
    </row>
    <row r="202" spans="5:21" hidden="1" x14ac:dyDescent="0.2">
      <c r="U202" s="323">
        <v>13032</v>
      </c>
    </row>
    <row r="203" spans="5:21" hidden="1" x14ac:dyDescent="0.2">
      <c r="U203" s="323">
        <v>13236</v>
      </c>
    </row>
    <row r="204" spans="5:21" hidden="1" x14ac:dyDescent="0.2">
      <c r="U204" s="323">
        <v>13439</v>
      </c>
    </row>
    <row r="205" spans="5:21" ht="38.25" hidden="1" x14ac:dyDescent="0.2">
      <c r="U205" s="325" t="s">
        <v>86</v>
      </c>
    </row>
    <row r="206" spans="5:21" hidden="1" x14ac:dyDescent="0.2"/>
    <row r="207" spans="5:21" hidden="1" x14ac:dyDescent="0.2">
      <c r="E207" s="521" t="s">
        <v>482</v>
      </c>
    </row>
    <row r="208" spans="5:21" hidden="1" x14ac:dyDescent="0.2"/>
    <row r="209" spans="1:62" hidden="1" x14ac:dyDescent="0.2">
      <c r="E209" s="975" t="s">
        <v>729</v>
      </c>
      <c r="G209" s="329">
        <f>U76</f>
        <v>0</v>
      </c>
    </row>
    <row r="210" spans="1:62" hidden="1" x14ac:dyDescent="0.2"/>
    <row r="211" spans="1:62" hidden="1" x14ac:dyDescent="0.2">
      <c r="E211" s="975" t="s">
        <v>730</v>
      </c>
      <c r="G211" s="977" t="s">
        <v>36</v>
      </c>
      <c r="H211" s="975" t="s">
        <v>735</v>
      </c>
      <c r="I211" s="975"/>
    </row>
    <row r="212" spans="1:62" hidden="1" x14ac:dyDescent="0.2">
      <c r="E212" s="202" t="str">
        <f>+'DATOS PARA DEPURAR'!B312</f>
        <v>Por impuestos pagados en el exterior de los literales a) a c) del art. 254 E.T.</v>
      </c>
      <c r="G212" s="202">
        <f>+'DATOS PARA DEPURAR'!E312</f>
        <v>0</v>
      </c>
      <c r="H212" s="978" t="e">
        <f>+G212/$G$217</f>
        <v>#DIV/0!</v>
      </c>
      <c r="J212" s="278" t="e">
        <f>+H212*$G$222</f>
        <v>#DIV/0!</v>
      </c>
      <c r="K212" s="278"/>
      <c r="L212" s="278"/>
      <c r="M212" s="278"/>
      <c r="N212" s="278"/>
      <c r="O212" s="278"/>
      <c r="P212" s="278"/>
      <c r="Q212" s="278"/>
    </row>
    <row r="213" spans="1:62" hidden="1" x14ac:dyDescent="0.2">
      <c r="E213" s="202" t="str">
        <f>+'DATOS PARA DEPURAR'!B313</f>
        <v>Por impuestos pagados en el exterior del literal d) del art. 254 E.T.</v>
      </c>
      <c r="G213" s="202">
        <f>+'DATOS PARA DEPURAR'!E313</f>
        <v>0</v>
      </c>
      <c r="H213" s="978" t="e">
        <f t="shared" ref="H213:H216" si="10">+G213/$G$217</f>
        <v>#DIV/0!</v>
      </c>
      <c r="J213" s="278" t="e">
        <f t="shared" ref="J213:J215" si="11">+H213*$G$222</f>
        <v>#DIV/0!</v>
      </c>
      <c r="K213" s="278"/>
      <c r="L213" s="278"/>
      <c r="M213" s="278"/>
      <c r="N213" s="278"/>
      <c r="O213" s="278"/>
      <c r="P213" s="278"/>
      <c r="Q213" s="278"/>
    </row>
    <row r="214" spans="1:62" hidden="1" x14ac:dyDescent="0.2">
      <c r="E214" s="202" t="str">
        <f>+'DATOS PARA DEPURAR'!B314</f>
        <v>Por impuestos pagados en el exterior, distintos a los registrados anteriormente</v>
      </c>
      <c r="G214" s="202">
        <f>+'DATOS PARA DEPURAR'!E314</f>
        <v>0</v>
      </c>
      <c r="H214" s="978" t="e">
        <f t="shared" si="10"/>
        <v>#DIV/0!</v>
      </c>
      <c r="J214" s="278" t="e">
        <f t="shared" si="11"/>
        <v>#DIV/0!</v>
      </c>
      <c r="K214" s="278"/>
      <c r="L214" s="278"/>
      <c r="M214" s="278"/>
      <c r="N214" s="278"/>
      <c r="O214" s="278"/>
      <c r="P214" s="278"/>
      <c r="Q214" s="278"/>
    </row>
    <row r="215" spans="1:62" hidden="1" x14ac:dyDescent="0.2">
      <c r="E215" s="202" t="str">
        <f>+'DATOS PARA DEPURAR'!B315</f>
        <v>Otros</v>
      </c>
      <c r="G215" s="202">
        <f>+'DATOS PARA DEPURAR'!E315</f>
        <v>0</v>
      </c>
      <c r="H215" s="978" t="e">
        <f t="shared" si="10"/>
        <v>#DIV/0!</v>
      </c>
      <c r="J215" s="278" t="e">
        <f t="shared" si="11"/>
        <v>#DIV/0!</v>
      </c>
      <c r="K215" s="278"/>
      <c r="L215" s="278"/>
      <c r="M215" s="278"/>
      <c r="N215" s="278"/>
      <c r="O215" s="278"/>
      <c r="P215" s="278"/>
      <c r="Q215" s="278"/>
    </row>
    <row r="216" spans="1:62" hidden="1" x14ac:dyDescent="0.2">
      <c r="E216" s="202" t="str">
        <f>+'DATOS PARA DEPURAR'!B316</f>
        <v>Las donaciones efectuadas a entidades sin ánimo de lucro que hayan sido calificadas en el régimen especial del impuesto sobre la renta y complementarios y a las entidades no contribuyentes de que tratan los artículos 22 y 23 del Estatuto Tributario</v>
      </c>
      <c r="G216" s="202">
        <f>+'DATOS PARA DEPURAR'!E316</f>
        <v>0</v>
      </c>
      <c r="H216" s="978" t="e">
        <f t="shared" si="10"/>
        <v>#DIV/0!</v>
      </c>
      <c r="J216" s="278" t="e">
        <f>+H216*$G$222</f>
        <v>#DIV/0!</v>
      </c>
      <c r="K216" s="278"/>
      <c r="L216" s="278"/>
      <c r="M216" s="278"/>
      <c r="N216" s="278"/>
      <c r="O216" s="278"/>
      <c r="P216" s="278"/>
      <c r="Q216" s="278"/>
    </row>
    <row r="217" spans="1:62" hidden="1" x14ac:dyDescent="0.2">
      <c r="E217" s="975" t="s">
        <v>731</v>
      </c>
      <c r="G217" s="328">
        <f>SUM(G212:G216)</f>
        <v>0</v>
      </c>
    </row>
    <row r="218" spans="1:62" ht="51" hidden="1" x14ac:dyDescent="0.2">
      <c r="E218" s="976" t="s">
        <v>732</v>
      </c>
      <c r="G218" s="329">
        <f>+G209-G217</f>
        <v>0</v>
      </c>
      <c r="R218" s="521"/>
      <c r="S218" s="521"/>
      <c r="T218" s="521"/>
      <c r="U218" s="521"/>
    </row>
    <row r="219" spans="1:62" hidden="1" x14ac:dyDescent="0.2">
      <c r="J219" s="521"/>
      <c r="K219" s="521"/>
      <c r="L219" s="521"/>
      <c r="M219" s="521"/>
      <c r="N219" s="521"/>
      <c r="O219" s="521"/>
      <c r="P219" s="521"/>
      <c r="Q219" s="521"/>
      <c r="R219" s="521"/>
      <c r="S219" s="521"/>
      <c r="T219" s="521"/>
      <c r="U219" s="521"/>
    </row>
    <row r="220" spans="1:62" ht="13.5" hidden="1" thickBot="1" x14ac:dyDescent="0.25">
      <c r="E220" s="975" t="s">
        <v>733</v>
      </c>
      <c r="G220" s="278">
        <f>+S28</f>
        <v>0</v>
      </c>
      <c r="J220" s="521"/>
      <c r="K220" s="521"/>
      <c r="L220" s="521"/>
      <c r="M220" s="521"/>
      <c r="N220" s="521"/>
      <c r="O220" s="521"/>
      <c r="P220" s="521"/>
      <c r="Q220" s="521"/>
      <c r="R220" s="521"/>
      <c r="S220" s="521"/>
      <c r="T220" s="521"/>
      <c r="U220" s="521"/>
    </row>
    <row r="221" spans="1:62" s="262" customFormat="1" hidden="1" x14ac:dyDescent="0.2">
      <c r="A221" s="202"/>
      <c r="B221" s="202"/>
      <c r="C221" s="202"/>
      <c r="D221" s="202"/>
      <c r="E221" s="202"/>
      <c r="F221" s="987"/>
      <c r="G221" s="202"/>
      <c r="H221" s="202"/>
      <c r="I221" s="202"/>
      <c r="J221" s="522" t="s">
        <v>8</v>
      </c>
      <c r="K221" s="1056"/>
      <c r="L221" s="1056"/>
      <c r="M221" s="1056"/>
      <c r="N221" s="1056"/>
      <c r="O221" s="1056"/>
      <c r="P221" s="1056"/>
      <c r="Q221" s="1056"/>
      <c r="R221" s="523"/>
      <c r="S221" s="1129"/>
      <c r="T221" s="1129"/>
      <c r="U221" s="521"/>
      <c r="W221" s="202"/>
      <c r="X221" s="202"/>
      <c r="Y221" s="202"/>
      <c r="Z221" s="202"/>
      <c r="AA221" s="202"/>
      <c r="AB221" s="202"/>
      <c r="AC221" s="202"/>
      <c r="AD221" s="202"/>
      <c r="AE221" s="202"/>
      <c r="AF221" s="202"/>
      <c r="AG221" s="202"/>
      <c r="AH221" s="202"/>
      <c r="AI221" s="202"/>
      <c r="AJ221" s="202"/>
      <c r="AK221" s="202"/>
      <c r="AL221" s="202"/>
      <c r="AM221" s="202"/>
      <c r="AN221" s="202"/>
      <c r="AO221" s="202"/>
      <c r="AP221" s="202"/>
      <c r="AQ221" s="202"/>
      <c r="AR221" s="202"/>
      <c r="AS221" s="202"/>
      <c r="AT221" s="202"/>
      <c r="AU221" s="202"/>
      <c r="AV221" s="202"/>
      <c r="AW221" s="202"/>
      <c r="AX221" s="202"/>
      <c r="AY221" s="202"/>
      <c r="AZ221" s="202"/>
      <c r="BA221" s="202"/>
      <c r="BB221" s="202"/>
      <c r="BC221" s="202"/>
      <c r="BD221" s="202"/>
      <c r="BE221" s="202"/>
      <c r="BF221" s="202"/>
      <c r="BG221" s="202"/>
      <c r="BH221" s="202"/>
      <c r="BI221" s="202"/>
      <c r="BJ221" s="202"/>
    </row>
    <row r="222" spans="1:62" s="262" customFormat="1" ht="13.5" hidden="1" thickBot="1" x14ac:dyDescent="0.25">
      <c r="A222" s="202"/>
      <c r="B222" s="202"/>
      <c r="C222" s="202"/>
      <c r="D222" s="202"/>
      <c r="E222" s="975" t="s">
        <v>734</v>
      </c>
      <c r="F222" s="987"/>
      <c r="G222" s="278">
        <f>G220*75%</f>
        <v>0</v>
      </c>
      <c r="H222" s="202"/>
      <c r="I222" s="202"/>
      <c r="J222" s="1288">
        <f>+'FORMULARIO 2021 RENTA'!G72/V390</f>
        <v>0</v>
      </c>
      <c r="K222" s="1614"/>
      <c r="L222" s="1614"/>
      <c r="M222" s="1614"/>
      <c r="N222" s="1614"/>
      <c r="O222" s="1614"/>
      <c r="P222" s="1614"/>
      <c r="Q222" s="1614"/>
      <c r="R222" s="1289"/>
      <c r="S222" s="1130"/>
      <c r="T222" s="1130"/>
      <c r="U222" s="521"/>
      <c r="W222" s="202"/>
      <c r="X222" s="202"/>
      <c r="Y222" s="202"/>
      <c r="Z222" s="202"/>
      <c r="AA222" s="202"/>
      <c r="AB222" s="202"/>
      <c r="AC222" s="202"/>
      <c r="AD222" s="202"/>
      <c r="AE222" s="202"/>
      <c r="AF222" s="202"/>
      <c r="AG222" s="202"/>
      <c r="AH222" s="202"/>
      <c r="AI222" s="202"/>
      <c r="AJ222" s="202"/>
      <c r="AK222" s="202"/>
      <c r="AL222" s="202"/>
      <c r="AM222" s="202"/>
      <c r="AN222" s="202"/>
      <c r="AO222" s="202"/>
      <c r="AP222" s="202"/>
      <c r="AQ222" s="202"/>
      <c r="AR222" s="202"/>
      <c r="AS222" s="202"/>
      <c r="AT222" s="202"/>
      <c r="AU222" s="202"/>
      <c r="AV222" s="202"/>
      <c r="AW222" s="202"/>
      <c r="AX222" s="202"/>
      <c r="AY222" s="202"/>
      <c r="AZ222" s="202"/>
      <c r="BA222" s="202"/>
      <c r="BB222" s="202"/>
      <c r="BC222" s="202"/>
      <c r="BD222" s="202"/>
      <c r="BE222" s="202"/>
      <c r="BF222" s="202"/>
      <c r="BG222" s="202"/>
      <c r="BH222" s="202"/>
      <c r="BI222" s="202"/>
      <c r="BJ222" s="202"/>
    </row>
    <row r="223" spans="1:62" s="262" customFormat="1" ht="13.5" hidden="1" thickBot="1" x14ac:dyDescent="0.25">
      <c r="A223" s="202"/>
      <c r="B223" s="202"/>
      <c r="C223" s="202"/>
      <c r="D223" s="202"/>
      <c r="E223" s="202"/>
      <c r="F223" s="987"/>
      <c r="G223" s="202"/>
      <c r="H223" s="202"/>
      <c r="I223" s="202"/>
      <c r="J223" s="521"/>
      <c r="K223" s="521"/>
      <c r="L223" s="521"/>
      <c r="M223" s="521"/>
      <c r="N223" s="521"/>
      <c r="O223" s="521"/>
      <c r="P223" s="521"/>
      <c r="Q223" s="521"/>
      <c r="R223" s="521"/>
      <c r="S223" s="521"/>
      <c r="T223" s="521"/>
      <c r="U223" s="521"/>
      <c r="W223" s="202"/>
      <c r="X223" s="202"/>
      <c r="Y223" s="202"/>
      <c r="Z223" s="202"/>
      <c r="AA223" s="202"/>
      <c r="AB223" s="202"/>
      <c r="AC223" s="202"/>
      <c r="AD223" s="202"/>
      <c r="AE223" s="202"/>
      <c r="AF223" s="202"/>
      <c r="AG223" s="202"/>
      <c r="AH223" s="202"/>
      <c r="AI223" s="202"/>
      <c r="AJ223" s="202"/>
      <c r="AK223" s="202"/>
      <c r="AL223" s="202"/>
      <c r="AM223" s="202"/>
      <c r="AN223" s="202"/>
      <c r="AO223" s="202"/>
      <c r="AP223" s="202"/>
      <c r="AQ223" s="202"/>
      <c r="AR223" s="202"/>
      <c r="AS223" s="202"/>
      <c r="AT223" s="202"/>
      <c r="AU223" s="202"/>
      <c r="AV223" s="202"/>
      <c r="AW223" s="202"/>
      <c r="AX223" s="202"/>
      <c r="AY223" s="202"/>
      <c r="AZ223" s="202"/>
      <c r="BA223" s="202"/>
      <c r="BB223" s="202"/>
      <c r="BC223" s="202"/>
      <c r="BD223" s="202"/>
      <c r="BE223" s="202"/>
      <c r="BF223" s="202"/>
      <c r="BG223" s="202"/>
      <c r="BH223" s="202"/>
      <c r="BI223" s="202"/>
      <c r="BJ223" s="202"/>
    </row>
    <row r="224" spans="1:62" s="262" customFormat="1" hidden="1" x14ac:dyDescent="0.2">
      <c r="A224" s="202"/>
      <c r="B224" s="202"/>
      <c r="C224" s="202"/>
      <c r="D224" s="202"/>
      <c r="E224" s="202"/>
      <c r="F224" s="987"/>
      <c r="G224" s="202"/>
      <c r="H224" s="202"/>
      <c r="I224" s="202"/>
      <c r="J224" s="526">
        <v>0</v>
      </c>
      <c r="K224" s="1057"/>
      <c r="L224" s="1057"/>
      <c r="M224" s="1057"/>
      <c r="N224" s="1057"/>
      <c r="O224" s="1057"/>
      <c r="P224" s="1057"/>
      <c r="Q224" s="1057"/>
      <c r="R224" s="527">
        <v>1090</v>
      </c>
      <c r="S224" s="536"/>
      <c r="T224" s="536"/>
      <c r="U224" s="521"/>
      <c r="W224" s="202"/>
      <c r="X224" s="202"/>
      <c r="Y224" s="202"/>
      <c r="Z224" s="202"/>
      <c r="AA224" s="202"/>
      <c r="AB224" s="202"/>
      <c r="AC224" s="202"/>
      <c r="AD224" s="202"/>
      <c r="AE224" s="202"/>
      <c r="AF224" s="202"/>
      <c r="AG224" s="202"/>
      <c r="AH224" s="202"/>
      <c r="AI224" s="202"/>
      <c r="AJ224" s="202"/>
      <c r="AK224" s="202"/>
      <c r="AL224" s="202"/>
      <c r="AM224" s="202"/>
      <c r="AN224" s="202"/>
      <c r="AO224" s="202"/>
      <c r="AP224" s="202"/>
      <c r="AQ224" s="202"/>
      <c r="AR224" s="202"/>
      <c r="AS224" s="202"/>
      <c r="AT224" s="202"/>
      <c r="AU224" s="202"/>
      <c r="AV224" s="202"/>
      <c r="AW224" s="202"/>
      <c r="AX224" s="202"/>
      <c r="AY224" s="202"/>
      <c r="AZ224" s="202"/>
      <c r="BA224" s="202"/>
      <c r="BB224" s="202"/>
      <c r="BC224" s="202"/>
      <c r="BD224" s="202"/>
      <c r="BE224" s="202"/>
      <c r="BF224" s="202"/>
      <c r="BG224" s="202"/>
      <c r="BH224" s="202"/>
      <c r="BI224" s="202"/>
      <c r="BJ224" s="202"/>
    </row>
    <row r="225" spans="1:62" s="262" customFormat="1" hidden="1" x14ac:dyDescent="0.2">
      <c r="A225" s="202"/>
      <c r="B225" s="202"/>
      <c r="C225" s="202"/>
      <c r="D225" s="202"/>
      <c r="E225" s="202"/>
      <c r="F225" s="987"/>
      <c r="G225" s="202"/>
      <c r="H225" s="202"/>
      <c r="I225" s="202"/>
      <c r="J225" s="529" t="s">
        <v>176</v>
      </c>
      <c r="K225" s="1058"/>
      <c r="L225" s="1058"/>
      <c r="M225" s="1058"/>
      <c r="N225" s="1058"/>
      <c r="O225" s="1058"/>
      <c r="P225" s="1058"/>
      <c r="Q225" s="1058"/>
      <c r="R225" s="530">
        <v>1700</v>
      </c>
      <c r="S225" s="536"/>
      <c r="T225" s="536"/>
      <c r="U225" s="521"/>
      <c r="W225" s="202"/>
      <c r="X225" s="202"/>
      <c r="Y225" s="202"/>
      <c r="Z225" s="202"/>
      <c r="AA225" s="202"/>
      <c r="AB225" s="202"/>
      <c r="AC225" s="202"/>
      <c r="AD225" s="202"/>
      <c r="AE225" s="202"/>
      <c r="AF225" s="202"/>
      <c r="AG225" s="202"/>
      <c r="AH225" s="202"/>
      <c r="AI225" s="202"/>
      <c r="AJ225" s="202"/>
      <c r="AK225" s="202"/>
      <c r="AL225" s="202"/>
      <c r="AM225" s="202"/>
      <c r="AN225" s="202"/>
      <c r="AO225" s="202"/>
      <c r="AP225" s="202"/>
      <c r="AQ225" s="202"/>
      <c r="AR225" s="202"/>
      <c r="AS225" s="202"/>
      <c r="AT225" s="202"/>
      <c r="AU225" s="202"/>
      <c r="AV225" s="202"/>
      <c r="AW225" s="202"/>
      <c r="AX225" s="202"/>
      <c r="AY225" s="202"/>
      <c r="AZ225" s="202"/>
      <c r="BA225" s="202"/>
      <c r="BB225" s="202"/>
      <c r="BC225" s="202"/>
      <c r="BD225" s="202"/>
      <c r="BE225" s="202"/>
      <c r="BF225" s="202"/>
      <c r="BG225" s="202"/>
      <c r="BH225" s="202"/>
      <c r="BI225" s="202"/>
      <c r="BJ225" s="202"/>
    </row>
    <row r="226" spans="1:62" s="262" customFormat="1" hidden="1" x14ac:dyDescent="0.2">
      <c r="A226" s="202"/>
      <c r="B226" s="202"/>
      <c r="C226" s="202"/>
      <c r="D226" s="202"/>
      <c r="E226" s="202"/>
      <c r="F226" s="987"/>
      <c r="G226" s="202"/>
      <c r="H226" s="202"/>
      <c r="I226" s="202"/>
      <c r="J226" s="529" t="s">
        <v>177</v>
      </c>
      <c r="K226" s="1058"/>
      <c r="L226" s="1058"/>
      <c r="M226" s="1058"/>
      <c r="N226" s="1058"/>
      <c r="O226" s="1058"/>
      <c r="P226" s="1058"/>
      <c r="Q226" s="1058"/>
      <c r="R226" s="530">
        <v>4100</v>
      </c>
      <c r="S226" s="536"/>
      <c r="T226" s="536"/>
      <c r="U226" s="521"/>
      <c r="W226" s="202"/>
      <c r="X226" s="202"/>
      <c r="Y226" s="202"/>
      <c r="Z226" s="202"/>
      <c r="AA226" s="202"/>
      <c r="AB226" s="202"/>
      <c r="AC226" s="202"/>
      <c r="AD226" s="202"/>
      <c r="AE226" s="202"/>
      <c r="AF226" s="202"/>
      <c r="AG226" s="202"/>
      <c r="AH226" s="202"/>
      <c r="AI226" s="202"/>
      <c r="AJ226" s="202"/>
      <c r="AK226" s="202"/>
      <c r="AL226" s="202"/>
      <c r="AM226" s="202"/>
      <c r="AN226" s="202"/>
      <c r="AO226" s="202"/>
      <c r="AP226" s="202"/>
      <c r="AQ226" s="202"/>
      <c r="AR226" s="202"/>
      <c r="AS226" s="202"/>
      <c r="AT226" s="202"/>
      <c r="AU226" s="202"/>
      <c r="AV226" s="202"/>
      <c r="AW226" s="202"/>
      <c r="AX226" s="202"/>
      <c r="AY226" s="202"/>
      <c r="AZ226" s="202"/>
      <c r="BA226" s="202"/>
      <c r="BB226" s="202"/>
      <c r="BC226" s="202"/>
      <c r="BD226" s="202"/>
      <c r="BE226" s="202"/>
      <c r="BF226" s="202"/>
      <c r="BG226" s="202"/>
      <c r="BH226" s="202"/>
      <c r="BI226" s="202"/>
      <c r="BJ226" s="202"/>
    </row>
    <row r="227" spans="1:62" s="262" customFormat="1" ht="13.5" hidden="1" thickBot="1" x14ac:dyDescent="0.25">
      <c r="A227" s="202"/>
      <c r="B227" s="202"/>
      <c r="C227" s="202"/>
      <c r="D227" s="202"/>
      <c r="E227" s="202"/>
      <c r="F227" s="987"/>
      <c r="G227" s="202"/>
      <c r="H227" s="202"/>
      <c r="I227" s="202"/>
      <c r="J227" s="532" t="s">
        <v>178</v>
      </c>
      <c r="K227" s="1059"/>
      <c r="L227" s="1059"/>
      <c r="M227" s="1059"/>
      <c r="N227" s="1059"/>
      <c r="O227" s="1059"/>
      <c r="P227" s="1059"/>
      <c r="Q227" s="1059"/>
      <c r="R227" s="533"/>
      <c r="S227" s="536"/>
      <c r="T227" s="536"/>
      <c r="U227" s="521"/>
      <c r="W227" s="202"/>
      <c r="X227" s="202"/>
      <c r="Y227" s="202"/>
      <c r="Z227" s="202"/>
      <c r="AA227" s="202"/>
      <c r="AB227" s="202"/>
      <c r="AC227" s="202"/>
      <c r="AD227" s="202"/>
      <c r="AE227" s="202"/>
      <c r="AF227" s="202"/>
      <c r="AG227" s="202"/>
      <c r="AH227" s="202"/>
      <c r="AI227" s="202"/>
      <c r="AJ227" s="202"/>
      <c r="AK227" s="202"/>
      <c r="AL227" s="202"/>
      <c r="AM227" s="202"/>
      <c r="AN227" s="202"/>
      <c r="AO227" s="202"/>
      <c r="AP227" s="202"/>
      <c r="AQ227" s="202"/>
      <c r="AR227" s="202"/>
      <c r="AS227" s="202"/>
      <c r="AT227" s="202"/>
      <c r="AU227" s="202"/>
      <c r="AV227" s="202"/>
      <c r="AW227" s="202"/>
      <c r="AX227" s="202"/>
      <c r="AY227" s="202"/>
      <c r="AZ227" s="202"/>
      <c r="BA227" s="202"/>
      <c r="BB227" s="202"/>
      <c r="BC227" s="202"/>
      <c r="BD227" s="202"/>
      <c r="BE227" s="202"/>
      <c r="BF227" s="202"/>
      <c r="BG227" s="202"/>
      <c r="BH227" s="202"/>
      <c r="BI227" s="202"/>
      <c r="BJ227" s="202"/>
    </row>
    <row r="228" spans="1:62" s="262" customFormat="1" hidden="1" x14ac:dyDescent="0.2">
      <c r="A228" s="202"/>
      <c r="B228" s="202"/>
      <c r="C228" s="202"/>
      <c r="D228" s="202"/>
      <c r="E228" s="202"/>
      <c r="F228" s="987"/>
      <c r="G228" s="202"/>
      <c r="H228" s="202"/>
      <c r="I228" s="202"/>
      <c r="J228" s="535"/>
      <c r="K228" s="535"/>
      <c r="L228" s="535"/>
      <c r="M228" s="535"/>
      <c r="N228" s="535"/>
      <c r="O228" s="535"/>
      <c r="P228" s="535"/>
      <c r="Q228" s="535"/>
      <c r="R228" s="536"/>
      <c r="S228" s="536"/>
      <c r="T228" s="536"/>
      <c r="U228" s="521"/>
      <c r="W228" s="202"/>
      <c r="X228" s="202"/>
      <c r="Y228" s="202"/>
      <c r="Z228" s="202"/>
      <c r="AA228" s="202"/>
      <c r="AB228" s="202"/>
      <c r="AC228" s="202"/>
      <c r="AD228" s="202"/>
      <c r="AE228" s="202"/>
      <c r="AF228" s="202"/>
      <c r="AG228" s="202"/>
      <c r="AH228" s="202"/>
      <c r="AI228" s="202"/>
      <c r="AJ228" s="202"/>
      <c r="AK228" s="202"/>
      <c r="AL228" s="202"/>
      <c r="AM228" s="202"/>
      <c r="AN228" s="202"/>
      <c r="AO228" s="202"/>
      <c r="AP228" s="202"/>
      <c r="AQ228" s="202"/>
      <c r="AR228" s="202"/>
      <c r="AS228" s="202"/>
      <c r="AT228" s="202"/>
      <c r="AU228" s="202"/>
      <c r="AV228" s="202"/>
      <c r="AW228" s="202"/>
      <c r="AX228" s="202"/>
      <c r="AY228" s="202"/>
      <c r="AZ228" s="202"/>
      <c r="BA228" s="202"/>
      <c r="BB228" s="202"/>
      <c r="BC228" s="202"/>
      <c r="BD228" s="202"/>
      <c r="BE228" s="202"/>
      <c r="BF228" s="202"/>
      <c r="BG228" s="202"/>
      <c r="BH228" s="202"/>
      <c r="BI228" s="202"/>
      <c r="BJ228" s="202"/>
    </row>
    <row r="229" spans="1:62" s="262" customFormat="1" hidden="1" x14ac:dyDescent="0.2">
      <c r="A229" s="202"/>
      <c r="B229" s="202"/>
      <c r="C229" s="202"/>
      <c r="D229" s="202"/>
      <c r="E229" s="202"/>
      <c r="F229" s="987"/>
      <c r="G229" s="202"/>
      <c r="H229" s="202"/>
      <c r="I229" s="202"/>
      <c r="J229" s="535"/>
      <c r="K229" s="535"/>
      <c r="L229" s="535"/>
      <c r="M229" s="535"/>
      <c r="N229" s="535"/>
      <c r="O229" s="535"/>
      <c r="P229" s="535"/>
      <c r="Q229" s="535"/>
      <c r="R229" s="536"/>
      <c r="S229" s="536"/>
      <c r="T229" s="536"/>
      <c r="U229" s="521"/>
      <c r="W229" s="202"/>
      <c r="X229" s="202"/>
      <c r="Y229" s="202"/>
      <c r="Z229" s="202"/>
      <c r="AA229" s="202"/>
      <c r="AB229" s="202"/>
      <c r="AC229" s="202"/>
      <c r="AD229" s="202"/>
      <c r="AE229" s="202"/>
      <c r="AF229" s="202"/>
      <c r="AG229" s="202"/>
      <c r="AH229" s="202"/>
      <c r="AI229" s="202"/>
      <c r="AJ229" s="202"/>
      <c r="AK229" s="202"/>
      <c r="AL229" s="202"/>
      <c r="AM229" s="202"/>
      <c r="AN229" s="202"/>
      <c r="AO229" s="202"/>
      <c r="AP229" s="202"/>
      <c r="AQ229" s="202"/>
      <c r="AR229" s="202"/>
      <c r="AS229" s="202"/>
      <c r="AT229" s="202"/>
      <c r="AU229" s="202"/>
      <c r="AV229" s="202"/>
      <c r="AW229" s="202"/>
      <c r="AX229" s="202"/>
      <c r="AY229" s="202"/>
      <c r="AZ229" s="202"/>
      <c r="BA229" s="202"/>
      <c r="BB229" s="202"/>
      <c r="BC229" s="202"/>
      <c r="BD229" s="202"/>
      <c r="BE229" s="202"/>
      <c r="BF229" s="202"/>
      <c r="BG229" s="202"/>
      <c r="BH229" s="202"/>
      <c r="BI229" s="202"/>
      <c r="BJ229" s="202"/>
    </row>
    <row r="230" spans="1:62" s="262" customFormat="1" hidden="1" x14ac:dyDescent="0.2">
      <c r="A230" s="202"/>
      <c r="B230" s="202"/>
      <c r="C230" s="202"/>
      <c r="D230" s="202"/>
      <c r="E230" s="202"/>
      <c r="F230" s="987"/>
      <c r="G230" s="202"/>
      <c r="H230" s="202"/>
      <c r="I230" s="202"/>
      <c r="J230" s="521"/>
      <c r="K230" s="521"/>
      <c r="L230" s="521"/>
      <c r="M230" s="521"/>
      <c r="N230" s="521"/>
      <c r="O230" s="521"/>
      <c r="P230" s="521"/>
      <c r="Q230" s="521"/>
      <c r="R230" s="521"/>
      <c r="S230" s="521"/>
      <c r="T230" s="521"/>
      <c r="U230" s="521"/>
      <c r="W230" s="202"/>
      <c r="X230" s="202"/>
      <c r="Y230" s="202"/>
      <c r="Z230" s="202"/>
      <c r="AA230" s="202"/>
      <c r="AB230" s="202"/>
      <c r="AC230" s="202"/>
      <c r="AD230" s="202"/>
      <c r="AE230" s="202"/>
      <c r="AF230" s="202"/>
      <c r="AG230" s="202"/>
      <c r="AH230" s="202"/>
      <c r="AI230" s="202"/>
      <c r="AJ230" s="202"/>
      <c r="AK230" s="202"/>
      <c r="AL230" s="202"/>
      <c r="AM230" s="202"/>
      <c r="AN230" s="202"/>
      <c r="AO230" s="202"/>
      <c r="AP230" s="202"/>
      <c r="AQ230" s="202"/>
      <c r="AR230" s="202"/>
      <c r="AS230" s="202"/>
      <c r="AT230" s="202"/>
      <c r="AU230" s="202"/>
      <c r="AV230" s="202"/>
      <c r="AW230" s="202"/>
      <c r="AX230" s="202"/>
      <c r="AY230" s="202"/>
      <c r="AZ230" s="202"/>
      <c r="BA230" s="202"/>
      <c r="BB230" s="202"/>
      <c r="BC230" s="202"/>
      <c r="BD230" s="202"/>
      <c r="BE230" s="202"/>
      <c r="BF230" s="202"/>
      <c r="BG230" s="202"/>
      <c r="BH230" s="202"/>
      <c r="BI230" s="202"/>
      <c r="BJ230" s="202"/>
    </row>
    <row r="231" spans="1:62" s="262" customFormat="1" hidden="1" x14ac:dyDescent="0.2">
      <c r="A231" s="202"/>
      <c r="B231" s="202"/>
      <c r="C231" s="202"/>
      <c r="D231" s="202"/>
      <c r="E231" s="202"/>
      <c r="F231" s="987"/>
      <c r="G231" s="202"/>
      <c r="H231" s="202"/>
      <c r="I231" s="202"/>
      <c r="J231" s="521"/>
      <c r="K231" s="521"/>
      <c r="L231" s="521"/>
      <c r="M231" s="521"/>
      <c r="N231" s="521"/>
      <c r="O231" s="521"/>
      <c r="P231" s="521"/>
      <c r="Q231" s="521"/>
      <c r="R231" s="521"/>
      <c r="S231" s="521"/>
      <c r="T231" s="521"/>
      <c r="U231" s="521"/>
      <c r="W231" s="202"/>
      <c r="X231" s="202"/>
      <c r="Y231" s="202"/>
      <c r="Z231" s="202"/>
      <c r="AA231" s="202"/>
      <c r="AB231" s="202"/>
      <c r="AC231" s="202"/>
      <c r="AD231" s="202"/>
      <c r="AE231" s="202"/>
      <c r="AF231" s="202"/>
      <c r="AG231" s="202"/>
      <c r="AH231" s="202"/>
      <c r="AI231" s="202"/>
      <c r="AJ231" s="202"/>
      <c r="AK231" s="202"/>
      <c r="AL231" s="202"/>
      <c r="AM231" s="202"/>
      <c r="AN231" s="202"/>
      <c r="AO231" s="202"/>
      <c r="AP231" s="202"/>
      <c r="AQ231" s="202"/>
      <c r="AR231" s="202"/>
      <c r="AS231" s="202"/>
      <c r="AT231" s="202"/>
      <c r="AU231" s="202"/>
      <c r="AV231" s="202"/>
      <c r="AW231" s="202"/>
      <c r="AX231" s="202"/>
      <c r="AY231" s="202"/>
      <c r="AZ231" s="202"/>
      <c r="BA231" s="202"/>
      <c r="BB231" s="202"/>
      <c r="BC231" s="202"/>
      <c r="BD231" s="202"/>
      <c r="BE231" s="202"/>
      <c r="BF231" s="202"/>
      <c r="BG231" s="202"/>
      <c r="BH231" s="202"/>
      <c r="BI231" s="202"/>
      <c r="BJ231" s="202"/>
    </row>
    <row r="232" spans="1:62" s="262" customFormat="1" hidden="1" x14ac:dyDescent="0.2">
      <c r="A232" s="202"/>
      <c r="B232" s="202"/>
      <c r="C232" s="202"/>
      <c r="D232" s="202"/>
      <c r="E232" s="202"/>
      <c r="F232" s="987"/>
      <c r="G232" s="202"/>
      <c r="H232" s="202"/>
      <c r="I232" s="202"/>
      <c r="J232" s="521"/>
      <c r="K232" s="521"/>
      <c r="L232" s="521"/>
      <c r="M232" s="521"/>
      <c r="N232" s="521"/>
      <c r="O232" s="521"/>
      <c r="P232" s="521"/>
      <c r="Q232" s="521"/>
      <c r="R232" s="521"/>
      <c r="S232" s="521"/>
      <c r="T232" s="521"/>
      <c r="U232" s="521"/>
      <c r="W232" s="202"/>
      <c r="X232" s="202"/>
      <c r="Y232" s="202"/>
      <c r="Z232" s="202"/>
      <c r="AA232" s="202"/>
      <c r="AB232" s="202"/>
      <c r="AC232" s="202"/>
      <c r="AD232" s="202"/>
      <c r="AE232" s="202"/>
      <c r="AF232" s="202"/>
      <c r="AG232" s="202"/>
      <c r="AH232" s="202"/>
      <c r="AI232" s="202"/>
      <c r="AJ232" s="202"/>
      <c r="AK232" s="202"/>
      <c r="AL232" s="202"/>
      <c r="AM232" s="202"/>
      <c r="AN232" s="202"/>
      <c r="AO232" s="202"/>
      <c r="AP232" s="202"/>
      <c r="AQ232" s="202"/>
      <c r="AR232" s="202"/>
      <c r="AS232" s="202"/>
      <c r="AT232" s="202"/>
      <c r="AU232" s="202"/>
      <c r="AV232" s="202"/>
      <c r="AW232" s="202"/>
      <c r="AX232" s="202"/>
      <c r="AY232" s="202"/>
      <c r="AZ232" s="202"/>
      <c r="BA232" s="202"/>
      <c r="BB232" s="202"/>
      <c r="BC232" s="202"/>
      <c r="BD232" s="202"/>
      <c r="BE232" s="202"/>
      <c r="BF232" s="202"/>
      <c r="BG232" s="202"/>
      <c r="BH232" s="202"/>
      <c r="BI232" s="202"/>
      <c r="BJ232" s="202"/>
    </row>
    <row r="233" spans="1:62" s="262" customFormat="1" hidden="1" x14ac:dyDescent="0.2">
      <c r="A233" s="202"/>
      <c r="B233" s="202"/>
      <c r="C233" s="202"/>
      <c r="D233" s="202"/>
      <c r="E233" s="202"/>
      <c r="F233" s="987"/>
      <c r="G233" s="202"/>
      <c r="H233" s="202"/>
      <c r="I233" s="202"/>
      <c r="J233" s="521" t="s">
        <v>413</v>
      </c>
      <c r="K233" s="521"/>
      <c r="L233" s="521"/>
      <c r="M233" s="521"/>
      <c r="N233" s="521"/>
      <c r="O233" s="521"/>
      <c r="P233" s="521"/>
      <c r="Q233" s="521"/>
      <c r="R233" s="987"/>
      <c r="S233" s="1098"/>
      <c r="T233" s="1098"/>
      <c r="U233" s="521">
        <f>IF('DATOS PARA DEPURAR'!E317&lt;'FORMULARIO 2021 RENTA'!U30,'DATOS PARA DEPURAR'!E317,'FORMULARIO 2021 RENTA'!U30)</f>
        <v>0</v>
      </c>
      <c r="W233" s="202"/>
      <c r="X233" s="202"/>
      <c r="Y233" s="202"/>
      <c r="Z233" s="202"/>
      <c r="AA233" s="202"/>
      <c r="AB233" s="202"/>
      <c r="AC233" s="202"/>
      <c r="AD233" s="202"/>
      <c r="AE233" s="202"/>
      <c r="AF233" s="202"/>
      <c r="AG233" s="202"/>
      <c r="AH233" s="202"/>
      <c r="AI233" s="202"/>
      <c r="AJ233" s="202"/>
      <c r="AK233" s="202"/>
      <c r="AL233" s="202"/>
      <c r="AM233" s="202"/>
      <c r="AN233" s="202"/>
      <c r="AO233" s="202"/>
      <c r="AP233" s="202"/>
      <c r="AQ233" s="202"/>
      <c r="AR233" s="202"/>
      <c r="AS233" s="202"/>
      <c r="AT233" s="202"/>
      <c r="AU233" s="202"/>
      <c r="AV233" s="202"/>
      <c r="AW233" s="202"/>
      <c r="AX233" s="202"/>
      <c r="AY233" s="202"/>
      <c r="AZ233" s="202"/>
      <c r="BA233" s="202"/>
      <c r="BB233" s="202"/>
      <c r="BC233" s="202"/>
      <c r="BD233" s="202"/>
      <c r="BE233" s="202"/>
      <c r="BF233" s="202"/>
      <c r="BG233" s="202"/>
      <c r="BH233" s="202"/>
      <c r="BI233" s="202"/>
      <c r="BJ233" s="202"/>
    </row>
    <row r="234" spans="1:62" s="262" customFormat="1" hidden="1" x14ac:dyDescent="0.2">
      <c r="A234" s="202"/>
      <c r="B234" s="202"/>
      <c r="C234" s="202"/>
      <c r="D234" s="202"/>
      <c r="E234" s="202"/>
      <c r="F234" s="987"/>
      <c r="G234" s="202"/>
      <c r="H234" s="202"/>
      <c r="I234" s="202"/>
      <c r="J234" s="521" t="s">
        <v>414</v>
      </c>
      <c r="K234" s="521"/>
      <c r="L234" s="521"/>
      <c r="M234" s="521"/>
      <c r="N234" s="521"/>
      <c r="O234" s="521"/>
      <c r="P234" s="521"/>
      <c r="Q234" s="521"/>
      <c r="R234" s="987"/>
      <c r="S234" s="1098"/>
      <c r="T234" s="1098"/>
      <c r="U234" s="521">
        <f>IF(V399&gt;0,V399*0.75,0)</f>
        <v>0</v>
      </c>
      <c r="W234" s="202"/>
      <c r="X234" s="202"/>
      <c r="Y234" s="202"/>
      <c r="Z234" s="202"/>
      <c r="AA234" s="202"/>
      <c r="AB234" s="202"/>
      <c r="AC234" s="202"/>
      <c r="AD234" s="202"/>
      <c r="AE234" s="202"/>
      <c r="AF234" s="202"/>
      <c r="AG234" s="202"/>
      <c r="AH234" s="202"/>
      <c r="AI234" s="202"/>
      <c r="AJ234" s="202"/>
      <c r="AK234" s="202"/>
      <c r="AL234" s="202"/>
      <c r="AM234" s="202"/>
      <c r="AN234" s="202"/>
      <c r="AO234" s="202"/>
      <c r="AP234" s="202"/>
      <c r="AQ234" s="202"/>
      <c r="AR234" s="202"/>
      <c r="AS234" s="202"/>
      <c r="AT234" s="202"/>
      <c r="AU234" s="202"/>
      <c r="AV234" s="202"/>
      <c r="AW234" s="202"/>
      <c r="AX234" s="202"/>
      <c r="AY234" s="202"/>
      <c r="AZ234" s="202"/>
      <c r="BA234" s="202"/>
      <c r="BB234" s="202"/>
      <c r="BC234" s="202"/>
      <c r="BD234" s="202"/>
      <c r="BE234" s="202"/>
      <c r="BF234" s="202"/>
      <c r="BG234" s="202"/>
      <c r="BH234" s="202"/>
      <c r="BI234" s="202"/>
      <c r="BJ234" s="202"/>
    </row>
    <row r="235" spans="1:62" s="262" customFormat="1" hidden="1" x14ac:dyDescent="0.2">
      <c r="A235" s="202"/>
      <c r="B235" s="202"/>
      <c r="C235" s="202"/>
      <c r="D235" s="202"/>
      <c r="E235" s="202"/>
      <c r="F235" s="987"/>
      <c r="G235" s="202"/>
      <c r="H235" s="202"/>
      <c r="I235" s="202"/>
      <c r="J235" s="521" t="s">
        <v>415</v>
      </c>
      <c r="K235" s="521"/>
      <c r="L235" s="521"/>
      <c r="M235" s="521"/>
      <c r="N235" s="521"/>
      <c r="O235" s="521"/>
      <c r="P235" s="521"/>
      <c r="Q235" s="521"/>
      <c r="R235" s="987"/>
      <c r="S235" s="1098"/>
      <c r="T235" s="1098"/>
      <c r="U235" s="521">
        <f>IF(U233&lt;U234,U233,0)</f>
        <v>0</v>
      </c>
      <c r="W235" s="202"/>
      <c r="X235" s="202"/>
      <c r="Y235" s="202"/>
      <c r="Z235" s="202"/>
      <c r="AA235" s="202"/>
      <c r="AB235" s="202"/>
      <c r="AC235" s="202"/>
      <c r="AD235" s="202"/>
      <c r="AE235" s="202"/>
      <c r="AF235" s="202"/>
      <c r="AG235" s="202"/>
      <c r="AH235" s="202"/>
      <c r="AI235" s="202"/>
      <c r="AJ235" s="202"/>
      <c r="AK235" s="202"/>
      <c r="AL235" s="202"/>
      <c r="AM235" s="202"/>
      <c r="AN235" s="202"/>
      <c r="AO235" s="202"/>
      <c r="AP235" s="202"/>
      <c r="AQ235" s="202"/>
      <c r="AR235" s="202"/>
      <c r="AS235" s="202"/>
      <c r="AT235" s="202"/>
      <c r="AU235" s="202"/>
      <c r="AV235" s="202"/>
      <c r="AW235" s="202"/>
      <c r="AX235" s="202"/>
      <c r="AY235" s="202"/>
      <c r="AZ235" s="202"/>
      <c r="BA235" s="202"/>
      <c r="BB235" s="202"/>
      <c r="BC235" s="202"/>
      <c r="BD235" s="202"/>
      <c r="BE235" s="202"/>
      <c r="BF235" s="202"/>
      <c r="BG235" s="202"/>
      <c r="BH235" s="202"/>
      <c r="BI235" s="202"/>
      <c r="BJ235" s="202"/>
    </row>
    <row r="236" spans="1:62" s="262" customFormat="1" hidden="1" x14ac:dyDescent="0.2">
      <c r="A236" s="202"/>
      <c r="B236" s="202"/>
      <c r="C236" s="202"/>
      <c r="D236" s="202"/>
      <c r="E236" s="202"/>
      <c r="F236" s="987"/>
      <c r="G236" s="202"/>
      <c r="H236" s="202"/>
      <c r="I236" s="202"/>
      <c r="J236" s="202"/>
      <c r="K236" s="202"/>
      <c r="L236" s="202"/>
      <c r="M236" s="202"/>
      <c r="N236" s="202"/>
      <c r="O236" s="202"/>
      <c r="P236" s="202"/>
      <c r="Q236" s="202"/>
      <c r="R236" s="987"/>
      <c r="S236" s="1098"/>
      <c r="T236" s="1098"/>
      <c r="U236" s="202"/>
      <c r="W236" s="202"/>
      <c r="X236" s="202"/>
      <c r="Y236" s="202"/>
      <c r="Z236" s="202"/>
      <c r="AA236" s="202"/>
      <c r="AB236" s="202"/>
      <c r="AC236" s="202"/>
      <c r="AD236" s="202"/>
      <c r="AE236" s="202"/>
      <c r="AF236" s="202"/>
      <c r="AG236" s="202"/>
      <c r="AH236" s="202"/>
      <c r="AI236" s="202"/>
      <c r="AJ236" s="202"/>
      <c r="AK236" s="202"/>
      <c r="AL236" s="202"/>
      <c r="AM236" s="202"/>
      <c r="AN236" s="202"/>
      <c r="AO236" s="202"/>
      <c r="AP236" s="202"/>
      <c r="AQ236" s="202"/>
      <c r="AR236" s="202"/>
      <c r="AS236" s="202"/>
      <c r="AT236" s="202"/>
      <c r="AU236" s="202"/>
      <c r="AV236" s="202"/>
      <c r="AW236" s="202"/>
      <c r="AX236" s="202"/>
      <c r="AY236" s="202"/>
      <c r="AZ236" s="202"/>
      <c r="BA236" s="202"/>
      <c r="BB236" s="202"/>
      <c r="BC236" s="202"/>
      <c r="BD236" s="202"/>
      <c r="BE236" s="202"/>
      <c r="BF236" s="202"/>
      <c r="BG236" s="202"/>
      <c r="BH236" s="202"/>
      <c r="BI236" s="202"/>
      <c r="BJ236" s="202"/>
    </row>
    <row r="237" spans="1:62" hidden="1" x14ac:dyDescent="0.2">
      <c r="AA237" s="664" t="s">
        <v>410</v>
      </c>
      <c r="AB237" s="664"/>
      <c r="AC237" s="664"/>
      <c r="AD237" s="664"/>
      <c r="AE237" s="664"/>
      <c r="AF237" s="664"/>
      <c r="AG237" s="664"/>
      <c r="AH237" s="664"/>
      <c r="AI237" s="664"/>
      <c r="AJ237" s="664"/>
      <c r="AK237" s="664"/>
      <c r="AL237" s="664"/>
      <c r="AM237" s="664"/>
      <c r="AN237" s="664"/>
    </row>
    <row r="238" spans="1:62" hidden="1" x14ac:dyDescent="0.2">
      <c r="AA238" s="664" t="s">
        <v>411</v>
      </c>
      <c r="AB238" s="665">
        <f>+S38</f>
        <v>10584000</v>
      </c>
      <c r="AC238" s="664"/>
      <c r="AD238" s="666">
        <f>MIN(AB238:AB239)</f>
        <v>10584000</v>
      </c>
      <c r="AE238" s="664"/>
      <c r="AF238" s="664"/>
      <c r="AG238" s="664"/>
      <c r="AH238" s="664"/>
      <c r="AI238" s="664"/>
      <c r="AJ238" s="664"/>
      <c r="AK238" s="664"/>
      <c r="AL238" s="665">
        <f>IF(S38&gt;(0),S38*5%*'DATOS PARA DEPURAR'!E11,0)</f>
        <v>529200</v>
      </c>
      <c r="AM238" s="666"/>
      <c r="AN238" s="666">
        <f>MIN(AL238:AL239)</f>
        <v>529200</v>
      </c>
    </row>
    <row r="239" spans="1:62" hidden="1" x14ac:dyDescent="0.2">
      <c r="AA239" s="664" t="s">
        <v>24</v>
      </c>
      <c r="AB239" s="667">
        <f>+S38</f>
        <v>10584000</v>
      </c>
      <c r="AC239" s="664"/>
      <c r="AD239" s="664"/>
      <c r="AE239" s="664"/>
      <c r="AF239" s="664"/>
      <c r="AG239" s="664"/>
      <c r="AH239" s="664"/>
      <c r="AI239" s="664"/>
      <c r="AJ239" s="664"/>
      <c r="AK239" s="664"/>
      <c r="AL239" s="667">
        <f>+AB239</f>
        <v>10584000</v>
      </c>
      <c r="AM239" s="664"/>
      <c r="AN239" s="666">
        <f>MIN(AL241:AL243)</f>
        <v>0</v>
      </c>
    </row>
    <row r="240" spans="1:62" hidden="1" x14ac:dyDescent="0.2">
      <c r="Z240" s="660">
        <f>+G6+J6+N6+S6+J26+J38</f>
        <v>125714603</v>
      </c>
      <c r="AA240" s="664" t="s">
        <v>412</v>
      </c>
      <c r="AB240" s="668">
        <f>IF((G6+J6+N6+S6+J26+J38)&gt;0,(G6+J6+N6+S6+J26+J38)*0.5%)</f>
        <v>628573.01500000001</v>
      </c>
      <c r="AC240" s="664"/>
      <c r="AD240" s="666">
        <f>MIN(AB240:AB243)</f>
        <v>628573.01500000001</v>
      </c>
      <c r="AE240" s="664"/>
      <c r="AF240" s="664"/>
      <c r="AG240" s="664"/>
      <c r="AH240" s="664"/>
      <c r="AI240" s="664"/>
      <c r="AJ240" s="664"/>
      <c r="AK240" s="664"/>
      <c r="AL240" s="665">
        <f>IF(S38=0,Z240*0.5%*'DATOS PARA DEPURAR'!E11,0)</f>
        <v>0</v>
      </c>
      <c r="AM240" s="664">
        <f>MIN(X240:X242)</f>
        <v>0</v>
      </c>
      <c r="AN240" s="666">
        <f>IF(AL240&gt;AN239,AL240,AN239)</f>
        <v>0</v>
      </c>
    </row>
    <row r="241" spans="22:40" hidden="1" x14ac:dyDescent="0.2">
      <c r="AA241" s="664" t="s">
        <v>413</v>
      </c>
      <c r="AB241" s="668">
        <f>IF((G6+J6+N6+S6+J26+J38)&gt;0,(G6+J6+N6+S6+J26+J38)*5%)</f>
        <v>6285730.1500000004</v>
      </c>
      <c r="AC241" s="664"/>
      <c r="AD241" s="664"/>
      <c r="AE241" s="664"/>
      <c r="AF241" s="664"/>
      <c r="AG241" s="664"/>
      <c r="AH241" s="664"/>
      <c r="AI241" s="664"/>
      <c r="AJ241" s="664"/>
      <c r="AK241" s="664"/>
      <c r="AL241" s="665">
        <f>IF(S38=0,Z240*5%,0)</f>
        <v>0</v>
      </c>
      <c r="AM241" s="664"/>
      <c r="AN241" s="664"/>
    </row>
    <row r="242" spans="22:40" hidden="1" x14ac:dyDescent="0.2">
      <c r="V242" s="262">
        <f>IF((J32)&gt;0,('DATOS PARA DEPURAR'!E205),0)</f>
        <v>0</v>
      </c>
      <c r="AA242" s="664" t="s">
        <v>414</v>
      </c>
      <c r="AB242" s="664">
        <f>IF(U79=0,AD242*2,0)</f>
        <v>6664000</v>
      </c>
      <c r="AC242" s="664"/>
      <c r="AD242" s="667">
        <f>IF((S39+S40+S41-S38-S42)&gt;0,S39+S40+S41-S38-S42,0)</f>
        <v>3332000</v>
      </c>
      <c r="AE242" s="664"/>
      <c r="AF242" s="664"/>
      <c r="AG242" s="664"/>
      <c r="AH242" s="664"/>
      <c r="AI242" s="664"/>
      <c r="AJ242" s="664"/>
      <c r="AK242" s="664"/>
      <c r="AL242" s="665" t="b">
        <f>IF(S38=0,IF(Z240&gt;0,AM242*2,0))</f>
        <v>0</v>
      </c>
      <c r="AM242" s="665"/>
      <c r="AN242" s="665"/>
    </row>
    <row r="243" spans="22:40" hidden="1" x14ac:dyDescent="0.2">
      <c r="AA243" s="664" t="s">
        <v>415</v>
      </c>
      <c r="AB243" s="668">
        <f>2500*'DATOS PARA DEPURAR'!C23</f>
        <v>90770000</v>
      </c>
      <c r="AC243" s="664"/>
      <c r="AD243" s="664"/>
      <c r="AE243" s="664"/>
      <c r="AF243" s="664"/>
      <c r="AG243" s="664"/>
      <c r="AH243" s="664"/>
      <c r="AI243" s="664"/>
      <c r="AJ243" s="664"/>
      <c r="AK243" s="664"/>
      <c r="AL243" s="665" t="b">
        <f>IF(S38=0,IF(Z240&gt;0,2500*'DATOS PARA DEPURAR'!C23,0))</f>
        <v>0</v>
      </c>
      <c r="AM243" s="665"/>
      <c r="AN243" s="665">
        <f>MIN(AL245:AL247)</f>
        <v>0</v>
      </c>
    </row>
    <row r="244" spans="22:40" hidden="1" x14ac:dyDescent="0.2">
      <c r="AA244" s="669" t="s">
        <v>395</v>
      </c>
      <c r="AB244" s="670"/>
      <c r="AC244" s="671"/>
      <c r="AD244" s="671"/>
      <c r="AE244" s="671"/>
      <c r="AF244" s="671"/>
      <c r="AG244" s="671"/>
      <c r="AH244" s="671"/>
      <c r="AI244" s="671"/>
      <c r="AJ244" s="671"/>
      <c r="AK244" s="671"/>
      <c r="AL244" s="672" t="b">
        <f>IF(S38=0,IF((Z240)&lt;0,'DATOS PARA DEPURAR'!E19*1%*'DATOS PARA DEPURAR'!E11,0))</f>
        <v>0</v>
      </c>
      <c r="AM244" s="672"/>
      <c r="AN244" s="672" t="b">
        <f>IF(AL244&gt;AN243,AL244,AN243)</f>
        <v>0</v>
      </c>
    </row>
    <row r="245" spans="22:40" hidden="1" x14ac:dyDescent="0.2">
      <c r="AA245" s="669" t="s">
        <v>413</v>
      </c>
      <c r="AB245" s="671"/>
      <c r="AC245" s="671"/>
      <c r="AD245" s="671"/>
      <c r="AE245" s="671"/>
      <c r="AF245" s="671"/>
      <c r="AG245" s="671"/>
      <c r="AH245" s="671"/>
      <c r="AI245" s="671"/>
      <c r="AJ245" s="671"/>
      <c r="AK245" s="671"/>
      <c r="AL245" s="672" t="b">
        <f>IF(S38=0,IF(Z240=0,'DATOS PARA DEPURAR'!E19*10%,0))</f>
        <v>0</v>
      </c>
      <c r="AM245" s="672"/>
      <c r="AN245" s="672"/>
    </row>
    <row r="246" spans="22:40" hidden="1" x14ac:dyDescent="0.2">
      <c r="V246" s="271"/>
      <c r="AA246" s="669" t="s">
        <v>414</v>
      </c>
      <c r="AB246" s="671"/>
      <c r="AC246" s="671"/>
      <c r="AD246" s="671"/>
      <c r="AE246" s="671"/>
      <c r="AF246" s="671"/>
      <c r="AG246" s="671"/>
      <c r="AH246" s="671"/>
      <c r="AI246" s="671"/>
      <c r="AJ246" s="671"/>
      <c r="AK246" s="671"/>
      <c r="AL246" s="672" t="b">
        <f>IF(S38=0,IF(Z240=0,AM246*2,0))</f>
        <v>0</v>
      </c>
      <c r="AM246" s="672">
        <f>IF((U80+U81+U82-U79-U83-U85)&gt;0,U80+U81+U82-U79-U83-U85,0)</f>
        <v>0</v>
      </c>
      <c r="AN246" s="672"/>
    </row>
    <row r="247" spans="22:40" hidden="1" x14ac:dyDescent="0.2">
      <c r="V247" s="271"/>
      <c r="W247" s="272" t="s">
        <v>331</v>
      </c>
      <c r="X247" s="272" t="s">
        <v>332</v>
      </c>
      <c r="AA247" s="669" t="s">
        <v>415</v>
      </c>
      <c r="AB247" s="671"/>
      <c r="AC247" s="671"/>
      <c r="AD247" s="671"/>
      <c r="AE247" s="671"/>
      <c r="AF247" s="671"/>
      <c r="AG247" s="671"/>
      <c r="AH247" s="671"/>
      <c r="AI247" s="671"/>
      <c r="AJ247" s="671"/>
      <c r="AK247" s="671"/>
      <c r="AL247" s="672" t="b">
        <f>IF(S38=0,IF(Z240=0,2500*'DATOS PARA DEPURAR'!C23,0))</f>
        <v>0</v>
      </c>
      <c r="AM247" s="672"/>
      <c r="AN247" s="672"/>
    </row>
    <row r="248" spans="22:40" hidden="1" x14ac:dyDescent="0.2">
      <c r="V248" s="271"/>
      <c r="W248" s="202">
        <f>IF(('DATOS PARA DEPURAR'!D60)="S",'DATOS PARA DEPURAR'!E60,0)</f>
        <v>0</v>
      </c>
      <c r="X248" s="202">
        <f>IF(('DATOS PARA DEPURAR'!D60)="N",'DATOS PARA DEPURAR'!E60,0)</f>
        <v>0</v>
      </c>
      <c r="AA248" s="671"/>
      <c r="AB248" s="671"/>
      <c r="AC248" s="671"/>
      <c r="AD248" s="671"/>
      <c r="AE248" s="671"/>
      <c r="AF248" s="671"/>
      <c r="AG248" s="671"/>
      <c r="AH248" s="671"/>
      <c r="AI248" s="671"/>
      <c r="AJ248" s="671"/>
      <c r="AK248" s="671"/>
      <c r="AL248" s="673" t="s">
        <v>423</v>
      </c>
      <c r="AM248" s="673">
        <f>10*'DATOS PARA DEPURAR'!E24</f>
        <v>380040</v>
      </c>
      <c r="AN248" s="674">
        <f>+AM248</f>
        <v>380040</v>
      </c>
    </row>
    <row r="249" spans="22:40" hidden="1" x14ac:dyDescent="0.2">
      <c r="V249" s="271"/>
      <c r="W249" s="202">
        <f>IF(('DATOS PARA DEPURAR'!D62)="S",'DATOS PARA DEPURAR'!E62,0)</f>
        <v>0</v>
      </c>
      <c r="X249" s="202">
        <f>IF(('DATOS PARA DEPURAR'!D62)="N",'DATOS PARA DEPURAR'!E62,0)</f>
        <v>0</v>
      </c>
      <c r="AA249" s="671"/>
      <c r="AB249" s="671"/>
      <c r="AC249" s="671"/>
      <c r="AD249" s="671"/>
      <c r="AE249" s="671"/>
      <c r="AF249" s="671"/>
      <c r="AG249" s="671"/>
      <c r="AH249" s="671"/>
      <c r="AI249" s="671"/>
      <c r="AJ249" s="671"/>
      <c r="AK249" s="671"/>
      <c r="AL249" s="671"/>
      <c r="AM249" s="671"/>
      <c r="AN249" s="672">
        <f>MAX(AN238:AN248)</f>
        <v>529200</v>
      </c>
    </row>
    <row r="250" spans="22:40" hidden="1" x14ac:dyDescent="0.2">
      <c r="V250" s="271">
        <f>IF(('DATOS PARA DEPURAR'!E215)&lt;=W253,('DATOS PARA DEPURAR'!E215),W253)</f>
        <v>0</v>
      </c>
      <c r="W250" s="272" t="s">
        <v>365</v>
      </c>
      <c r="AA250" s="671"/>
      <c r="AB250" s="671"/>
      <c r="AC250" s="671"/>
      <c r="AD250" s="671"/>
      <c r="AE250" s="671"/>
      <c r="AF250" s="671"/>
      <c r="AG250" s="671"/>
      <c r="AH250" s="671"/>
      <c r="AI250" s="671"/>
      <c r="AJ250" s="671"/>
      <c r="AK250" s="671"/>
      <c r="AL250" s="671"/>
      <c r="AM250" s="671"/>
      <c r="AN250" s="671">
        <f>IF('DATOS PARA DEPURAR'!C11="EXTEMPORANEA",'FORMULARIO 2021 RENTA'!AN249,0)</f>
        <v>529200</v>
      </c>
    </row>
    <row r="251" spans="22:40" hidden="1" x14ac:dyDescent="0.2">
      <c r="V251" s="274"/>
      <c r="W251" s="275">
        <f>2300*'DATOS PARA DEPURAR'!C23</f>
        <v>83508400</v>
      </c>
      <c r="X251" s="272" t="s">
        <v>366</v>
      </c>
      <c r="AA251" s="272" t="s">
        <v>429</v>
      </c>
      <c r="AB251" s="331" t="s">
        <v>455</v>
      </c>
      <c r="AD251" s="202">
        <f>IF(S39+S40+S41-S38-S42&gt;0,S39+S40+S41-S38-S42,0)</f>
        <v>3332000</v>
      </c>
      <c r="AK251" s="461" t="s">
        <v>454</v>
      </c>
    </row>
    <row r="252" spans="22:40" hidden="1" x14ac:dyDescent="0.2">
      <c r="V252" s="274"/>
      <c r="W252" s="275">
        <f>+J27*60%</f>
        <v>0</v>
      </c>
      <c r="X252" s="272" t="s">
        <v>367</v>
      </c>
      <c r="AB252" s="272">
        <f>IF(AD251&gt;0,AD251,0)</f>
        <v>3332000</v>
      </c>
      <c r="AK252" s="202">
        <f>IF(S38+S42-S39-S40-S41&gt;0,S38+S42-S39-S40-S41,0)</f>
        <v>0</v>
      </c>
    </row>
    <row r="253" spans="22:40" hidden="1" x14ac:dyDescent="0.2">
      <c r="V253" s="274"/>
      <c r="W253" s="278">
        <f>MIN(W251:W252)</f>
        <v>0</v>
      </c>
      <c r="AA253" s="331" t="s">
        <v>430</v>
      </c>
      <c r="AB253" s="202">
        <f>IF((('DATOS PARA DEPURAR'!C14)*(-1)-AB252)&gt;0,(('DATOS PARA DEPURAR'!C14)*(-1)-AB252)*10%,0)</f>
        <v>0</v>
      </c>
      <c r="AK253" s="202">
        <f>IF((AK252-'DATOS PARA DEPURAR'!C14)&gt;0,(AK252-'DATOS PARA DEPURAR'!C14)*10%,0)</f>
        <v>46500</v>
      </c>
    </row>
    <row r="254" spans="22:40" hidden="1" x14ac:dyDescent="0.2">
      <c r="V254" s="274"/>
      <c r="AB254" s="329">
        <f>+AN248</f>
        <v>380040</v>
      </c>
      <c r="AK254" s="329">
        <f>+AN248</f>
        <v>380040</v>
      </c>
    </row>
    <row r="255" spans="22:40" hidden="1" x14ac:dyDescent="0.2">
      <c r="V255" s="281"/>
      <c r="W255" s="358">
        <f>384*'DATOS PARA DEPURAR'!C23</f>
        <v>13942272</v>
      </c>
      <c r="AB255" s="202">
        <f>MAX(AB253:AB254)</f>
        <v>380040</v>
      </c>
      <c r="AK255" s="404">
        <f>MAX(AK253:AK254)</f>
        <v>380040</v>
      </c>
      <c r="AL255" s="202">
        <f>IF('DATOS PARA DEPURAR'!C13="S",'FORMULARIO 2021 RENTA'!AL259,0)</f>
        <v>0</v>
      </c>
    </row>
    <row r="256" spans="22:40" hidden="1" x14ac:dyDescent="0.2">
      <c r="V256" s="281"/>
      <c r="W256" s="352">
        <f>IF('DATOS PARA DEPURAR'!E222="S",(G51+X256)*10%,0)</f>
        <v>0</v>
      </c>
      <c r="X256" s="202">
        <f>IF('DATOS PARA DEPURAR'!E103="S",SUM('DATOS PARA DEPURAR'!E50:E53),0)</f>
        <v>0</v>
      </c>
      <c r="AA256" s="331" t="s">
        <v>431</v>
      </c>
      <c r="AB256" s="202">
        <f>IF('DATOS PARA DEPURAR'!E14="S",'FORMULARIO 2021 RENTA'!AB253*2,0)</f>
        <v>0</v>
      </c>
      <c r="AK256" s="202">
        <f>IF('DATOS PARA DEPURAR'!E14="S",'FORMULARIO 2021 RENTA'!AK253*2,0)</f>
        <v>0</v>
      </c>
    </row>
    <row r="257" spans="22:38" ht="13.5" hidden="1" thickBot="1" x14ac:dyDescent="0.25">
      <c r="V257" s="281"/>
      <c r="W257" s="359">
        <f>MIN(W255:W256)</f>
        <v>0</v>
      </c>
      <c r="AB257" s="329">
        <f>+AN248</f>
        <v>380040</v>
      </c>
      <c r="AK257" s="418">
        <f>+AN248</f>
        <v>380040</v>
      </c>
    </row>
    <row r="258" spans="22:38" hidden="1" x14ac:dyDescent="0.2">
      <c r="V258" s="412">
        <f>+W267</f>
        <v>0</v>
      </c>
      <c r="W258" s="284" t="s">
        <v>8</v>
      </c>
      <c r="X258" s="285"/>
      <c r="Z258" s="286" t="s">
        <v>10</v>
      </c>
      <c r="AB258" s="202">
        <f>MAX(AB256:AB257)</f>
        <v>380040</v>
      </c>
      <c r="AK258" s="202">
        <f>MAX(AK256:AK257)</f>
        <v>380040</v>
      </c>
    </row>
    <row r="259" spans="22:38" ht="15.75" hidden="1" thickBot="1" x14ac:dyDescent="0.3">
      <c r="V259" s="281">
        <f>_xlfn.CEILING.PRECISE(J119,1000)</f>
        <v>2398000</v>
      </c>
      <c r="W259" s="1271">
        <f>+G81/Z259</f>
        <v>0</v>
      </c>
      <c r="X259" s="1272"/>
      <c r="Z259" s="287">
        <f>+'DATOS PARA DEPURAR'!C23</f>
        <v>36308</v>
      </c>
      <c r="AD259" s="202">
        <f>IF(AB256&gt;0,AB258,AB255)</f>
        <v>380040</v>
      </c>
      <c r="AL259" s="202">
        <f>IF(AK256&gt;0,AK258,AK255)</f>
        <v>380040</v>
      </c>
    </row>
    <row r="260" spans="22:38" ht="13.5" hidden="1" thickBot="1" x14ac:dyDescent="0.25">
      <c r="AA260" s="272" t="s">
        <v>442</v>
      </c>
      <c r="AK260" s="202">
        <f>IF(AD251&gt;0,AD259,AL259)</f>
        <v>380040</v>
      </c>
    </row>
    <row r="261" spans="22:38" hidden="1" x14ac:dyDescent="0.2">
      <c r="W261" s="290">
        <v>0</v>
      </c>
      <c r="X261" s="291">
        <v>1090</v>
      </c>
      <c r="Z261" s="292">
        <f>IF(W259&lt;=1090,0)</f>
        <v>0</v>
      </c>
      <c r="AA261" s="202">
        <f>+'DATOS PARA DEPURAR'!E16</f>
        <v>44301</v>
      </c>
      <c r="AL261" s="202">
        <f>+AK260/0.1</f>
        <v>3800400</v>
      </c>
    </row>
    <row r="262" spans="22:38" ht="15" hidden="1" x14ac:dyDescent="0.25">
      <c r="W262" s="293" t="s">
        <v>176</v>
      </c>
      <c r="X262" s="294">
        <v>1700</v>
      </c>
      <c r="Z262" s="295" t="b">
        <f>IF(W259&gt;1090,(IF(W259&lt;=1700,ROUND((((+W259-1090)*19%)*Z259),-3),0)),FALSE)</f>
        <v>0</v>
      </c>
      <c r="AA262" s="202">
        <f>+'DATOS PARA DEPURAR'!C16</f>
        <v>44421</v>
      </c>
      <c r="AL262" s="328">
        <f>+AL261*AA264*5%</f>
        <v>-760080</v>
      </c>
    </row>
    <row r="263" spans="22:38" ht="15" hidden="1" x14ac:dyDescent="0.25">
      <c r="W263" s="293" t="s">
        <v>177</v>
      </c>
      <c r="X263" s="294">
        <v>4100</v>
      </c>
      <c r="Z263" s="295" t="b">
        <f>IF(W259&gt;1700,IF(W259&lt;=4100,ROUND((((+W259-1700)*28%+116)*Z259),-3),0))</f>
        <v>0</v>
      </c>
      <c r="AA263" s="202">
        <f>+AA261-AA262</f>
        <v>-120</v>
      </c>
      <c r="AL263" s="432">
        <f>IF(AL262&gt;AL261,AL261,AL262)</f>
        <v>-760080</v>
      </c>
    </row>
    <row r="264" spans="22:38" ht="15.75" hidden="1" thickBot="1" x14ac:dyDescent="0.3">
      <c r="V264" s="262">
        <f>SUM(V260:V263)</f>
        <v>0</v>
      </c>
      <c r="W264" s="298" t="s">
        <v>178</v>
      </c>
      <c r="X264" s="299"/>
      <c r="Z264" s="300">
        <f>IF(W259&gt;4100,ROUND((((+W259-4100)*33%)*Z259)+(788*Z259),-3),0)</f>
        <v>0</v>
      </c>
      <c r="AA264" s="202">
        <f>_xlfn.CEILING.PRECISE(AA263/30,1)</f>
        <v>-4</v>
      </c>
    </row>
    <row r="265" spans="22:38" ht="13.5" hidden="1" thickBot="1" x14ac:dyDescent="0.25">
      <c r="V265" s="262">
        <f>IF(V258&gt;V259,V258-V264,IF(V259&gt;V258,V259-V264,0))</f>
        <v>2398000</v>
      </c>
      <c r="AA265" s="272" t="s">
        <v>444</v>
      </c>
      <c r="AB265" s="202">
        <f>+AN250</f>
        <v>529200</v>
      </c>
    </row>
    <row r="266" spans="22:38" hidden="1" x14ac:dyDescent="0.2">
      <c r="W266" s="1246" t="s">
        <v>179</v>
      </c>
      <c r="X266" s="1247"/>
      <c r="AA266" s="272" t="s">
        <v>429</v>
      </c>
      <c r="AB266" s="202">
        <f>IF('DATOS PARA DEPURAR'!C13="S",'FORMULARIO 2021 RENTA'!AK260,0)</f>
        <v>0</v>
      </c>
    </row>
    <row r="267" spans="22:38" ht="15.75" hidden="1" thickBot="1" x14ac:dyDescent="0.3">
      <c r="W267" s="1248">
        <f>IF(Z261=0,Z261,IF(Z262&gt;0,Z262,IF(Z263&gt;0,Z263,IF(Z264&gt;0,Z264))))</f>
        <v>0</v>
      </c>
      <c r="X267" s="1249"/>
      <c r="AA267" s="461" t="s">
        <v>445</v>
      </c>
      <c r="AB267" s="329">
        <f>IF('DATOS PARA DEPURAR'!C15="S",AL263,0)</f>
        <v>0</v>
      </c>
      <c r="AK267" s="202">
        <f>+'DATOS PARA DEPURAR'!E15</f>
        <v>0</v>
      </c>
    </row>
    <row r="268" spans="22:38" hidden="1" x14ac:dyDescent="0.2">
      <c r="AB268" s="202">
        <f>IF((AB265&lt;=0),AB266+AB267,IF(AB266&lt;=0,AB265,IF(SUM(AB265:AB266)&lt;=0,0,0)))</f>
        <v>529200</v>
      </c>
      <c r="AK268" s="202">
        <f>IF(AK260&gt;0,AK267,0)</f>
        <v>0</v>
      </c>
    </row>
    <row r="269" spans="22:38" ht="13.5" hidden="1" thickBot="1" x14ac:dyDescent="0.25"/>
    <row r="270" spans="22:38" hidden="1" x14ac:dyDescent="0.2">
      <c r="W270" s="339" t="s">
        <v>190</v>
      </c>
      <c r="X270" s="340"/>
      <c r="Y270" s="340"/>
      <c r="Z270" s="340"/>
      <c r="AA270" s="341"/>
    </row>
    <row r="271" spans="22:38" hidden="1" x14ac:dyDescent="0.2">
      <c r="V271" s="262">
        <f>IF((W271)&gt;0,W271,0)</f>
        <v>0</v>
      </c>
      <c r="W271" s="342">
        <f>IF((X271*25%)&lt;=(2880*'DATOS PARA DEPURAR'!C23),(X271*25%),(2880*'DATOS PARA DEPURAR'!C23))</f>
        <v>-2407215.25</v>
      </c>
      <c r="X271" s="337">
        <f>G51-'DATOS PARA DEPURAR'!E42+W272-SUM('DATOS PARA DEPURAR'!E262:E267)-'DATOS PARA DEPURAR'!E215-'DATOS PARA DEPURAR'!E216-'DATOS PARA DEPURAR'!E217-'DATOS PARA DEPURAR'!E218-'DATOS PARA DEPURAR'!E220-'DATOS PARA DEPURAR'!E223-'DATOS PARA DEPURAR'!E227-'DATOS PARA DEPURAR'!E226-'DATOS PARA DEPURAR'!E225-'FORMULARIO 2021 RENTA'!G63-'DATOS PARA DEPURAR'!E255</f>
        <v>-9628861</v>
      </c>
      <c r="Y271" s="194"/>
      <c r="Z271" s="194"/>
      <c r="AA271" s="343"/>
    </row>
    <row r="272" spans="22:38" hidden="1" x14ac:dyDescent="0.2">
      <c r="W272" s="344">
        <f>IF(('DATOS PARA DEPURAR'!E103)="S",('DATOS PARA DEPURAR'!E50+'DATOS PARA DEPURAR'!E52),0)</f>
        <v>0</v>
      </c>
      <c r="X272" s="194">
        <f>50531/0.25</f>
        <v>202124</v>
      </c>
      <c r="Y272" s="194"/>
      <c r="Z272" s="1371" t="s">
        <v>620</v>
      </c>
      <c r="AA272" s="1372"/>
    </row>
    <row r="273" spans="22:27" hidden="1" x14ac:dyDescent="0.2">
      <c r="W273" s="344">
        <f>IF('DATOS PARA DEPURAR'!D60="N",'DATOS PARA DEPURAR'!E166,0)</f>
        <v>0</v>
      </c>
      <c r="X273" s="194">
        <f>+X272/2</f>
        <v>101062</v>
      </c>
      <c r="Y273" s="194"/>
      <c r="Z273" s="337">
        <f>IF((S35)&gt;0,S35,0)</f>
        <v>10584000</v>
      </c>
      <c r="AA273" s="343"/>
    </row>
    <row r="274" spans="22:27" hidden="1" x14ac:dyDescent="0.2">
      <c r="V274" s="262">
        <f>+AB268</f>
        <v>529200</v>
      </c>
      <c r="W274" s="344">
        <f>IF('DATOS PARA DEPURAR'!D62="N",'DATOS PARA DEPURAR'!E167,0)</f>
        <v>0</v>
      </c>
      <c r="X274" s="194"/>
      <c r="Y274" s="194"/>
      <c r="Z274" s="337">
        <f>IF(((Z273)*('DEPURACION POR IMAS EMPLEADO'!K44)-('DATOS PARA DEPURAR'!E301))&gt;0,(Z273)*('DEPURACION POR IMAS EMPLEADO'!K44)-('DATOS PARA DEPURAR'!E301),0)</f>
        <v>0</v>
      </c>
      <c r="AA274" s="343"/>
    </row>
    <row r="275" spans="22:27" hidden="1" x14ac:dyDescent="0.2">
      <c r="W275" s="344"/>
      <c r="X275" s="194"/>
      <c r="Y275" s="194"/>
      <c r="Z275" s="194"/>
      <c r="AA275" s="345">
        <f>+Z274</f>
        <v>0</v>
      </c>
    </row>
    <row r="276" spans="22:27" hidden="1" x14ac:dyDescent="0.2">
      <c r="W276" s="344">
        <v>1</v>
      </c>
      <c r="X276" s="194"/>
      <c r="Y276" s="194"/>
      <c r="Z276" s="337">
        <f>IF((Z278)&gt;0,(Z278+Z273)/(2),0)</f>
        <v>41362000</v>
      </c>
      <c r="AA276" s="343">
        <f>IF((Z276*'DEPURACION POR IMAS EMPLEADO'!K44)-('DATOS PARA DEPURAR'!E301)&gt;0,(Z276*'DEPURACION POR IMAS EMPLEADO'!K44)-('DATOS PARA DEPURAR'!E301),0)</f>
        <v>18925500</v>
      </c>
    </row>
    <row r="277" spans="22:27" hidden="1" x14ac:dyDescent="0.2">
      <c r="W277" s="344"/>
      <c r="X277" s="194"/>
      <c r="Y277" s="194"/>
      <c r="Z277" s="337"/>
      <c r="AA277" s="343"/>
    </row>
    <row r="278" spans="22:27" hidden="1" x14ac:dyDescent="0.2">
      <c r="W278" s="344">
        <v>2</v>
      </c>
      <c r="X278" s="194"/>
      <c r="Y278" s="194"/>
      <c r="Z278" s="337">
        <f>+'DATOS PARA DEPURAR'!C20</f>
        <v>72140000</v>
      </c>
      <c r="AA278" s="345">
        <f>MIN(AA275:AA276)</f>
        <v>0</v>
      </c>
    </row>
    <row r="279" spans="22:27" hidden="1" x14ac:dyDescent="0.2">
      <c r="W279" s="344">
        <v>3</v>
      </c>
      <c r="X279" s="350">
        <f>+'DATOS PARA DEPURAR'!C24/'DATOS PARA DEPURAR'!C23</f>
        <v>96.080423047262315</v>
      </c>
      <c r="Y279" s="194"/>
      <c r="Z279" s="194">
        <f>LOOKUP(X279,W280:X286,Z280:Z286)</f>
        <v>1</v>
      </c>
      <c r="AA279" s="343">
        <f>IF((AA278)&gt;0,AA278,AA275)</f>
        <v>0</v>
      </c>
    </row>
    <row r="280" spans="22:27" hidden="1" x14ac:dyDescent="0.2">
      <c r="W280" s="344">
        <v>0</v>
      </c>
      <c r="X280" s="194">
        <f>350-0.01</f>
        <v>349.99</v>
      </c>
      <c r="Y280" s="194"/>
      <c r="Z280" s="338">
        <v>1</v>
      </c>
      <c r="AA280" s="343">
        <f>IF(X279&lt;=X280,Z279,0)</f>
        <v>1</v>
      </c>
    </row>
    <row r="281" spans="22:27" hidden="1" x14ac:dyDescent="0.2">
      <c r="W281" s="344">
        <v>350</v>
      </c>
      <c r="X281" s="194">
        <f>410-0.01</f>
        <v>409.99</v>
      </c>
      <c r="Y281" s="194"/>
      <c r="Z281" s="338">
        <v>0.9</v>
      </c>
      <c r="AA281" s="343"/>
    </row>
    <row r="282" spans="22:27" hidden="1" x14ac:dyDescent="0.2">
      <c r="W282" s="344">
        <v>410</v>
      </c>
      <c r="X282" s="194">
        <f>470-0.01</f>
        <v>469.99</v>
      </c>
      <c r="Y282" s="194"/>
      <c r="Z282" s="338">
        <v>0.8</v>
      </c>
      <c r="AA282" s="343"/>
    </row>
    <row r="283" spans="22:27" hidden="1" x14ac:dyDescent="0.2">
      <c r="W283" s="344">
        <v>470</v>
      </c>
      <c r="X283" s="194">
        <f>530-0.01</f>
        <v>529.99</v>
      </c>
      <c r="Y283" s="194"/>
      <c r="Z283" s="338">
        <v>0.6</v>
      </c>
      <c r="AA283" s="343"/>
    </row>
    <row r="284" spans="22:27" hidden="1" x14ac:dyDescent="0.2">
      <c r="W284" s="344">
        <v>530</v>
      </c>
      <c r="X284" s="194">
        <f>590-0.01</f>
        <v>589.99</v>
      </c>
      <c r="Y284" s="194"/>
      <c r="Z284" s="338">
        <v>0.4</v>
      </c>
      <c r="AA284" s="343"/>
    </row>
    <row r="285" spans="22:27" hidden="1" x14ac:dyDescent="0.2">
      <c r="W285" s="344">
        <v>590</v>
      </c>
      <c r="X285" s="194">
        <f>650-0.01</f>
        <v>649.99</v>
      </c>
      <c r="Y285" s="194"/>
      <c r="Z285" s="338">
        <v>0.2</v>
      </c>
      <c r="AA285" s="343"/>
    </row>
    <row r="286" spans="22:27" ht="13.5" hidden="1" thickBot="1" x14ac:dyDescent="0.25">
      <c r="W286" s="346">
        <v>650</v>
      </c>
      <c r="X286" s="347">
        <v>10000</v>
      </c>
      <c r="Y286" s="347"/>
      <c r="Z286" s="348">
        <v>0.1</v>
      </c>
      <c r="AA286" s="349"/>
    </row>
    <row r="288" spans="22:27" ht="15" x14ac:dyDescent="0.25">
      <c r="V288" s="324">
        <v>1547.99</v>
      </c>
      <c r="W288" s="325">
        <v>0</v>
      </c>
    </row>
    <row r="289" spans="21:23" ht="15" x14ac:dyDescent="0.25">
      <c r="U289" s="329"/>
      <c r="V289" s="326">
        <f>+U122-0.01</f>
        <v>1587.99</v>
      </c>
      <c r="W289" s="325">
        <v>1.05</v>
      </c>
    </row>
    <row r="290" spans="21:23" ht="15" x14ac:dyDescent="0.25">
      <c r="V290" s="326">
        <f t="shared" ref="V290:V353" si="12">+U123-0.01</f>
        <v>1628.99</v>
      </c>
      <c r="W290" s="325">
        <v>1.08</v>
      </c>
    </row>
    <row r="291" spans="21:23" ht="15" x14ac:dyDescent="0.25">
      <c r="U291" s="278"/>
      <c r="V291" s="326">
        <f t="shared" si="12"/>
        <v>1669.99</v>
      </c>
      <c r="W291" s="325">
        <v>1.1100000000000001</v>
      </c>
    </row>
    <row r="292" spans="21:23" ht="15" x14ac:dyDescent="0.25">
      <c r="V292" s="326">
        <f t="shared" si="12"/>
        <v>1709.99</v>
      </c>
      <c r="W292" s="325">
        <v>1.1399999999999999</v>
      </c>
    </row>
    <row r="293" spans="21:23" ht="15" x14ac:dyDescent="0.25">
      <c r="V293" s="326">
        <f t="shared" si="12"/>
        <v>1750.99</v>
      </c>
      <c r="W293" s="325">
        <v>1.1599999999999999</v>
      </c>
    </row>
    <row r="294" spans="21:23" ht="15" x14ac:dyDescent="0.25">
      <c r="V294" s="326">
        <f t="shared" si="12"/>
        <v>1791.99</v>
      </c>
      <c r="W294" s="325">
        <v>2.38</v>
      </c>
    </row>
    <row r="295" spans="21:23" ht="15" x14ac:dyDescent="0.25">
      <c r="V295" s="326">
        <f t="shared" si="12"/>
        <v>1832.99</v>
      </c>
      <c r="W295" s="325">
        <v>2.4300000000000002</v>
      </c>
    </row>
    <row r="296" spans="21:23" ht="15" x14ac:dyDescent="0.25">
      <c r="V296" s="326">
        <f t="shared" si="12"/>
        <v>1872.99</v>
      </c>
      <c r="W296" s="325">
        <v>2.4900000000000002</v>
      </c>
    </row>
    <row r="297" spans="21:23" ht="15" x14ac:dyDescent="0.25">
      <c r="V297" s="326">
        <f t="shared" si="12"/>
        <v>1913.99</v>
      </c>
      <c r="W297" s="325">
        <v>4.76</v>
      </c>
    </row>
    <row r="298" spans="21:23" ht="15" x14ac:dyDescent="0.25">
      <c r="V298" s="326">
        <f t="shared" si="12"/>
        <v>1954.99</v>
      </c>
      <c r="W298" s="325">
        <v>4.8600000000000003</v>
      </c>
    </row>
    <row r="299" spans="21:23" ht="15" x14ac:dyDescent="0.25">
      <c r="V299" s="326">
        <f t="shared" si="12"/>
        <v>1995.99</v>
      </c>
      <c r="W299" s="325">
        <v>4.96</v>
      </c>
    </row>
    <row r="300" spans="21:23" ht="15" x14ac:dyDescent="0.25">
      <c r="V300" s="326">
        <f t="shared" si="12"/>
        <v>2035.99</v>
      </c>
      <c r="W300" s="325">
        <v>8.43</v>
      </c>
    </row>
    <row r="301" spans="21:23" ht="15" x14ac:dyDescent="0.25">
      <c r="V301" s="326">
        <f t="shared" si="12"/>
        <v>2117.9899999999998</v>
      </c>
      <c r="W301" s="325">
        <v>8.7100000000000009</v>
      </c>
    </row>
    <row r="302" spans="21:23" ht="15" x14ac:dyDescent="0.25">
      <c r="V302" s="326">
        <f t="shared" si="12"/>
        <v>2198.9899999999998</v>
      </c>
      <c r="W302" s="325">
        <v>13.74</v>
      </c>
    </row>
    <row r="303" spans="21:23" ht="15" x14ac:dyDescent="0.25">
      <c r="V303" s="326">
        <f t="shared" si="12"/>
        <v>2280.9899999999998</v>
      </c>
      <c r="W303" s="325">
        <v>14.26</v>
      </c>
    </row>
    <row r="304" spans="21:23" ht="15" x14ac:dyDescent="0.25">
      <c r="V304" s="326">
        <f t="shared" si="12"/>
        <v>2361.9899999999998</v>
      </c>
      <c r="W304" s="325">
        <v>19.809999999999999</v>
      </c>
    </row>
    <row r="305" spans="22:23" ht="15" x14ac:dyDescent="0.25">
      <c r="V305" s="326">
        <f t="shared" si="12"/>
        <v>2442.9899999999998</v>
      </c>
      <c r="W305" s="325">
        <v>25.7</v>
      </c>
    </row>
    <row r="306" spans="22:23" ht="15" x14ac:dyDescent="0.25">
      <c r="V306" s="326">
        <f t="shared" si="12"/>
        <v>2524.9899999999998</v>
      </c>
      <c r="W306" s="325">
        <v>26.57</v>
      </c>
    </row>
    <row r="307" spans="22:23" ht="15" x14ac:dyDescent="0.25">
      <c r="V307" s="326">
        <f t="shared" si="12"/>
        <v>2605.9899999999998</v>
      </c>
      <c r="W307" s="325">
        <v>35.56</v>
      </c>
    </row>
    <row r="308" spans="22:23" ht="15" x14ac:dyDescent="0.25">
      <c r="V308" s="326">
        <f t="shared" si="12"/>
        <v>2687.99</v>
      </c>
      <c r="W308" s="325">
        <v>45.05</v>
      </c>
    </row>
    <row r="309" spans="22:23" ht="15" x14ac:dyDescent="0.25">
      <c r="V309" s="326">
        <f t="shared" si="12"/>
        <v>2768.99</v>
      </c>
      <c r="W309" s="325">
        <v>46.43</v>
      </c>
    </row>
    <row r="310" spans="22:23" ht="15" x14ac:dyDescent="0.25">
      <c r="V310" s="326">
        <f t="shared" si="12"/>
        <v>2850.99</v>
      </c>
      <c r="W310" s="325">
        <v>55.58</v>
      </c>
    </row>
    <row r="311" spans="22:23" ht="15" x14ac:dyDescent="0.25">
      <c r="V311" s="326">
        <f t="shared" si="12"/>
        <v>2931.99</v>
      </c>
      <c r="W311" s="325">
        <v>60.7</v>
      </c>
    </row>
    <row r="312" spans="22:23" ht="15" x14ac:dyDescent="0.25">
      <c r="V312" s="326">
        <f t="shared" si="12"/>
        <v>3013.99</v>
      </c>
      <c r="W312" s="325">
        <v>66.02</v>
      </c>
    </row>
    <row r="313" spans="22:23" ht="15" x14ac:dyDescent="0.25">
      <c r="V313" s="326">
        <f t="shared" si="12"/>
        <v>3094.99</v>
      </c>
      <c r="W313" s="325">
        <v>71.540000000000006</v>
      </c>
    </row>
    <row r="314" spans="22:23" ht="15" x14ac:dyDescent="0.25">
      <c r="V314" s="326">
        <f t="shared" si="12"/>
        <v>3176.99</v>
      </c>
      <c r="W314" s="325">
        <v>77.239999999999995</v>
      </c>
    </row>
    <row r="315" spans="22:23" ht="15" x14ac:dyDescent="0.25">
      <c r="V315" s="326">
        <f t="shared" si="12"/>
        <v>3257.99</v>
      </c>
      <c r="W315" s="325">
        <v>83.14</v>
      </c>
    </row>
    <row r="316" spans="22:23" ht="15" x14ac:dyDescent="0.25">
      <c r="V316" s="326">
        <f t="shared" si="12"/>
        <v>3338.99</v>
      </c>
      <c r="W316" s="325">
        <v>89.23</v>
      </c>
    </row>
    <row r="317" spans="22:23" ht="15" x14ac:dyDescent="0.25">
      <c r="V317" s="326">
        <f t="shared" si="12"/>
        <v>3420.99</v>
      </c>
      <c r="W317" s="325">
        <v>95.51</v>
      </c>
    </row>
    <row r="318" spans="22:23" ht="15" x14ac:dyDescent="0.25">
      <c r="V318" s="326">
        <f t="shared" si="12"/>
        <v>3501.99</v>
      </c>
      <c r="W318" s="325">
        <v>101.98</v>
      </c>
    </row>
    <row r="319" spans="22:23" ht="15" x14ac:dyDescent="0.25">
      <c r="V319" s="326">
        <f t="shared" si="12"/>
        <v>3583.99</v>
      </c>
      <c r="W319" s="325">
        <v>108.64</v>
      </c>
    </row>
    <row r="320" spans="22:23" ht="15" x14ac:dyDescent="0.25">
      <c r="V320" s="326">
        <f t="shared" si="12"/>
        <v>3664.99</v>
      </c>
      <c r="W320" s="325">
        <v>115.49</v>
      </c>
    </row>
    <row r="321" spans="22:23" ht="15" x14ac:dyDescent="0.25">
      <c r="V321" s="326">
        <f t="shared" si="12"/>
        <v>3746.99</v>
      </c>
      <c r="W321" s="325">
        <v>122.54</v>
      </c>
    </row>
    <row r="322" spans="22:23" ht="15" x14ac:dyDescent="0.25">
      <c r="V322" s="326">
        <f t="shared" si="12"/>
        <v>3827.99</v>
      </c>
      <c r="W322" s="325">
        <v>129.76</v>
      </c>
    </row>
    <row r="323" spans="22:23" ht="15" x14ac:dyDescent="0.25">
      <c r="V323" s="326">
        <f t="shared" si="12"/>
        <v>3909.99</v>
      </c>
      <c r="W323" s="325">
        <v>137.18</v>
      </c>
    </row>
    <row r="324" spans="22:23" ht="15" x14ac:dyDescent="0.25">
      <c r="V324" s="326">
        <f t="shared" si="12"/>
        <v>3990.99</v>
      </c>
      <c r="W324" s="325">
        <v>144.78</v>
      </c>
    </row>
    <row r="325" spans="22:23" ht="15" x14ac:dyDescent="0.25">
      <c r="V325" s="326">
        <f t="shared" si="12"/>
        <v>4071.99</v>
      </c>
      <c r="W325" s="325">
        <v>152.58000000000001</v>
      </c>
    </row>
    <row r="326" spans="22:23" ht="15" x14ac:dyDescent="0.25">
      <c r="V326" s="326">
        <f t="shared" si="12"/>
        <v>4275.99</v>
      </c>
      <c r="W326" s="325">
        <v>168.71</v>
      </c>
    </row>
    <row r="327" spans="22:23" ht="15" x14ac:dyDescent="0.25">
      <c r="V327" s="326">
        <f t="shared" si="12"/>
        <v>4479.99</v>
      </c>
      <c r="W327" s="325">
        <v>189.92</v>
      </c>
    </row>
    <row r="328" spans="22:23" ht="15" x14ac:dyDescent="0.25">
      <c r="V328" s="326">
        <f t="shared" si="12"/>
        <v>4682.99</v>
      </c>
      <c r="W328" s="325">
        <v>212.27</v>
      </c>
    </row>
    <row r="329" spans="22:23" ht="15" x14ac:dyDescent="0.25">
      <c r="V329" s="326">
        <f t="shared" si="12"/>
        <v>4886.99</v>
      </c>
      <c r="W329" s="325">
        <v>235.75</v>
      </c>
    </row>
    <row r="330" spans="22:23" ht="15" x14ac:dyDescent="0.25">
      <c r="V330" s="326">
        <f t="shared" si="12"/>
        <v>5090.99</v>
      </c>
      <c r="W330" s="325">
        <v>260.33999999999997</v>
      </c>
    </row>
    <row r="331" spans="22:23" ht="15" x14ac:dyDescent="0.25">
      <c r="V331" s="326">
        <f t="shared" si="12"/>
        <v>5293.99</v>
      </c>
      <c r="W331" s="325">
        <v>286.02999999999997</v>
      </c>
    </row>
    <row r="332" spans="22:23" ht="15" x14ac:dyDescent="0.25">
      <c r="V332" s="326">
        <f t="shared" si="12"/>
        <v>5497.99</v>
      </c>
      <c r="W332" s="325">
        <v>312.81</v>
      </c>
    </row>
    <row r="333" spans="22:23" ht="15" x14ac:dyDescent="0.25">
      <c r="V333" s="326">
        <f t="shared" si="12"/>
        <v>5700.99</v>
      </c>
      <c r="W333" s="325">
        <v>340.66</v>
      </c>
    </row>
    <row r="334" spans="22:23" ht="15" x14ac:dyDescent="0.25">
      <c r="V334" s="326">
        <f t="shared" si="12"/>
        <v>5904.99</v>
      </c>
      <c r="W334" s="325">
        <v>369.57</v>
      </c>
    </row>
    <row r="335" spans="22:23" ht="15" x14ac:dyDescent="0.25">
      <c r="V335" s="326">
        <f t="shared" si="12"/>
        <v>6108.99</v>
      </c>
      <c r="W335" s="325">
        <v>399.52</v>
      </c>
    </row>
    <row r="336" spans="22:23" ht="15" x14ac:dyDescent="0.25">
      <c r="V336" s="326">
        <f t="shared" si="12"/>
        <v>6311.99</v>
      </c>
      <c r="W336" s="325">
        <v>430.49</v>
      </c>
    </row>
    <row r="337" spans="22:23" ht="15" x14ac:dyDescent="0.25">
      <c r="V337" s="326">
        <f t="shared" si="12"/>
        <v>6515.99</v>
      </c>
      <c r="W337" s="325">
        <v>462.46</v>
      </c>
    </row>
    <row r="338" spans="22:23" ht="15" x14ac:dyDescent="0.25">
      <c r="V338" s="326">
        <f t="shared" si="12"/>
        <v>6719.99</v>
      </c>
      <c r="W338" s="325">
        <v>495.43</v>
      </c>
    </row>
    <row r="339" spans="22:23" ht="15" x14ac:dyDescent="0.25">
      <c r="V339" s="326">
        <f t="shared" si="12"/>
        <v>6922.99</v>
      </c>
      <c r="W339" s="325">
        <v>529.36</v>
      </c>
    </row>
    <row r="340" spans="22:23" ht="15" x14ac:dyDescent="0.25">
      <c r="V340" s="326">
        <f t="shared" si="12"/>
        <v>7126.99</v>
      </c>
      <c r="W340" s="325">
        <v>564.23</v>
      </c>
    </row>
    <row r="341" spans="22:23" ht="15" x14ac:dyDescent="0.25">
      <c r="V341" s="326">
        <f t="shared" si="12"/>
        <v>7329.99</v>
      </c>
      <c r="W341" s="325">
        <v>600.04</v>
      </c>
    </row>
    <row r="342" spans="22:23" ht="15" x14ac:dyDescent="0.25">
      <c r="V342" s="326">
        <f t="shared" si="12"/>
        <v>7533.99</v>
      </c>
      <c r="W342" s="325">
        <v>636.75</v>
      </c>
    </row>
    <row r="343" spans="22:23" ht="15" x14ac:dyDescent="0.25">
      <c r="V343" s="326">
        <f t="shared" si="12"/>
        <v>7737.99</v>
      </c>
      <c r="W343" s="325">
        <v>674.35</v>
      </c>
    </row>
    <row r="344" spans="22:23" ht="15" x14ac:dyDescent="0.25">
      <c r="V344" s="326">
        <f t="shared" si="12"/>
        <v>7940.99</v>
      </c>
      <c r="W344" s="325">
        <v>712.8</v>
      </c>
    </row>
    <row r="345" spans="22:23" ht="15" x14ac:dyDescent="0.25">
      <c r="V345" s="326">
        <f t="shared" si="12"/>
        <v>8144.99</v>
      </c>
      <c r="W345" s="325">
        <v>752.1</v>
      </c>
    </row>
    <row r="346" spans="22:23" ht="15" x14ac:dyDescent="0.25">
      <c r="V346" s="326">
        <f t="shared" si="12"/>
        <v>8348.99</v>
      </c>
      <c r="W346" s="325">
        <v>792.22</v>
      </c>
    </row>
    <row r="347" spans="22:23" ht="15" x14ac:dyDescent="0.25">
      <c r="V347" s="326">
        <f t="shared" si="12"/>
        <v>8551.99</v>
      </c>
      <c r="W347" s="325">
        <v>833.12</v>
      </c>
    </row>
    <row r="348" spans="22:23" ht="15" x14ac:dyDescent="0.25">
      <c r="V348" s="326">
        <f t="shared" si="12"/>
        <v>8755.99</v>
      </c>
      <c r="W348" s="325">
        <v>874.79</v>
      </c>
    </row>
    <row r="349" spans="22:23" ht="15" x14ac:dyDescent="0.25">
      <c r="V349" s="326">
        <f t="shared" si="12"/>
        <v>8958.99</v>
      </c>
      <c r="W349" s="325">
        <v>917.21</v>
      </c>
    </row>
    <row r="350" spans="22:23" ht="15" x14ac:dyDescent="0.25">
      <c r="V350" s="326">
        <f t="shared" si="12"/>
        <v>9162.99</v>
      </c>
      <c r="W350" s="325">
        <v>960.34</v>
      </c>
    </row>
    <row r="351" spans="22:23" ht="15" x14ac:dyDescent="0.25">
      <c r="V351" s="326">
        <f t="shared" si="12"/>
        <v>9366.99</v>
      </c>
      <c r="W351" s="335">
        <v>1004.16</v>
      </c>
    </row>
    <row r="352" spans="22:23" ht="15" x14ac:dyDescent="0.25">
      <c r="V352" s="326">
        <f t="shared" si="12"/>
        <v>9569.99</v>
      </c>
      <c r="W352" s="335">
        <v>1048.6400000000001</v>
      </c>
    </row>
    <row r="353" spans="22:23" ht="15" x14ac:dyDescent="0.25">
      <c r="V353" s="326">
        <f t="shared" si="12"/>
        <v>9773.99</v>
      </c>
      <c r="W353" s="335">
        <v>1093.75</v>
      </c>
    </row>
    <row r="354" spans="22:23" ht="15" x14ac:dyDescent="0.25">
      <c r="V354" s="326">
        <f t="shared" ref="V354:V371" si="13">+U187-0.01</f>
        <v>9977.99</v>
      </c>
      <c r="W354" s="335">
        <v>1139.48</v>
      </c>
    </row>
    <row r="355" spans="22:23" ht="15" x14ac:dyDescent="0.25">
      <c r="V355" s="326">
        <f t="shared" si="13"/>
        <v>10180.99</v>
      </c>
      <c r="W355" s="335">
        <v>1185.78</v>
      </c>
    </row>
    <row r="356" spans="22:23" ht="15" x14ac:dyDescent="0.25">
      <c r="V356" s="326">
        <f t="shared" si="13"/>
        <v>10384.99</v>
      </c>
      <c r="W356" s="335">
        <v>1232.6199999999999</v>
      </c>
    </row>
    <row r="357" spans="22:23" ht="15" x14ac:dyDescent="0.25">
      <c r="V357" s="326">
        <f t="shared" si="13"/>
        <v>10587.99</v>
      </c>
      <c r="W357" s="335">
        <v>1279.99</v>
      </c>
    </row>
    <row r="358" spans="22:23" ht="15" x14ac:dyDescent="0.25">
      <c r="V358" s="326">
        <f t="shared" si="13"/>
        <v>10791.99</v>
      </c>
      <c r="W358" s="335">
        <v>1327.85</v>
      </c>
    </row>
    <row r="359" spans="22:23" ht="15" x14ac:dyDescent="0.25">
      <c r="V359" s="326">
        <f t="shared" si="13"/>
        <v>10995.99</v>
      </c>
      <c r="W359" s="335">
        <v>1376.16</v>
      </c>
    </row>
    <row r="360" spans="22:23" ht="15" x14ac:dyDescent="0.25">
      <c r="V360" s="326">
        <f t="shared" si="13"/>
        <v>11198.99</v>
      </c>
      <c r="W360" s="335">
        <v>1424.9</v>
      </c>
    </row>
    <row r="361" spans="22:23" ht="15" x14ac:dyDescent="0.25">
      <c r="V361" s="326">
        <f t="shared" si="13"/>
        <v>11402.99</v>
      </c>
      <c r="W361" s="335">
        <v>1474.04</v>
      </c>
    </row>
    <row r="362" spans="22:23" ht="15" x14ac:dyDescent="0.25">
      <c r="V362" s="326">
        <f t="shared" si="13"/>
        <v>11606.99</v>
      </c>
      <c r="W362" s="335">
        <v>1523.54</v>
      </c>
    </row>
    <row r="363" spans="22:23" ht="15" x14ac:dyDescent="0.25">
      <c r="V363" s="326">
        <f t="shared" si="13"/>
        <v>11809.99</v>
      </c>
      <c r="W363" s="335">
        <v>1573.37</v>
      </c>
    </row>
    <row r="364" spans="22:23" ht="15" x14ac:dyDescent="0.25">
      <c r="V364" s="326">
        <f t="shared" si="13"/>
        <v>12013.99</v>
      </c>
      <c r="W364" s="335">
        <v>1623.49</v>
      </c>
    </row>
    <row r="365" spans="22:23" ht="15" x14ac:dyDescent="0.25">
      <c r="V365" s="326">
        <f t="shared" si="13"/>
        <v>12216.99</v>
      </c>
      <c r="W365" s="335">
        <v>1673.89</v>
      </c>
    </row>
    <row r="366" spans="22:23" ht="15" x14ac:dyDescent="0.25">
      <c r="V366" s="326">
        <f t="shared" si="13"/>
        <v>12420.99</v>
      </c>
      <c r="W366" s="335">
        <v>1724.51</v>
      </c>
    </row>
    <row r="367" spans="22:23" ht="15" x14ac:dyDescent="0.25">
      <c r="V367" s="326">
        <f t="shared" si="13"/>
        <v>12624.99</v>
      </c>
      <c r="W367" s="335">
        <v>1775.33</v>
      </c>
    </row>
    <row r="368" spans="22:23" ht="15" x14ac:dyDescent="0.25">
      <c r="V368" s="326">
        <f t="shared" si="13"/>
        <v>12827.99</v>
      </c>
      <c r="W368" s="335">
        <v>1826.31</v>
      </c>
    </row>
    <row r="369" spans="22:23" ht="15" x14ac:dyDescent="0.25">
      <c r="V369" s="326">
        <f t="shared" si="13"/>
        <v>13031.99</v>
      </c>
      <c r="W369" s="335">
        <v>1877.42</v>
      </c>
    </row>
    <row r="370" spans="22:23" ht="15" x14ac:dyDescent="0.25">
      <c r="V370" s="326">
        <f t="shared" si="13"/>
        <v>13235.99</v>
      </c>
      <c r="W370" s="335">
        <v>1928.63</v>
      </c>
    </row>
    <row r="371" spans="22:23" ht="15" x14ac:dyDescent="0.25">
      <c r="V371" s="326">
        <f t="shared" si="13"/>
        <v>13438.99</v>
      </c>
      <c r="W371" s="335">
        <v>1979.89</v>
      </c>
    </row>
    <row r="372" spans="22:23" ht="15" x14ac:dyDescent="0.25">
      <c r="V372" s="326">
        <f>13643-0.01</f>
        <v>13642.99</v>
      </c>
      <c r="W372" s="335">
        <v>2031.18</v>
      </c>
    </row>
    <row r="373" spans="22:23" ht="15" x14ac:dyDescent="0.25">
      <c r="V373" s="324"/>
      <c r="W373" s="325" t="s">
        <v>87</v>
      </c>
    </row>
    <row r="386" spans="22:23" x14ac:dyDescent="0.2">
      <c r="V386" s="521"/>
      <c r="W386" s="521"/>
    </row>
    <row r="387" spans="22:23" x14ac:dyDescent="0.2">
      <c r="V387" s="521"/>
      <c r="W387" s="521"/>
    </row>
    <row r="388" spans="22:23" x14ac:dyDescent="0.2">
      <c r="V388" s="521"/>
      <c r="W388" s="521"/>
    </row>
    <row r="389" spans="22:23" x14ac:dyDescent="0.2">
      <c r="V389" s="524" t="s">
        <v>10</v>
      </c>
      <c r="W389" s="521"/>
    </row>
    <row r="390" spans="22:23" x14ac:dyDescent="0.2">
      <c r="V390" s="525">
        <f>+'DATOS PARA DEPURAR'!C23</f>
        <v>36308</v>
      </c>
      <c r="W390" s="521"/>
    </row>
    <row r="391" spans="22:23" ht="13.5" thickBot="1" x14ac:dyDescent="0.25">
      <c r="V391" s="521"/>
      <c r="W391" s="521"/>
    </row>
    <row r="392" spans="22:23" x14ac:dyDescent="0.2">
      <c r="V392" s="528">
        <f>IF(J222&lt;=1090,0)</f>
        <v>0</v>
      </c>
      <c r="W392" s="521"/>
    </row>
    <row r="393" spans="22:23" ht="15" x14ac:dyDescent="0.25">
      <c r="V393" s="531" t="b">
        <f>IF(J222&gt;1090,(IF(J222&lt;=1700,ROUND((((+J222-1090)*19%)*V390),-3),0)),FALSE)</f>
        <v>0</v>
      </c>
      <c r="W393" s="521"/>
    </row>
    <row r="394" spans="22:23" ht="15" x14ac:dyDescent="0.25">
      <c r="V394" s="531" t="b">
        <f>IF(J222&gt;1700,IF(J222&lt;=4100,ROUND((((+J222-1700)*28%+116)*V390),-3),0))</f>
        <v>0</v>
      </c>
      <c r="W394" s="521"/>
    </row>
    <row r="395" spans="22:23" ht="15.75" thickBot="1" x14ac:dyDescent="0.3">
      <c r="V395" s="534">
        <f>IF(J222&gt;4100,ROUND((((+J222-4100)*33%)*V390)+(788*V390),-3),0)</f>
        <v>0</v>
      </c>
      <c r="W395" s="521"/>
    </row>
    <row r="396" spans="22:23" x14ac:dyDescent="0.2">
      <c r="V396" s="537"/>
      <c r="W396" s="521"/>
    </row>
    <row r="397" spans="22:23" ht="13.5" thickBot="1" x14ac:dyDescent="0.25">
      <c r="V397" s="537"/>
      <c r="W397" s="521"/>
    </row>
    <row r="398" spans="22:23" x14ac:dyDescent="0.2">
      <c r="V398" s="1290" t="s">
        <v>179</v>
      </c>
      <c r="W398" s="1291"/>
    </row>
    <row r="399" spans="22:23" ht="13.5" thickBot="1" x14ac:dyDescent="0.25">
      <c r="V399" s="1292">
        <f>IF(V392=0,V392,IF(V393&gt;0,V393,IF(V394&gt;0,V394,IF(V395&gt;0,V395))))</f>
        <v>0</v>
      </c>
      <c r="W399" s="1293"/>
    </row>
    <row r="400" spans="22:23" x14ac:dyDescent="0.2">
      <c r="V400" s="521"/>
      <c r="W400" s="521"/>
    </row>
    <row r="401" spans="22:23" x14ac:dyDescent="0.2">
      <c r="V401" s="521"/>
      <c r="W401" s="521"/>
    </row>
    <row r="402" spans="22:23" x14ac:dyDescent="0.2">
      <c r="V402" s="521"/>
      <c r="W402" s="521"/>
    </row>
    <row r="403" spans="22:23" x14ac:dyDescent="0.2">
      <c r="V403" s="521"/>
      <c r="W403" s="521"/>
    </row>
  </sheetData>
  <sheetProtection algorithmName="SHA-512" hashValue="zDzZyqOOCxjLXD3Mn+titYjg1gHTwI4GJ+5pQXBFnv3DHWDyo7zb8PxSsUdc8dKjfESC5diJEZAqX7Lrs6GFJg==" saltValue="K2/QEa8Af/9VFtB1LHPQYg==" spinCount="100000" sheet="1" objects="1" scenarios="1"/>
  <mergeCells count="238">
    <mergeCell ref="B50:E50"/>
    <mergeCell ref="B49:E49"/>
    <mergeCell ref="H48:J48"/>
    <mergeCell ref="B48:E48"/>
    <mergeCell ref="A48:A50"/>
    <mergeCell ref="K43:L43"/>
    <mergeCell ref="N43:P43"/>
    <mergeCell ref="S43:U43"/>
    <mergeCell ref="E43:F43"/>
    <mergeCell ref="L24:P24"/>
    <mergeCell ref="L25:P25"/>
    <mergeCell ref="M37:Q37"/>
    <mergeCell ref="M38:Q38"/>
    <mergeCell ref="M39:Q39"/>
    <mergeCell ref="M40:Q40"/>
    <mergeCell ref="M41:Q41"/>
    <mergeCell ref="M42:Q42"/>
    <mergeCell ref="S35:U35"/>
    <mergeCell ref="S36:U36"/>
    <mergeCell ref="S37:U37"/>
    <mergeCell ref="S38:U38"/>
    <mergeCell ref="S39:U39"/>
    <mergeCell ref="S40:U40"/>
    <mergeCell ref="S41:U41"/>
    <mergeCell ref="S42:U42"/>
    <mergeCell ref="N32:Q32"/>
    <mergeCell ref="N33:O33"/>
    <mergeCell ref="M33:M34"/>
    <mergeCell ref="M35:Q35"/>
    <mergeCell ref="N34:O34"/>
    <mergeCell ref="R33:S33"/>
    <mergeCell ref="R34:S34"/>
    <mergeCell ref="S25:U25"/>
    <mergeCell ref="S14:U14"/>
    <mergeCell ref="S15:U15"/>
    <mergeCell ref="S16:U16"/>
    <mergeCell ref="S17:U17"/>
    <mergeCell ref="S19:U19"/>
    <mergeCell ref="S20:U20"/>
    <mergeCell ref="S21:U21"/>
    <mergeCell ref="S22:U22"/>
    <mergeCell ref="S24:U24"/>
    <mergeCell ref="S18:U18"/>
    <mergeCell ref="S6:U6"/>
    <mergeCell ref="S7:U7"/>
    <mergeCell ref="S8:U8"/>
    <mergeCell ref="S9:U9"/>
    <mergeCell ref="S10:U10"/>
    <mergeCell ref="S4:U4"/>
    <mergeCell ref="S11:U11"/>
    <mergeCell ref="S12:U12"/>
    <mergeCell ref="S13:U13"/>
    <mergeCell ref="R5:U5"/>
    <mergeCell ref="S27:U27"/>
    <mergeCell ref="S28:U28"/>
    <mergeCell ref="S29:U29"/>
    <mergeCell ref="S30:U30"/>
    <mergeCell ref="S31:U31"/>
    <mergeCell ref="S32:U32"/>
    <mergeCell ref="S26:U26"/>
    <mergeCell ref="N27:Q27"/>
    <mergeCell ref="N28:Q28"/>
    <mergeCell ref="N29:Q29"/>
    <mergeCell ref="N30:Q30"/>
    <mergeCell ref="N31:Q31"/>
    <mergeCell ref="N7:Q7"/>
    <mergeCell ref="N8:Q8"/>
    <mergeCell ref="N9:Q9"/>
    <mergeCell ref="N10:Q10"/>
    <mergeCell ref="N11:Q11"/>
    <mergeCell ref="N12:Q12"/>
    <mergeCell ref="N13:Q13"/>
    <mergeCell ref="N14:Q14"/>
    <mergeCell ref="N15:Q15"/>
    <mergeCell ref="M5:Q5"/>
    <mergeCell ref="F5:H5"/>
    <mergeCell ref="G6:H6"/>
    <mergeCell ref="B18:E18"/>
    <mergeCell ref="B19:E19"/>
    <mergeCell ref="B20:E20"/>
    <mergeCell ref="B21:E21"/>
    <mergeCell ref="B22:E22"/>
    <mergeCell ref="G12:H12"/>
    <mergeCell ref="G13:H13"/>
    <mergeCell ref="G14:H14"/>
    <mergeCell ref="G15:H15"/>
    <mergeCell ref="G16:H16"/>
    <mergeCell ref="G17:H17"/>
    <mergeCell ref="B12:B14"/>
    <mergeCell ref="C12:E12"/>
    <mergeCell ref="C13:E13"/>
    <mergeCell ref="C14:E14"/>
    <mergeCell ref="B15:B17"/>
    <mergeCell ref="C15:E15"/>
    <mergeCell ref="C16:E16"/>
    <mergeCell ref="C17:E17"/>
    <mergeCell ref="N6:Q6"/>
    <mergeCell ref="J22:L22"/>
    <mergeCell ref="Z272:AA272"/>
    <mergeCell ref="C81:E81"/>
    <mergeCell ref="W259:X259"/>
    <mergeCell ref="V399:W399"/>
    <mergeCell ref="J222:R222"/>
    <mergeCell ref="M4:Q4"/>
    <mergeCell ref="B6:E6"/>
    <mergeCell ref="B7:E7"/>
    <mergeCell ref="B8:E8"/>
    <mergeCell ref="B9:E9"/>
    <mergeCell ref="I94:J94"/>
    <mergeCell ref="E144:F144"/>
    <mergeCell ref="E157:F157"/>
    <mergeCell ref="E164:F164"/>
    <mergeCell ref="E165:F165"/>
    <mergeCell ref="V398:W398"/>
    <mergeCell ref="B87:E87"/>
    <mergeCell ref="I87:J87"/>
    <mergeCell ref="B88:E88"/>
    <mergeCell ref="I89:J89"/>
    <mergeCell ref="I92:J92"/>
    <mergeCell ref="I93:J93"/>
    <mergeCell ref="B82:E82"/>
    <mergeCell ref="C68:E68"/>
    <mergeCell ref="C69:E69"/>
    <mergeCell ref="B70:B81"/>
    <mergeCell ref="W266:X266"/>
    <mergeCell ref="W267:X267"/>
    <mergeCell ref="C76:E76"/>
    <mergeCell ref="C77:E77"/>
    <mergeCell ref="B85:E85"/>
    <mergeCell ref="B86:E86"/>
    <mergeCell ref="I86:J86"/>
    <mergeCell ref="C78:E78"/>
    <mergeCell ref="C79:E79"/>
    <mergeCell ref="C80:E80"/>
    <mergeCell ref="B83:E83"/>
    <mergeCell ref="B84:E84"/>
    <mergeCell ref="I84:J84"/>
    <mergeCell ref="M36:Q36"/>
    <mergeCell ref="A51:A88"/>
    <mergeCell ref="B51:B57"/>
    <mergeCell ref="C51:E51"/>
    <mergeCell ref="C52:E52"/>
    <mergeCell ref="C53:E53"/>
    <mergeCell ref="C54:E54"/>
    <mergeCell ref="A31:A37"/>
    <mergeCell ref="B42:H42"/>
    <mergeCell ref="C55:E55"/>
    <mergeCell ref="C56:E56"/>
    <mergeCell ref="C57:E57"/>
    <mergeCell ref="B58:B69"/>
    <mergeCell ref="C64:E64"/>
    <mergeCell ref="C65:E65"/>
    <mergeCell ref="C66:E66"/>
    <mergeCell ref="H66:H96"/>
    <mergeCell ref="C67:E67"/>
    <mergeCell ref="A38:A42"/>
    <mergeCell ref="A43:C43"/>
    <mergeCell ref="G43:H43"/>
    <mergeCell ref="B35:H35"/>
    <mergeCell ref="B36:H36"/>
    <mergeCell ref="B37:H37"/>
    <mergeCell ref="B1:H1"/>
    <mergeCell ref="I1:U2"/>
    <mergeCell ref="B2:H2"/>
    <mergeCell ref="B3:U3"/>
    <mergeCell ref="A26:A30"/>
    <mergeCell ref="G18:H18"/>
    <mergeCell ref="G22:H22"/>
    <mergeCell ref="B23:I23"/>
    <mergeCell ref="J23:U23"/>
    <mergeCell ref="A5:A25"/>
    <mergeCell ref="I5:L5"/>
    <mergeCell ref="J4:L4"/>
    <mergeCell ref="J6:L6"/>
    <mergeCell ref="J8:L8"/>
    <mergeCell ref="J9:L9"/>
    <mergeCell ref="J10:L10"/>
    <mergeCell ref="J11:L11"/>
    <mergeCell ref="J12:L12"/>
    <mergeCell ref="M27:M32"/>
    <mergeCell ref="J26:K26"/>
    <mergeCell ref="L26:Q26"/>
    <mergeCell ref="J13:L13"/>
    <mergeCell ref="J14:L14"/>
    <mergeCell ref="J15:L15"/>
    <mergeCell ref="J16:L16"/>
    <mergeCell ref="J17:L17"/>
    <mergeCell ref="J18:L18"/>
    <mergeCell ref="J19:L19"/>
    <mergeCell ref="J20:L20"/>
    <mergeCell ref="J21:L21"/>
    <mergeCell ref="N16:Q16"/>
    <mergeCell ref="N17:Q17"/>
    <mergeCell ref="N18:Q18"/>
    <mergeCell ref="N19:Q19"/>
    <mergeCell ref="N20:Q20"/>
    <mergeCell ref="N21:Q21"/>
    <mergeCell ref="N22:Q22"/>
    <mergeCell ref="B30:H30"/>
    <mergeCell ref="B31:H31"/>
    <mergeCell ref="B32:H32"/>
    <mergeCell ref="B33:H33"/>
    <mergeCell ref="B34:H34"/>
    <mergeCell ref="H24:I24"/>
    <mergeCell ref="H25:I25"/>
    <mergeCell ref="A4:D4"/>
    <mergeCell ref="B24:C24"/>
    <mergeCell ref="B25:C25"/>
    <mergeCell ref="G8:H8"/>
    <mergeCell ref="G10:H10"/>
    <mergeCell ref="B10:E10"/>
    <mergeCell ref="B11:E11"/>
    <mergeCell ref="B5:E5"/>
    <mergeCell ref="B26:H26"/>
    <mergeCell ref="L27:L42"/>
    <mergeCell ref="J36:K36"/>
    <mergeCell ref="J37:K37"/>
    <mergeCell ref="J38:K38"/>
    <mergeCell ref="J39:K39"/>
    <mergeCell ref="J40:K40"/>
    <mergeCell ref="J41:K41"/>
    <mergeCell ref="J42:K42"/>
    <mergeCell ref="B38:H38"/>
    <mergeCell ref="B39:H39"/>
    <mergeCell ref="B40:H40"/>
    <mergeCell ref="B41:H41"/>
    <mergeCell ref="J27:K27"/>
    <mergeCell ref="J28:K28"/>
    <mergeCell ref="J29:K29"/>
    <mergeCell ref="J30:K30"/>
    <mergeCell ref="J31:K31"/>
    <mergeCell ref="J32:K32"/>
    <mergeCell ref="J33:K33"/>
    <mergeCell ref="J34:K34"/>
    <mergeCell ref="J35:K35"/>
    <mergeCell ref="B27:H27"/>
    <mergeCell ref="B28:H28"/>
    <mergeCell ref="B29:H29"/>
  </mergeCells>
  <pageMargins left="3.937007874015748E-2" right="3.937007874015748E-2" top="0.19685039370078741" bottom="0.15748031496062992" header="0.31496062992125984" footer="0.31496062992125984"/>
  <pageSetup scale="67" orientation="portrait" verticalDpi="4294967293" r:id="rId1"/>
  <ignoredErrors>
    <ignoredError sqref="J8:J9 J13:J14 J18" formula="1"/>
    <ignoredError sqref="S25" unlockedFormula="1"/>
  </ignoredError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FF0000"/>
  </sheetPr>
  <dimension ref="A1:J142"/>
  <sheetViews>
    <sheetView view="pageBreakPreview" topLeftCell="A28" zoomScale="115" zoomScaleNormal="100" zoomScaleSheetLayoutView="115" workbookViewId="0">
      <selection activeCell="E37" sqref="E37:E41"/>
    </sheetView>
  </sheetViews>
  <sheetFormatPr baseColWidth="10" defaultRowHeight="12.75" x14ac:dyDescent="0.2"/>
  <cols>
    <col min="1" max="1" width="2.7109375" style="153" customWidth="1"/>
    <col min="2" max="2" width="35.140625" style="153" customWidth="1"/>
    <col min="3" max="3" width="17.5703125" style="153" customWidth="1"/>
    <col min="4" max="4" width="15.85546875" style="153" customWidth="1"/>
    <col min="5" max="5" width="16.5703125" style="153" customWidth="1"/>
    <col min="6" max="6" width="18" style="153" customWidth="1"/>
    <col min="7" max="9" width="0.140625" style="153" hidden="1" customWidth="1"/>
    <col min="10" max="10" width="11.42578125" style="153" hidden="1" customWidth="1"/>
    <col min="11" max="16384" width="11.42578125" style="153"/>
  </cols>
  <sheetData>
    <row r="1" spans="1:7" x14ac:dyDescent="0.2">
      <c r="A1" s="1786" t="s">
        <v>339</v>
      </c>
      <c r="B1" s="1786"/>
      <c r="C1" s="1786"/>
      <c r="D1" s="1786"/>
      <c r="E1" s="1786"/>
      <c r="F1" s="1786"/>
    </row>
    <row r="2" spans="1:7" ht="13.5" thickBot="1" x14ac:dyDescent="0.25">
      <c r="A2" s="1787"/>
      <c r="B2" s="1787"/>
      <c r="C2" s="1787"/>
      <c r="D2" s="1787"/>
      <c r="E2" s="1787"/>
      <c r="F2" s="1787"/>
    </row>
    <row r="3" spans="1:7" ht="16.5" customHeight="1" x14ac:dyDescent="0.2">
      <c r="A3" s="1829" t="s">
        <v>740</v>
      </c>
      <c r="B3" s="1830"/>
      <c r="C3" s="1830"/>
      <c r="D3" s="1830"/>
      <c r="E3" s="1830"/>
      <c r="F3" s="184">
        <f>+E4+E5+E12</f>
        <v>0</v>
      </c>
    </row>
    <row r="4" spans="1:7" ht="19.5" customHeight="1" x14ac:dyDescent="0.2">
      <c r="A4" s="1853"/>
      <c r="B4" s="1831" t="s">
        <v>230</v>
      </c>
      <c r="C4" s="1832"/>
      <c r="D4" s="1833"/>
      <c r="E4" s="154"/>
      <c r="F4" s="1828"/>
    </row>
    <row r="5" spans="1:7" ht="19.5" customHeight="1" x14ac:dyDescent="0.2">
      <c r="A5" s="1853"/>
      <c r="B5" s="1820" t="s">
        <v>231</v>
      </c>
      <c r="C5" s="1820"/>
      <c r="D5" s="1820"/>
      <c r="E5" s="185">
        <f>SUM(D7:D11)</f>
        <v>0</v>
      </c>
      <c r="F5" s="1828"/>
    </row>
    <row r="6" spans="1:7" ht="16.5" customHeight="1" x14ac:dyDescent="0.2">
      <c r="A6" s="1853"/>
      <c r="B6" s="186" t="s">
        <v>234</v>
      </c>
      <c r="C6" s="187" t="s">
        <v>235</v>
      </c>
      <c r="D6" s="187" t="s">
        <v>36</v>
      </c>
      <c r="E6" s="1854"/>
      <c r="F6" s="1828"/>
    </row>
    <row r="7" spans="1:7" ht="16.5" customHeight="1" x14ac:dyDescent="0.2">
      <c r="A7" s="1853"/>
      <c r="B7" s="155"/>
      <c r="C7" s="155"/>
      <c r="D7" s="161"/>
      <c r="E7" s="1854"/>
      <c r="F7" s="1828"/>
    </row>
    <row r="8" spans="1:7" ht="15" customHeight="1" x14ac:dyDescent="0.2">
      <c r="A8" s="1853"/>
      <c r="B8" s="155"/>
      <c r="C8" s="155"/>
      <c r="D8" s="161"/>
      <c r="E8" s="1854"/>
      <c r="F8" s="1828"/>
    </row>
    <row r="9" spans="1:7" ht="15" customHeight="1" x14ac:dyDescent="0.2">
      <c r="A9" s="1853"/>
      <c r="B9" s="155"/>
      <c r="C9" s="155"/>
      <c r="D9" s="161"/>
      <c r="E9" s="1854"/>
      <c r="F9" s="1828"/>
    </row>
    <row r="10" spans="1:7" ht="15" customHeight="1" x14ac:dyDescent="0.2">
      <c r="A10" s="1853"/>
      <c r="B10" s="155"/>
      <c r="C10" s="155"/>
      <c r="D10" s="161"/>
      <c r="E10" s="1854"/>
      <c r="F10" s="1828"/>
    </row>
    <row r="11" spans="1:7" ht="15" customHeight="1" x14ac:dyDescent="0.2">
      <c r="A11" s="1853"/>
      <c r="B11" s="155"/>
      <c r="C11" s="155"/>
      <c r="D11" s="156"/>
      <c r="E11" s="1854"/>
      <c r="F11" s="1828"/>
      <c r="G11" s="157" t="s">
        <v>270</v>
      </c>
    </row>
    <row r="12" spans="1:7" ht="24" customHeight="1" x14ac:dyDescent="0.2">
      <c r="A12" s="1853"/>
      <c r="B12" s="1820" t="s">
        <v>271</v>
      </c>
      <c r="C12" s="1820"/>
      <c r="D12" s="1820"/>
      <c r="E12" s="189">
        <f>SUM(D14:D18)</f>
        <v>0</v>
      </c>
      <c r="F12" s="1828"/>
      <c r="G12" s="157" t="s">
        <v>269</v>
      </c>
    </row>
    <row r="13" spans="1:7" ht="21" customHeight="1" x14ac:dyDescent="0.2">
      <c r="A13" s="1853"/>
      <c r="B13" s="186" t="s">
        <v>234</v>
      </c>
      <c r="C13" s="187" t="s">
        <v>235</v>
      </c>
      <c r="D13" s="187" t="s">
        <v>36</v>
      </c>
      <c r="E13" s="1854"/>
      <c r="F13" s="1828"/>
      <c r="G13" s="157" t="s">
        <v>268</v>
      </c>
    </row>
    <row r="14" spans="1:7" ht="16.5" customHeight="1" x14ac:dyDescent="0.2">
      <c r="A14" s="1853"/>
      <c r="B14" s="155"/>
      <c r="C14" s="155"/>
      <c r="D14" s="156"/>
      <c r="E14" s="1854"/>
      <c r="F14" s="1828"/>
      <c r="G14" s="158" t="s">
        <v>232</v>
      </c>
    </row>
    <row r="15" spans="1:7" ht="16.5" customHeight="1" x14ac:dyDescent="0.2">
      <c r="A15" s="1853"/>
      <c r="B15" s="155"/>
      <c r="C15" s="155"/>
      <c r="D15" s="156"/>
      <c r="E15" s="1854"/>
      <c r="F15" s="1828"/>
      <c r="G15" s="159" t="s">
        <v>236</v>
      </c>
    </row>
    <row r="16" spans="1:7" ht="16.5" customHeight="1" x14ac:dyDescent="0.2">
      <c r="A16" s="1853"/>
      <c r="B16" s="155"/>
      <c r="C16" s="155"/>
      <c r="D16" s="156"/>
      <c r="E16" s="1854"/>
      <c r="F16" s="1828"/>
      <c r="G16" s="159" t="s">
        <v>237</v>
      </c>
    </row>
    <row r="17" spans="1:7" ht="16.5" customHeight="1" x14ac:dyDescent="0.2">
      <c r="A17" s="1853"/>
      <c r="B17" s="155"/>
      <c r="C17" s="155"/>
      <c r="D17" s="156"/>
      <c r="E17" s="1854"/>
      <c r="F17" s="1828"/>
      <c r="G17" s="159"/>
    </row>
    <row r="18" spans="1:7" ht="16.5" customHeight="1" x14ac:dyDescent="0.2">
      <c r="A18" s="1853"/>
      <c r="B18" s="155"/>
      <c r="C18" s="155"/>
      <c r="D18" s="156"/>
      <c r="E18" s="1854"/>
      <c r="F18" s="1828"/>
      <c r="G18" s="160" t="s">
        <v>238</v>
      </c>
    </row>
    <row r="19" spans="1:7" ht="19.5" customHeight="1" x14ac:dyDescent="0.2">
      <c r="A19" s="1834"/>
      <c r="B19" s="1835"/>
      <c r="C19" s="1835"/>
      <c r="D19" s="1835"/>
      <c r="E19" s="1835"/>
      <c r="F19" s="1836"/>
      <c r="G19" s="159" t="s">
        <v>239</v>
      </c>
    </row>
    <row r="20" spans="1:7" ht="20.25" customHeight="1" x14ac:dyDescent="0.2">
      <c r="A20" s="1842" t="s">
        <v>272</v>
      </c>
      <c r="B20" s="1789"/>
      <c r="C20" s="1789"/>
      <c r="D20" s="1789"/>
      <c r="E20" s="1789"/>
      <c r="F20" s="190">
        <f>SUM(E21:E25)</f>
        <v>5529650</v>
      </c>
      <c r="G20" s="158" t="s">
        <v>240</v>
      </c>
    </row>
    <row r="21" spans="1:7" ht="16.5" customHeight="1" x14ac:dyDescent="0.2">
      <c r="A21" s="1853"/>
      <c r="B21" s="1820" t="s">
        <v>799</v>
      </c>
      <c r="C21" s="1820"/>
      <c r="D21" s="1820"/>
      <c r="E21" s="161">
        <f>IF('FORMULARIO 2018 RENTA CEDULAR'!J38&gt;0,'FORMULARIO 2018 RENTA CEDULAR'!J38,0)</f>
        <v>0</v>
      </c>
      <c r="F21" s="1848"/>
      <c r="G21" s="160" t="s">
        <v>241</v>
      </c>
    </row>
    <row r="22" spans="1:7" ht="16.5" customHeight="1" x14ac:dyDescent="0.2">
      <c r="A22" s="1853"/>
      <c r="B22" s="1820" t="s">
        <v>800</v>
      </c>
      <c r="C22" s="1820"/>
      <c r="D22" s="1820"/>
      <c r="E22" s="161">
        <f>IF('FORMULARIO 2018 RENTA CEDULAR'!J42&gt;0,'FORMULARIO 2018 RENTA CEDULAR'!J42,0)</f>
        <v>5529650</v>
      </c>
      <c r="F22" s="1848"/>
      <c r="G22" s="160" t="s">
        <v>242</v>
      </c>
    </row>
    <row r="23" spans="1:7" ht="16.5" customHeight="1" x14ac:dyDescent="0.2">
      <c r="A23" s="1853"/>
      <c r="B23" s="1820" t="s">
        <v>801</v>
      </c>
      <c r="C23" s="1820"/>
      <c r="D23" s="1820"/>
      <c r="E23" s="161"/>
      <c r="F23" s="1848"/>
      <c r="G23" s="160"/>
    </row>
    <row r="24" spans="1:7" ht="16.5" customHeight="1" x14ac:dyDescent="0.2">
      <c r="A24" s="1853"/>
      <c r="B24" s="1820" t="s">
        <v>273</v>
      </c>
      <c r="C24" s="1820"/>
      <c r="D24" s="1820"/>
      <c r="E24" s="161"/>
      <c r="F24" s="1848"/>
      <c r="G24" s="159" t="s">
        <v>243</v>
      </c>
    </row>
    <row r="25" spans="1:7" ht="16.5" customHeight="1" x14ac:dyDescent="0.2">
      <c r="A25" s="1853"/>
      <c r="B25" s="1820" t="s">
        <v>274</v>
      </c>
      <c r="C25" s="1820"/>
      <c r="D25" s="1820"/>
      <c r="E25" s="161"/>
      <c r="F25" s="1848"/>
      <c r="G25" s="160" t="s">
        <v>244</v>
      </c>
    </row>
    <row r="26" spans="1:7" ht="20.25" customHeight="1" x14ac:dyDescent="0.2">
      <c r="A26" s="1845"/>
      <c r="B26" s="1846"/>
      <c r="C26" s="1846"/>
      <c r="D26" s="1846"/>
      <c r="E26" s="1846"/>
      <c r="F26" s="1847"/>
      <c r="G26" s="159" t="s">
        <v>245</v>
      </c>
    </row>
    <row r="27" spans="1:7" ht="17.25" customHeight="1" x14ac:dyDescent="0.2">
      <c r="A27" s="1842" t="s">
        <v>275</v>
      </c>
      <c r="B27" s="1789"/>
      <c r="C27" s="1789"/>
      <c r="D27" s="1789"/>
      <c r="E27" s="1789"/>
      <c r="F27" s="190">
        <f>SUM(E28:E33)</f>
        <v>26733343</v>
      </c>
      <c r="G27" s="159" t="s">
        <v>246</v>
      </c>
    </row>
    <row r="28" spans="1:7" ht="19.5" customHeight="1" x14ac:dyDescent="0.2">
      <c r="A28" s="1853"/>
      <c r="B28" s="1843" t="s">
        <v>276</v>
      </c>
      <c r="C28" s="1843"/>
      <c r="D28" s="162" t="s">
        <v>46</v>
      </c>
      <c r="E28" s="161">
        <v>3288899</v>
      </c>
      <c r="F28" s="1848"/>
      <c r="G28" s="159" t="s">
        <v>247</v>
      </c>
    </row>
    <row r="29" spans="1:7" ht="19.5" customHeight="1" x14ac:dyDescent="0.2">
      <c r="A29" s="1853"/>
      <c r="B29" s="1843" t="s">
        <v>277</v>
      </c>
      <c r="C29" s="1843"/>
      <c r="D29" s="1843"/>
      <c r="E29" s="161"/>
      <c r="F29" s="1848"/>
      <c r="G29" s="159" t="s">
        <v>248</v>
      </c>
    </row>
    <row r="30" spans="1:7" ht="19.5" customHeight="1" x14ac:dyDescent="0.2">
      <c r="A30" s="1853"/>
      <c r="B30" s="1852" t="s">
        <v>278</v>
      </c>
      <c r="C30" s="1852"/>
      <c r="D30" s="162" t="s">
        <v>46</v>
      </c>
      <c r="E30" s="161">
        <v>23444444</v>
      </c>
      <c r="F30" s="1848"/>
      <c r="G30" s="159" t="s">
        <v>249</v>
      </c>
    </row>
    <row r="31" spans="1:7" ht="19.5" customHeight="1" x14ac:dyDescent="0.2">
      <c r="A31" s="1853"/>
      <c r="B31" s="1820" t="s">
        <v>279</v>
      </c>
      <c r="C31" s="1820"/>
      <c r="D31" s="1820"/>
      <c r="E31" s="161"/>
      <c r="F31" s="1848"/>
      <c r="G31" s="159" t="s">
        <v>250</v>
      </c>
    </row>
    <row r="32" spans="1:7" ht="19.5" customHeight="1" x14ac:dyDescent="0.2">
      <c r="A32" s="1853"/>
      <c r="B32" s="1820" t="s">
        <v>649</v>
      </c>
      <c r="C32" s="1820"/>
      <c r="D32" s="1820"/>
      <c r="E32" s="161"/>
      <c r="F32" s="1848"/>
      <c r="G32" s="163"/>
    </row>
    <row r="33" spans="1:7" ht="19.5" customHeight="1" x14ac:dyDescent="0.2">
      <c r="A33" s="1853"/>
      <c r="B33" s="1843" t="s">
        <v>280</v>
      </c>
      <c r="C33" s="1844"/>
      <c r="D33" s="1844"/>
      <c r="E33" s="161"/>
      <c r="F33" s="1848"/>
      <c r="G33" s="163" t="s">
        <v>251</v>
      </c>
    </row>
    <row r="34" spans="1:7" ht="19.5" customHeight="1" x14ac:dyDescent="0.2">
      <c r="A34" s="1849"/>
      <c r="B34" s="1850"/>
      <c r="C34" s="1850"/>
      <c r="D34" s="1850"/>
      <c r="E34" s="1850"/>
      <c r="F34" s="1851"/>
      <c r="G34" s="164" t="s">
        <v>252</v>
      </c>
    </row>
    <row r="35" spans="1:7" ht="17.25" customHeight="1" x14ac:dyDescent="0.2">
      <c r="A35" s="1842" t="s">
        <v>281</v>
      </c>
      <c r="B35" s="1789"/>
      <c r="C35" s="1789"/>
      <c r="D35" s="1789"/>
      <c r="E35" s="1789"/>
      <c r="F35" s="190">
        <f>SUM(E36:E46)</f>
        <v>0</v>
      </c>
      <c r="G35" s="165" t="s">
        <v>253</v>
      </c>
    </row>
    <row r="36" spans="1:7" ht="16.5" customHeight="1" x14ac:dyDescent="0.2">
      <c r="A36" s="1840"/>
      <c r="B36" s="1843" t="s">
        <v>282</v>
      </c>
      <c r="C36" s="1844"/>
      <c r="D36" s="1844"/>
      <c r="E36" s="191">
        <f>SUM(D37:D41)</f>
        <v>0</v>
      </c>
      <c r="F36" s="1841"/>
      <c r="G36" s="164" t="s">
        <v>254</v>
      </c>
    </row>
    <row r="37" spans="1:7" ht="14.25" customHeight="1" x14ac:dyDescent="0.2">
      <c r="A37" s="1819"/>
      <c r="B37" s="1826" t="s">
        <v>283</v>
      </c>
      <c r="C37" s="1826"/>
      <c r="D37" s="161"/>
      <c r="E37" s="1791"/>
      <c r="F37" s="1818"/>
      <c r="G37" s="165" t="s">
        <v>255</v>
      </c>
    </row>
    <row r="38" spans="1:7" ht="14.25" customHeight="1" x14ac:dyDescent="0.2">
      <c r="A38" s="1819"/>
      <c r="B38" s="1826" t="s">
        <v>284</v>
      </c>
      <c r="C38" s="1826"/>
      <c r="D38" s="161"/>
      <c r="E38" s="1778"/>
      <c r="F38" s="1818"/>
      <c r="G38" s="166" t="s">
        <v>256</v>
      </c>
    </row>
    <row r="39" spans="1:7" ht="14.25" customHeight="1" x14ac:dyDescent="0.2">
      <c r="A39" s="1819"/>
      <c r="B39" s="1826" t="s">
        <v>285</v>
      </c>
      <c r="C39" s="1826"/>
      <c r="D39" s="161"/>
      <c r="E39" s="1778"/>
      <c r="F39" s="1818"/>
      <c r="G39" s="167" t="s">
        <v>233</v>
      </c>
    </row>
    <row r="40" spans="1:7" ht="14.25" customHeight="1" x14ac:dyDescent="0.2">
      <c r="A40" s="1819"/>
      <c r="B40" s="1826" t="s">
        <v>286</v>
      </c>
      <c r="C40" s="1826"/>
      <c r="D40" s="161"/>
      <c r="E40" s="1778"/>
      <c r="F40" s="1818"/>
      <c r="G40" s="160" t="s">
        <v>257</v>
      </c>
    </row>
    <row r="41" spans="1:7" ht="15.75" customHeight="1" x14ac:dyDescent="0.2">
      <c r="A41" s="1819"/>
      <c r="B41" s="1827" t="s">
        <v>287</v>
      </c>
      <c r="C41" s="1827"/>
      <c r="D41" s="168"/>
      <c r="E41" s="1778"/>
      <c r="F41" s="1818"/>
      <c r="G41" s="159" t="s">
        <v>258</v>
      </c>
    </row>
    <row r="42" spans="1:7" ht="16.5" customHeight="1" x14ac:dyDescent="0.2">
      <c r="A42" s="1819"/>
      <c r="B42" s="1820" t="s">
        <v>288</v>
      </c>
      <c r="C42" s="1820"/>
      <c r="D42" s="1820"/>
      <c r="E42" s="155"/>
      <c r="F42" s="1818"/>
      <c r="G42" s="164" t="s">
        <v>259</v>
      </c>
    </row>
    <row r="43" spans="1:7" ht="16.5" customHeight="1" x14ac:dyDescent="0.2">
      <c r="A43" s="1819"/>
      <c r="B43" s="1820" t="s">
        <v>289</v>
      </c>
      <c r="C43" s="1820"/>
      <c r="D43" s="1820"/>
      <c r="E43" s="155"/>
      <c r="F43" s="1818"/>
      <c r="G43" s="164" t="s">
        <v>260</v>
      </c>
    </row>
    <row r="44" spans="1:7" ht="16.5" customHeight="1" x14ac:dyDescent="0.2">
      <c r="A44" s="1819"/>
      <c r="B44" s="1820" t="s">
        <v>290</v>
      </c>
      <c r="C44" s="1820"/>
      <c r="D44" s="1820"/>
      <c r="E44" s="155"/>
      <c r="F44" s="1818"/>
      <c r="G44" s="169" t="s">
        <v>261</v>
      </c>
    </row>
    <row r="45" spans="1:7" ht="16.5" customHeight="1" x14ac:dyDescent="0.2">
      <c r="A45" s="1819"/>
      <c r="B45" s="1820" t="s">
        <v>291</v>
      </c>
      <c r="C45" s="1820"/>
      <c r="D45" s="1820"/>
      <c r="E45" s="155"/>
      <c r="F45" s="1818"/>
      <c r="G45" s="170" t="s">
        <v>262</v>
      </c>
    </row>
    <row r="46" spans="1:7" ht="16.5" customHeight="1" x14ac:dyDescent="0.2">
      <c r="A46" s="1819"/>
      <c r="B46" s="1820" t="s">
        <v>292</v>
      </c>
      <c r="C46" s="1820"/>
      <c r="D46" s="1820"/>
      <c r="E46" s="155"/>
      <c r="F46" s="1818"/>
      <c r="G46" s="171" t="s">
        <v>263</v>
      </c>
    </row>
    <row r="47" spans="1:7" ht="20.25" customHeight="1" thickBot="1" x14ac:dyDescent="0.25">
      <c r="A47" s="1837"/>
      <c r="B47" s="1838"/>
      <c r="C47" s="1838"/>
      <c r="D47" s="1838"/>
      <c r="E47" s="1838"/>
      <c r="F47" s="1839"/>
      <c r="G47" s="171" t="s">
        <v>264</v>
      </c>
    </row>
    <row r="48" spans="1:7" ht="21.75" customHeight="1" x14ac:dyDescent="0.2">
      <c r="A48" s="1816" t="s">
        <v>293</v>
      </c>
      <c r="B48" s="1817"/>
      <c r="C48" s="1817"/>
      <c r="D48" s="1817"/>
      <c r="E48" s="1817"/>
      <c r="F48" s="192">
        <f>+F49+F58+F67+F76</f>
        <v>0</v>
      </c>
      <c r="G48" s="171" t="s">
        <v>265</v>
      </c>
    </row>
    <row r="49" spans="1:7" ht="20.25" customHeight="1" x14ac:dyDescent="0.2">
      <c r="A49" s="1819"/>
      <c r="B49" s="194" t="s">
        <v>299</v>
      </c>
      <c r="C49" s="1821"/>
      <c r="D49" s="1822"/>
      <c r="E49" s="1823"/>
      <c r="F49" s="193">
        <f>SUM(E51:E56)</f>
        <v>0</v>
      </c>
      <c r="G49" s="172" t="s">
        <v>266</v>
      </c>
    </row>
    <row r="50" spans="1:7" ht="21" customHeight="1" x14ac:dyDescent="0.2">
      <c r="A50" s="1819"/>
      <c r="B50" s="195" t="s">
        <v>304</v>
      </c>
      <c r="C50" s="197" t="s">
        <v>301</v>
      </c>
      <c r="D50" s="195" t="s">
        <v>302</v>
      </c>
      <c r="E50" s="195" t="s">
        <v>303</v>
      </c>
      <c r="F50" s="1794"/>
      <c r="G50" s="172" t="s">
        <v>267</v>
      </c>
    </row>
    <row r="51" spans="1:7" s="174" customFormat="1" ht="15.75" customHeight="1" x14ac:dyDescent="0.2">
      <c r="A51" s="1819"/>
      <c r="B51" s="196" t="s">
        <v>305</v>
      </c>
      <c r="C51" s="173"/>
      <c r="D51" s="718"/>
      <c r="E51" s="177"/>
      <c r="F51" s="1794"/>
    </row>
    <row r="52" spans="1:7" s="174" customFormat="1" ht="15.75" customHeight="1" x14ac:dyDescent="0.2">
      <c r="A52" s="1819"/>
      <c r="B52" s="173" t="s">
        <v>294</v>
      </c>
      <c r="C52" s="173"/>
      <c r="D52" s="718"/>
      <c r="E52" s="177"/>
      <c r="F52" s="1794"/>
      <c r="G52" s="174" t="s">
        <v>294</v>
      </c>
    </row>
    <row r="53" spans="1:7" s="174" customFormat="1" ht="15.75" customHeight="1" x14ac:dyDescent="0.2">
      <c r="A53" s="1819"/>
      <c r="B53" s="173" t="s">
        <v>294</v>
      </c>
      <c r="C53" s="173"/>
      <c r="D53" s="173"/>
      <c r="E53" s="173"/>
      <c r="F53" s="1794"/>
      <c r="G53" s="174" t="s">
        <v>295</v>
      </c>
    </row>
    <row r="54" spans="1:7" s="174" customFormat="1" ht="15.75" customHeight="1" x14ac:dyDescent="0.2">
      <c r="A54" s="1819"/>
      <c r="B54" s="173"/>
      <c r="C54" s="173"/>
      <c r="D54" s="173"/>
      <c r="E54" s="173"/>
      <c r="F54" s="1794"/>
      <c r="G54" s="175" t="s">
        <v>296</v>
      </c>
    </row>
    <row r="55" spans="1:7" s="174" customFormat="1" ht="15.75" customHeight="1" x14ac:dyDescent="0.2">
      <c r="A55" s="1819"/>
      <c r="B55" s="173"/>
      <c r="C55" s="173"/>
      <c r="D55" s="173"/>
      <c r="E55" s="173"/>
      <c r="F55" s="1794"/>
      <c r="G55" s="175" t="s">
        <v>297</v>
      </c>
    </row>
    <row r="56" spans="1:7" s="174" customFormat="1" ht="15.75" customHeight="1" x14ac:dyDescent="0.2">
      <c r="A56" s="1819"/>
      <c r="B56" s="173" t="s">
        <v>317</v>
      </c>
      <c r="C56" s="173"/>
      <c r="D56" s="173"/>
      <c r="E56" s="173"/>
      <c r="F56" s="1794"/>
      <c r="G56" s="175" t="s">
        <v>298</v>
      </c>
    </row>
    <row r="57" spans="1:7" ht="17.25" customHeight="1" x14ac:dyDescent="0.2">
      <c r="A57" s="1792"/>
      <c r="B57" s="1335"/>
      <c r="C57" s="1335"/>
      <c r="D57" s="1335"/>
      <c r="E57" s="1335"/>
      <c r="F57" s="1818"/>
      <c r="G57" s="176" t="s">
        <v>300</v>
      </c>
    </row>
    <row r="58" spans="1:7" ht="18.75" customHeight="1" x14ac:dyDescent="0.2">
      <c r="A58" s="1819"/>
      <c r="B58" s="194" t="s">
        <v>306</v>
      </c>
      <c r="C58" s="1821"/>
      <c r="D58" s="1822"/>
      <c r="E58" s="1823"/>
      <c r="F58" s="193">
        <f>SUM(E60:E65)</f>
        <v>0</v>
      </c>
    </row>
    <row r="59" spans="1:7" ht="22.5" x14ac:dyDescent="0.2">
      <c r="A59" s="1819"/>
      <c r="B59" s="195" t="s">
        <v>304</v>
      </c>
      <c r="C59" s="197" t="s">
        <v>301</v>
      </c>
      <c r="D59" s="195" t="s">
        <v>302</v>
      </c>
      <c r="E59" s="195" t="s">
        <v>303</v>
      </c>
      <c r="F59" s="1794"/>
    </row>
    <row r="60" spans="1:7" s="174" customFormat="1" ht="15" customHeight="1" x14ac:dyDescent="0.2">
      <c r="A60" s="1819"/>
      <c r="B60" s="196" t="s">
        <v>307</v>
      </c>
      <c r="C60" s="173"/>
      <c r="D60" s="173"/>
      <c r="E60" s="177"/>
      <c r="F60" s="1794"/>
    </row>
    <row r="61" spans="1:7" s="174" customFormat="1" ht="15" customHeight="1" x14ac:dyDescent="0.2">
      <c r="A61" s="1819"/>
      <c r="B61" s="196" t="s">
        <v>307</v>
      </c>
      <c r="C61" s="173"/>
      <c r="D61" s="173"/>
      <c r="E61" s="177"/>
      <c r="F61" s="1794"/>
    </row>
    <row r="62" spans="1:7" s="174" customFormat="1" ht="15" customHeight="1" x14ac:dyDescent="0.2">
      <c r="A62" s="1819"/>
      <c r="B62" s="173" t="s">
        <v>298</v>
      </c>
      <c r="C62" s="173"/>
      <c r="D62" s="173"/>
      <c r="E62" s="177"/>
      <c r="F62" s="1794"/>
    </row>
    <row r="63" spans="1:7" s="174" customFormat="1" ht="15" customHeight="1" x14ac:dyDescent="0.2">
      <c r="A63" s="1819"/>
      <c r="B63" s="173" t="s">
        <v>295</v>
      </c>
      <c r="C63" s="173"/>
      <c r="D63" s="173"/>
      <c r="E63" s="177"/>
      <c r="F63" s="1794"/>
    </row>
    <row r="64" spans="1:7" s="174" customFormat="1" ht="15" customHeight="1" x14ac:dyDescent="0.2">
      <c r="A64" s="1819"/>
      <c r="B64" s="173" t="s">
        <v>297</v>
      </c>
      <c r="C64" s="173"/>
      <c r="D64" s="173"/>
      <c r="E64" s="177"/>
      <c r="F64" s="1794"/>
    </row>
    <row r="65" spans="1:7" s="174" customFormat="1" ht="15" customHeight="1" x14ac:dyDescent="0.2">
      <c r="A65" s="1819"/>
      <c r="B65" s="173" t="s">
        <v>404</v>
      </c>
      <c r="C65" s="173"/>
      <c r="D65" s="173"/>
      <c r="E65" s="177"/>
      <c r="F65" s="1794"/>
    </row>
    <row r="66" spans="1:7" ht="18.75" customHeight="1" x14ac:dyDescent="0.2">
      <c r="A66" s="1792"/>
      <c r="B66" s="1335"/>
      <c r="C66" s="1335"/>
      <c r="D66" s="1335"/>
      <c r="E66" s="1335"/>
      <c r="F66" s="1818"/>
    </row>
    <row r="67" spans="1:7" ht="18" customHeight="1" x14ac:dyDescent="0.2">
      <c r="A67" s="1819"/>
      <c r="B67" s="194" t="s">
        <v>318</v>
      </c>
      <c r="C67" s="1821"/>
      <c r="D67" s="1822"/>
      <c r="E67" s="1823"/>
      <c r="F67" s="193">
        <f>SUM(E69:E74)</f>
        <v>0</v>
      </c>
      <c r="G67" s="157" t="s">
        <v>308</v>
      </c>
    </row>
    <row r="68" spans="1:7" ht="17.25" customHeight="1" x14ac:dyDescent="0.2">
      <c r="A68" s="1819"/>
      <c r="B68" s="1775" t="s">
        <v>304</v>
      </c>
      <c r="C68" s="1777"/>
      <c r="D68" s="195" t="s">
        <v>315</v>
      </c>
      <c r="E68" s="195" t="s">
        <v>303</v>
      </c>
      <c r="F68" s="1794"/>
      <c r="G68" s="178" t="s">
        <v>309</v>
      </c>
    </row>
    <row r="69" spans="1:7" ht="16.5" customHeight="1" x14ac:dyDescent="0.2">
      <c r="A69" s="1819"/>
      <c r="B69" s="1798" t="s">
        <v>312</v>
      </c>
      <c r="C69" s="1800"/>
      <c r="D69" s="155">
        <v>0</v>
      </c>
      <c r="E69" s="179"/>
      <c r="F69" s="1794"/>
      <c r="G69" s="157" t="s">
        <v>310</v>
      </c>
    </row>
    <row r="70" spans="1:7" ht="16.5" customHeight="1" x14ac:dyDescent="0.2">
      <c r="A70" s="1819"/>
      <c r="B70" s="1798"/>
      <c r="C70" s="1800"/>
      <c r="D70" s="155">
        <v>0</v>
      </c>
      <c r="E70" s="179"/>
      <c r="F70" s="1794"/>
      <c r="G70" s="157" t="s">
        <v>311</v>
      </c>
    </row>
    <row r="71" spans="1:7" ht="16.5" customHeight="1" x14ac:dyDescent="0.2">
      <c r="A71" s="1819"/>
      <c r="B71" s="1798"/>
      <c r="C71" s="1800"/>
      <c r="D71" s="155"/>
      <c r="E71" s="179"/>
      <c r="F71" s="1794"/>
      <c r="G71" s="157" t="s">
        <v>312</v>
      </c>
    </row>
    <row r="72" spans="1:7" ht="16.5" customHeight="1" x14ac:dyDescent="0.2">
      <c r="A72" s="1819"/>
      <c r="B72" s="1798"/>
      <c r="C72" s="1800"/>
      <c r="D72" s="155"/>
      <c r="E72" s="179"/>
      <c r="F72" s="1794"/>
      <c r="G72" s="157" t="s">
        <v>313</v>
      </c>
    </row>
    <row r="73" spans="1:7" ht="18" customHeight="1" x14ac:dyDescent="0.2">
      <c r="A73" s="1819"/>
      <c r="B73" s="1824" t="s">
        <v>317</v>
      </c>
      <c r="C73" s="1825"/>
      <c r="D73" s="155"/>
      <c r="E73" s="179"/>
      <c r="F73" s="1794"/>
      <c r="G73" s="157" t="s">
        <v>314</v>
      </c>
    </row>
    <row r="74" spans="1:7" ht="18" customHeight="1" x14ac:dyDescent="0.2">
      <c r="A74" s="1819"/>
      <c r="B74" s="1814"/>
      <c r="C74" s="1815"/>
      <c r="D74" s="155"/>
      <c r="E74" s="179"/>
      <c r="F74" s="1794"/>
      <c r="G74" s="157" t="s">
        <v>316</v>
      </c>
    </row>
    <row r="75" spans="1:7" x14ac:dyDescent="0.2">
      <c r="A75" s="1792"/>
      <c r="B75" s="1335"/>
      <c r="C75" s="1335"/>
      <c r="D75" s="1335"/>
      <c r="E75" s="1335"/>
      <c r="F75" s="1818"/>
    </row>
    <row r="76" spans="1:7" ht="18" customHeight="1" x14ac:dyDescent="0.2">
      <c r="A76" s="1819"/>
      <c r="B76" s="1772" t="s">
        <v>319</v>
      </c>
      <c r="C76" s="1773"/>
      <c r="D76" s="1773"/>
      <c r="E76" s="1774"/>
      <c r="F76" s="193">
        <f>SUM(E78:E82)</f>
        <v>0</v>
      </c>
    </row>
    <row r="77" spans="1:7" ht="18" customHeight="1" x14ac:dyDescent="0.2">
      <c r="A77" s="1819"/>
      <c r="B77" s="1775" t="s">
        <v>320</v>
      </c>
      <c r="C77" s="1776"/>
      <c r="D77" s="1777"/>
      <c r="E77" s="195" t="s">
        <v>303</v>
      </c>
      <c r="F77" s="1794"/>
    </row>
    <row r="78" spans="1:7" s="180" customFormat="1" ht="15" customHeight="1" x14ac:dyDescent="0.2">
      <c r="A78" s="1819"/>
      <c r="B78" s="1779" t="s">
        <v>647</v>
      </c>
      <c r="C78" s="1780"/>
      <c r="D78" s="1781"/>
      <c r="E78" s="161"/>
      <c r="F78" s="1794"/>
    </row>
    <row r="79" spans="1:7" s="180" customFormat="1" ht="15" customHeight="1" x14ac:dyDescent="0.2">
      <c r="A79" s="1819"/>
      <c r="B79" s="1779" t="s">
        <v>648</v>
      </c>
      <c r="C79" s="1780"/>
      <c r="D79" s="1781"/>
      <c r="E79" s="161"/>
      <c r="F79" s="1794"/>
    </row>
    <row r="80" spans="1:7" s="180" customFormat="1" ht="15" customHeight="1" x14ac:dyDescent="0.2">
      <c r="A80" s="1819"/>
      <c r="B80" s="1779"/>
      <c r="C80" s="1780"/>
      <c r="D80" s="1781"/>
      <c r="E80" s="161"/>
      <c r="F80" s="1794"/>
    </row>
    <row r="81" spans="1:6" s="180" customFormat="1" ht="15" customHeight="1" x14ac:dyDescent="0.2">
      <c r="A81" s="1819"/>
      <c r="B81" s="1779"/>
      <c r="C81" s="1780"/>
      <c r="D81" s="1781"/>
      <c r="E81" s="161"/>
      <c r="F81" s="1794"/>
    </row>
    <row r="82" spans="1:6" s="180" customFormat="1" ht="15" customHeight="1" x14ac:dyDescent="0.2">
      <c r="A82" s="1819"/>
      <c r="B82" s="1779"/>
      <c r="C82" s="1780"/>
      <c r="D82" s="1781"/>
      <c r="E82" s="161"/>
      <c r="F82" s="1794"/>
    </row>
    <row r="83" spans="1:6" ht="12" customHeight="1" x14ac:dyDescent="0.2">
      <c r="A83" s="1808"/>
      <c r="B83" s="1809"/>
      <c r="C83" s="1809"/>
      <c r="D83" s="1809"/>
      <c r="E83" s="1809"/>
      <c r="F83" s="1810"/>
    </row>
    <row r="84" spans="1:6" ht="16.5" customHeight="1" x14ac:dyDescent="0.2">
      <c r="A84" s="1806" t="s">
        <v>321</v>
      </c>
      <c r="B84" s="1807"/>
      <c r="C84" s="1807"/>
      <c r="D84" s="1807"/>
      <c r="E84" s="1807"/>
      <c r="F84" s="193">
        <f>SUM(E86:E90)</f>
        <v>0</v>
      </c>
    </row>
    <row r="85" spans="1:6" ht="17.25" customHeight="1" x14ac:dyDescent="0.2">
      <c r="A85" s="1792"/>
      <c r="B85" s="1775" t="s">
        <v>320</v>
      </c>
      <c r="C85" s="1776"/>
      <c r="D85" s="1777"/>
      <c r="E85" s="195" t="s">
        <v>303</v>
      </c>
      <c r="F85" s="1794"/>
    </row>
    <row r="86" spans="1:6" ht="17.25" customHeight="1" x14ac:dyDescent="0.2">
      <c r="A86" s="1792"/>
      <c r="B86" s="1811" t="s">
        <v>348</v>
      </c>
      <c r="C86" s="1812"/>
      <c r="D86" s="1813"/>
      <c r="E86" s="179"/>
      <c r="F86" s="1794"/>
    </row>
    <row r="87" spans="1:6" ht="17.25" customHeight="1" x14ac:dyDescent="0.2">
      <c r="A87" s="1792"/>
      <c r="B87" s="1798"/>
      <c r="C87" s="1799"/>
      <c r="D87" s="1800"/>
      <c r="E87" s="179"/>
      <c r="F87" s="1794"/>
    </row>
    <row r="88" spans="1:6" ht="17.25" customHeight="1" x14ac:dyDescent="0.2">
      <c r="A88" s="1792"/>
      <c r="B88" s="1798"/>
      <c r="C88" s="1799"/>
      <c r="D88" s="1800"/>
      <c r="E88" s="179"/>
      <c r="F88" s="1794"/>
    </row>
    <row r="89" spans="1:6" ht="17.25" customHeight="1" x14ac:dyDescent="0.2">
      <c r="A89" s="1792"/>
      <c r="B89" s="1798"/>
      <c r="C89" s="1799"/>
      <c r="D89" s="1800"/>
      <c r="E89" s="179"/>
      <c r="F89" s="1794"/>
    </row>
    <row r="90" spans="1:6" ht="17.25" customHeight="1" thickBot="1" x14ac:dyDescent="0.25">
      <c r="A90" s="1792"/>
      <c r="B90" s="1801"/>
      <c r="C90" s="1802"/>
      <c r="D90" s="1803"/>
      <c r="E90" s="181"/>
      <c r="F90" s="1794"/>
    </row>
    <row r="91" spans="1:6" ht="21" customHeight="1" thickBot="1" x14ac:dyDescent="0.3">
      <c r="A91" s="1793"/>
      <c r="B91" s="1804" t="s">
        <v>322</v>
      </c>
      <c r="C91" s="1805"/>
      <c r="D91" s="1805"/>
      <c r="E91" s="1805"/>
      <c r="F91" s="199">
        <f>+F84+F48+F35+F27+F20+F3</f>
        <v>32262993</v>
      </c>
    </row>
    <row r="92" spans="1:6" ht="21" customHeight="1" x14ac:dyDescent="0.25">
      <c r="A92" s="714"/>
      <c r="B92" s="725"/>
      <c r="C92" s="725"/>
      <c r="D92" s="725"/>
      <c r="E92" s="725"/>
      <c r="F92" s="726"/>
    </row>
    <row r="93" spans="1:6" ht="24.75" customHeight="1" x14ac:dyDescent="0.25">
      <c r="A93" s="714"/>
      <c r="B93" s="725"/>
      <c r="C93" s="725"/>
      <c r="D93" s="725"/>
      <c r="E93" s="725"/>
      <c r="F93" s="726"/>
    </row>
    <row r="94" spans="1:6" ht="27" customHeight="1" x14ac:dyDescent="0.25">
      <c r="A94" s="714"/>
      <c r="B94" s="725"/>
      <c r="C94" s="725"/>
      <c r="D94" s="725"/>
      <c r="E94" s="725"/>
      <c r="F94" s="726"/>
    </row>
    <row r="95" spans="1:6" x14ac:dyDescent="0.2">
      <c r="A95" s="1786" t="s">
        <v>340</v>
      </c>
      <c r="B95" s="1786"/>
      <c r="C95" s="1786"/>
      <c r="D95" s="1786"/>
      <c r="E95" s="1786"/>
      <c r="F95" s="1786"/>
    </row>
    <row r="96" spans="1:6" ht="8.25" customHeight="1" x14ac:dyDescent="0.2">
      <c r="A96" s="1788"/>
      <c r="B96" s="1788"/>
      <c r="C96" s="1788"/>
      <c r="D96" s="1788"/>
      <c r="E96" s="1788"/>
      <c r="F96" s="1788"/>
    </row>
    <row r="97" spans="1:6" ht="16.5" customHeight="1" x14ac:dyDescent="0.2">
      <c r="A97" s="1789" t="s">
        <v>341</v>
      </c>
      <c r="B97" s="1789"/>
      <c r="C97" s="1789"/>
      <c r="D97" s="1789"/>
      <c r="E97" s="1789"/>
      <c r="F97" s="185">
        <f>+E98+E104+E108+E114</f>
        <v>0</v>
      </c>
    </row>
    <row r="98" spans="1:6" ht="19.5" customHeight="1" x14ac:dyDescent="0.2">
      <c r="A98" s="1796"/>
      <c r="B98" s="1790" t="s">
        <v>342</v>
      </c>
      <c r="C98" s="1790"/>
      <c r="D98" s="1790"/>
      <c r="E98" s="185">
        <f>SUM(D100:D103)</f>
        <v>0</v>
      </c>
      <c r="F98" s="1795"/>
    </row>
    <row r="99" spans="1:6" ht="16.5" customHeight="1" x14ac:dyDescent="0.2">
      <c r="A99" s="1797"/>
      <c r="B99" s="186" t="s">
        <v>234</v>
      </c>
      <c r="C99" s="187" t="s">
        <v>344</v>
      </c>
      <c r="D99" s="187" t="s">
        <v>36</v>
      </c>
      <c r="E99" s="1791"/>
      <c r="F99" s="1771"/>
    </row>
    <row r="100" spans="1:6" ht="13.5" customHeight="1" x14ac:dyDescent="0.2">
      <c r="A100" s="1797"/>
      <c r="B100" s="155" t="s">
        <v>270</v>
      </c>
      <c r="C100" s="719"/>
      <c r="D100" s="161"/>
      <c r="E100" s="1778"/>
      <c r="F100" s="1771"/>
    </row>
    <row r="101" spans="1:6" ht="13.5" customHeight="1" x14ac:dyDescent="0.2">
      <c r="A101" s="1797"/>
      <c r="B101" s="155" t="s">
        <v>238</v>
      </c>
      <c r="C101" s="155"/>
      <c r="D101" s="161"/>
      <c r="E101" s="1778"/>
      <c r="F101" s="1771"/>
    </row>
    <row r="102" spans="1:6" ht="13.5" customHeight="1" x14ac:dyDescent="0.2">
      <c r="A102" s="1797"/>
      <c r="B102" s="155"/>
      <c r="C102" s="155"/>
      <c r="D102" s="161"/>
      <c r="E102" s="1778"/>
      <c r="F102" s="1771"/>
    </row>
    <row r="103" spans="1:6" ht="18" customHeight="1" x14ac:dyDescent="0.2">
      <c r="A103" s="1797"/>
      <c r="B103" s="182" t="s">
        <v>343</v>
      </c>
      <c r="C103" s="155"/>
      <c r="D103" s="154"/>
      <c r="E103" s="1778"/>
      <c r="F103" s="1771"/>
    </row>
    <row r="104" spans="1:6" ht="17.25" customHeight="1" x14ac:dyDescent="0.2">
      <c r="A104" s="1797"/>
      <c r="B104" s="1790" t="s">
        <v>345</v>
      </c>
      <c r="C104" s="1790"/>
      <c r="D104" s="1790"/>
      <c r="E104" s="185">
        <f>SUM(D106:D107)</f>
        <v>0</v>
      </c>
      <c r="F104" s="1771"/>
    </row>
    <row r="105" spans="1:6" ht="16.5" customHeight="1" x14ac:dyDescent="0.2">
      <c r="A105" s="1797"/>
      <c r="B105" s="186" t="s">
        <v>234</v>
      </c>
      <c r="C105" s="187" t="s">
        <v>344</v>
      </c>
      <c r="D105" s="187" t="s">
        <v>36</v>
      </c>
      <c r="E105" s="1791"/>
      <c r="F105" s="1771"/>
    </row>
    <row r="106" spans="1:6" ht="16.5" customHeight="1" x14ac:dyDescent="0.2">
      <c r="A106" s="1797"/>
      <c r="B106" s="155" t="s">
        <v>238</v>
      </c>
      <c r="C106" s="218"/>
      <c r="D106" s="161"/>
      <c r="E106" s="1778"/>
      <c r="F106" s="1771"/>
    </row>
    <row r="107" spans="1:6" ht="16.5" customHeight="1" x14ac:dyDescent="0.2">
      <c r="A107" s="1797"/>
      <c r="B107" s="182" t="s">
        <v>343</v>
      </c>
      <c r="C107" s="155"/>
      <c r="D107" s="154"/>
      <c r="E107" s="1778"/>
      <c r="F107" s="1771"/>
    </row>
    <row r="108" spans="1:6" ht="16.5" customHeight="1" x14ac:dyDescent="0.2">
      <c r="A108" s="1797"/>
      <c r="B108" s="1790" t="s">
        <v>346</v>
      </c>
      <c r="C108" s="1790"/>
      <c r="D108" s="1790"/>
      <c r="E108" s="185">
        <f>SUM(D110:D113)</f>
        <v>0</v>
      </c>
      <c r="F108" s="1771"/>
    </row>
    <row r="109" spans="1:6" ht="16.5" customHeight="1" x14ac:dyDescent="0.2">
      <c r="A109" s="1797"/>
      <c r="B109" s="186" t="s">
        <v>234</v>
      </c>
      <c r="C109" s="187" t="s">
        <v>344</v>
      </c>
      <c r="D109" s="187" t="s">
        <v>36</v>
      </c>
      <c r="E109" s="1791"/>
      <c r="F109" s="1771"/>
    </row>
    <row r="110" spans="1:6" ht="15" customHeight="1" x14ac:dyDescent="0.2">
      <c r="A110" s="1797"/>
      <c r="B110" s="155" t="s">
        <v>238</v>
      </c>
      <c r="C110" s="155"/>
      <c r="D110" s="161"/>
      <c r="E110" s="1778"/>
      <c r="F110" s="1771"/>
    </row>
    <row r="111" spans="1:6" ht="15" customHeight="1" x14ac:dyDescent="0.2">
      <c r="A111" s="1797"/>
      <c r="B111" s="155"/>
      <c r="C111" s="155"/>
      <c r="D111" s="161"/>
      <c r="E111" s="1778"/>
      <c r="F111" s="1771"/>
    </row>
    <row r="112" spans="1:6" ht="15" customHeight="1" x14ac:dyDescent="0.2">
      <c r="A112" s="1797"/>
      <c r="B112" s="155"/>
      <c r="C112" s="155"/>
      <c r="D112" s="161"/>
      <c r="E112" s="1778"/>
      <c r="F112" s="1771"/>
    </row>
    <row r="113" spans="1:6" ht="16.5" customHeight="1" x14ac:dyDescent="0.2">
      <c r="A113" s="1797"/>
      <c r="B113" s="182" t="s">
        <v>343</v>
      </c>
      <c r="C113" s="155"/>
      <c r="D113" s="154"/>
      <c r="E113" s="1778"/>
      <c r="F113" s="1771"/>
    </row>
    <row r="114" spans="1:6" ht="16.5" customHeight="1" x14ac:dyDescent="0.2">
      <c r="A114" s="1797"/>
      <c r="B114" s="1790" t="s">
        <v>347</v>
      </c>
      <c r="C114" s="1790"/>
      <c r="D114" s="1790"/>
      <c r="E114" s="185">
        <f>SUM(D116:D117)</f>
        <v>0</v>
      </c>
      <c r="F114" s="1771"/>
    </row>
    <row r="115" spans="1:6" ht="16.5" customHeight="1" x14ac:dyDescent="0.2">
      <c r="A115" s="1797"/>
      <c r="B115" s="186" t="s">
        <v>234</v>
      </c>
      <c r="C115" s="187" t="s">
        <v>344</v>
      </c>
      <c r="D115" s="187" t="s">
        <v>36</v>
      </c>
      <c r="E115" s="1791"/>
      <c r="F115" s="1771"/>
    </row>
    <row r="116" spans="1:6" ht="16.5" customHeight="1" x14ac:dyDescent="0.2">
      <c r="A116" s="1797"/>
      <c r="B116" s="155" t="s">
        <v>268</v>
      </c>
      <c r="C116" s="155"/>
      <c r="D116" s="161"/>
      <c r="E116" s="1778"/>
      <c r="F116" s="1771"/>
    </row>
    <row r="117" spans="1:6" ht="16.5" customHeight="1" x14ac:dyDescent="0.2">
      <c r="A117" s="1797"/>
      <c r="B117" s="182"/>
      <c r="C117" s="155"/>
      <c r="D117" s="154"/>
      <c r="E117" s="1778"/>
      <c r="F117" s="1771"/>
    </row>
    <row r="118" spans="1:6" x14ac:dyDescent="0.2">
      <c r="A118" s="1771"/>
      <c r="B118" s="1771"/>
      <c r="C118" s="1771"/>
      <c r="D118" s="1771"/>
      <c r="E118" s="1771"/>
      <c r="F118" s="1771"/>
    </row>
    <row r="119" spans="1:6" ht="17.25" customHeight="1" x14ac:dyDescent="0.2">
      <c r="A119" s="1797"/>
      <c r="B119" s="1772" t="s">
        <v>349</v>
      </c>
      <c r="C119" s="1773"/>
      <c r="D119" s="1773"/>
      <c r="E119" s="1774"/>
      <c r="F119" s="185">
        <f>SUM(E121:E124)</f>
        <v>0</v>
      </c>
    </row>
    <row r="120" spans="1:6" ht="17.25" customHeight="1" x14ac:dyDescent="0.2">
      <c r="A120" s="1797"/>
      <c r="B120" s="1775" t="s">
        <v>320</v>
      </c>
      <c r="C120" s="1776"/>
      <c r="D120" s="1777"/>
      <c r="E120" s="195" t="s">
        <v>303</v>
      </c>
      <c r="F120" s="1778"/>
    </row>
    <row r="121" spans="1:6" ht="17.25" customHeight="1" x14ac:dyDescent="0.2">
      <c r="A121" s="1797"/>
      <c r="B121" s="1779" t="s">
        <v>462</v>
      </c>
      <c r="C121" s="1780"/>
      <c r="D121" s="1781"/>
      <c r="E121" s="161"/>
      <c r="F121" s="1778"/>
    </row>
    <row r="122" spans="1:6" ht="17.25" customHeight="1" x14ac:dyDescent="0.2">
      <c r="A122" s="1797"/>
      <c r="B122" s="715"/>
      <c r="C122" s="716"/>
      <c r="D122" s="717"/>
      <c r="E122" s="161"/>
      <c r="F122" s="1778"/>
    </row>
    <row r="123" spans="1:6" ht="17.25" customHeight="1" x14ac:dyDescent="0.2">
      <c r="A123" s="1797"/>
      <c r="B123" s="1779"/>
      <c r="C123" s="1780"/>
      <c r="D123" s="1781"/>
      <c r="E123" s="161"/>
      <c r="F123" s="1778"/>
    </row>
    <row r="124" spans="1:6" ht="17.25" customHeight="1" x14ac:dyDescent="0.2">
      <c r="A124" s="1797"/>
      <c r="B124" s="1779"/>
      <c r="C124" s="1780"/>
      <c r="D124" s="1781"/>
      <c r="E124" s="161"/>
      <c r="F124" s="1778"/>
    </row>
    <row r="125" spans="1:6" x14ac:dyDescent="0.2">
      <c r="A125" s="1771"/>
      <c r="B125" s="1771"/>
      <c r="C125" s="1771"/>
      <c r="D125" s="1771"/>
      <c r="E125" s="1771"/>
      <c r="F125" s="1771"/>
    </row>
    <row r="126" spans="1:6" ht="18" customHeight="1" x14ac:dyDescent="0.2">
      <c r="A126" s="1335"/>
      <c r="B126" s="1772" t="s">
        <v>350</v>
      </c>
      <c r="C126" s="1773"/>
      <c r="D126" s="1773"/>
      <c r="E126" s="1774"/>
      <c r="F126" s="185">
        <f>SUM(E128:E132)</f>
        <v>0</v>
      </c>
    </row>
    <row r="127" spans="1:6" ht="18" customHeight="1" x14ac:dyDescent="0.2">
      <c r="A127" s="1335"/>
      <c r="B127" s="1775" t="s">
        <v>320</v>
      </c>
      <c r="C127" s="1776"/>
      <c r="D127" s="1777"/>
      <c r="E127" s="195" t="s">
        <v>303</v>
      </c>
      <c r="F127" s="1778"/>
    </row>
    <row r="128" spans="1:6" ht="18" customHeight="1" x14ac:dyDescent="0.2">
      <c r="A128" s="1335"/>
      <c r="B128" s="1779"/>
      <c r="C128" s="1780"/>
      <c r="D128" s="1781"/>
      <c r="E128" s="161"/>
      <c r="F128" s="1778"/>
    </row>
    <row r="129" spans="1:10" ht="18" customHeight="1" x14ac:dyDescent="0.2">
      <c r="A129" s="1335"/>
      <c r="B129" s="715"/>
      <c r="C129" s="716"/>
      <c r="D129" s="717"/>
      <c r="E129" s="161"/>
      <c r="F129" s="1778"/>
    </row>
    <row r="130" spans="1:10" ht="18" customHeight="1" x14ac:dyDescent="0.2">
      <c r="A130" s="1335"/>
      <c r="B130" s="715"/>
      <c r="C130" s="716"/>
      <c r="D130" s="717"/>
      <c r="E130" s="161"/>
      <c r="F130" s="1778"/>
    </row>
    <row r="131" spans="1:10" ht="18" customHeight="1" x14ac:dyDescent="0.2">
      <c r="A131" s="1335"/>
      <c r="B131" s="1779"/>
      <c r="C131" s="1780"/>
      <c r="D131" s="1781"/>
      <c r="E131" s="161"/>
      <c r="F131" s="1778"/>
    </row>
    <row r="132" spans="1:10" ht="18" customHeight="1" x14ac:dyDescent="0.2">
      <c r="A132" s="1335"/>
      <c r="B132" s="1783"/>
      <c r="C132" s="1784"/>
      <c r="D132" s="1785"/>
      <c r="E132" s="168"/>
      <c r="F132" s="1778"/>
    </row>
    <row r="133" spans="1:10" ht="23.25" customHeight="1" x14ac:dyDescent="0.25">
      <c r="A133" s="1335"/>
      <c r="B133" s="1782" t="s">
        <v>351</v>
      </c>
      <c r="C133" s="1782"/>
      <c r="D133" s="1782"/>
      <c r="E133" s="1782"/>
      <c r="F133" s="201">
        <f>+F97+F119+F126</f>
        <v>0</v>
      </c>
    </row>
    <row r="134" spans="1:10" ht="23.25" customHeight="1" x14ac:dyDescent="0.2">
      <c r="A134" s="1335"/>
      <c r="B134" s="1335"/>
      <c r="C134" s="1335"/>
      <c r="D134" s="1335"/>
      <c r="E134" s="1335"/>
      <c r="F134" s="1335"/>
    </row>
    <row r="135" spans="1:10" ht="37.5" customHeight="1" x14ac:dyDescent="0.2">
      <c r="A135" s="202"/>
      <c r="B135" s="1769" t="s">
        <v>352</v>
      </c>
      <c r="C135" s="1769"/>
      <c r="D135" s="1770" t="str">
        <f>IF((I135&gt;I136),J135,J136)</f>
        <v>NO APLICA</v>
      </c>
      <c r="E135" s="1770"/>
      <c r="F135" s="1770"/>
      <c r="I135" s="183">
        <f>'DEPURACION ORDINARIO 2017'!E6-'DATOS PARA DEPURAR'!E19</f>
        <v>-291667007</v>
      </c>
      <c r="J135" s="157" t="s">
        <v>353</v>
      </c>
    </row>
    <row r="136" spans="1:10" ht="18" customHeight="1" x14ac:dyDescent="0.2">
      <c r="A136" s="1771"/>
      <c r="B136" s="1771"/>
      <c r="C136" s="1771"/>
      <c r="D136" s="1771"/>
      <c r="E136" s="1771"/>
      <c r="F136" s="1771"/>
      <c r="I136" s="183">
        <f>+'DEPURACION ORDINARIO 2017'!E41+'DEPURACION ORDINARIO 2017'!E39+'DEPURACION ORDINARIO 2017'!J8+'DEPURACION ORDINARIO 2017'!J7-'DEPURACION ORDINARIO 2017'!J37</f>
        <v>140702305</v>
      </c>
      <c r="J136" s="157" t="s">
        <v>354</v>
      </c>
    </row>
    <row r="137" spans="1:10" ht="18" customHeight="1" x14ac:dyDescent="0.2"/>
    <row r="138" spans="1:10" ht="18" customHeight="1" x14ac:dyDescent="0.2"/>
    <row r="139" spans="1:10" ht="18" customHeight="1" x14ac:dyDescent="0.2"/>
    <row r="140" spans="1:10" ht="18" customHeight="1" x14ac:dyDescent="0.2"/>
    <row r="141" spans="1:10" ht="18" customHeight="1" x14ac:dyDescent="0.2"/>
    <row r="142" spans="1:10" ht="18" customHeight="1" x14ac:dyDescent="0.2"/>
  </sheetData>
  <sheetProtection algorithmName="SHA-512" hashValue="inWnSyyJSczoO/zA8Cm8yLqcQOR4HjP+7zMfsrpyrUHa/ZO3c7BAjv4d9lYGLW2O0SdofWM5+8oJ4mdi2guJZA==" saltValue="CA/V4/03bO46axAWd0+d1Q==" spinCount="100000" sheet="1" objects="1" scenarios="1"/>
  <mergeCells count="118">
    <mergeCell ref="F28:F33"/>
    <mergeCell ref="B33:D33"/>
    <mergeCell ref="A34:F34"/>
    <mergeCell ref="F21:F25"/>
    <mergeCell ref="B30:C30"/>
    <mergeCell ref="A4:A18"/>
    <mergeCell ref="A20:E20"/>
    <mergeCell ref="A21:A25"/>
    <mergeCell ref="B23:D23"/>
    <mergeCell ref="B31:D31"/>
    <mergeCell ref="A28:A33"/>
    <mergeCell ref="E13:E18"/>
    <mergeCell ref="E6:E11"/>
    <mergeCell ref="B21:D21"/>
    <mergeCell ref="B22:D22"/>
    <mergeCell ref="B24:D24"/>
    <mergeCell ref="B25:D25"/>
    <mergeCell ref="A27:E27"/>
    <mergeCell ref="B28:C28"/>
    <mergeCell ref="B29:D29"/>
    <mergeCell ref="B32:D32"/>
    <mergeCell ref="B40:C40"/>
    <mergeCell ref="B41:C41"/>
    <mergeCell ref="E37:E41"/>
    <mergeCell ref="A136:F136"/>
    <mergeCell ref="F4:F18"/>
    <mergeCell ref="A3:E3"/>
    <mergeCell ref="B4:D4"/>
    <mergeCell ref="A19:F19"/>
    <mergeCell ref="B5:D5"/>
    <mergeCell ref="B12:D12"/>
    <mergeCell ref="A47:F47"/>
    <mergeCell ref="A36:A46"/>
    <mergeCell ref="F36:F46"/>
    <mergeCell ref="A35:E35"/>
    <mergeCell ref="B36:D36"/>
    <mergeCell ref="B42:D42"/>
    <mergeCell ref="B43:D43"/>
    <mergeCell ref="B37:C37"/>
    <mergeCell ref="B38:C38"/>
    <mergeCell ref="B39:C39"/>
    <mergeCell ref="F50:F56"/>
    <mergeCell ref="A57:F57"/>
    <mergeCell ref="A49:A56"/>
    <mergeCell ref="A26:F26"/>
    <mergeCell ref="B44:D44"/>
    <mergeCell ref="B45:D45"/>
    <mergeCell ref="B46:D46"/>
    <mergeCell ref="F59:F65"/>
    <mergeCell ref="A66:F66"/>
    <mergeCell ref="A67:A74"/>
    <mergeCell ref="C67:E67"/>
    <mergeCell ref="F68:F74"/>
    <mergeCell ref="B69:C69"/>
    <mergeCell ref="B70:C70"/>
    <mergeCell ref="B71:C71"/>
    <mergeCell ref="B72:C72"/>
    <mergeCell ref="B73:C73"/>
    <mergeCell ref="C49:E49"/>
    <mergeCell ref="A58:A65"/>
    <mergeCell ref="C58:E58"/>
    <mergeCell ref="A75:F75"/>
    <mergeCell ref="A76:A82"/>
    <mergeCell ref="F77:F82"/>
    <mergeCell ref="B77:D77"/>
    <mergeCell ref="B78:D78"/>
    <mergeCell ref="B79:D79"/>
    <mergeCell ref="B80:D80"/>
    <mergeCell ref="B81:D81"/>
    <mergeCell ref="A119:A124"/>
    <mergeCell ref="B119:E119"/>
    <mergeCell ref="B120:D120"/>
    <mergeCell ref="F120:F124"/>
    <mergeCell ref="B121:D121"/>
    <mergeCell ref="B123:D123"/>
    <mergeCell ref="B124:D124"/>
    <mergeCell ref="E105:E107"/>
    <mergeCell ref="B108:D108"/>
    <mergeCell ref="E109:E113"/>
    <mergeCell ref="B114:D114"/>
    <mergeCell ref="E115:E117"/>
    <mergeCell ref="A118:F118"/>
    <mergeCell ref="A1:F2"/>
    <mergeCell ref="A95:F96"/>
    <mergeCell ref="A97:E97"/>
    <mergeCell ref="B98:D98"/>
    <mergeCell ref="E99:E103"/>
    <mergeCell ref="A85:A91"/>
    <mergeCell ref="F85:F90"/>
    <mergeCell ref="B76:E76"/>
    <mergeCell ref="F98:F117"/>
    <mergeCell ref="A98:A117"/>
    <mergeCell ref="B104:D104"/>
    <mergeCell ref="B88:D88"/>
    <mergeCell ref="B89:D89"/>
    <mergeCell ref="B90:D90"/>
    <mergeCell ref="B91:E91"/>
    <mergeCell ref="B82:D82"/>
    <mergeCell ref="A84:E84"/>
    <mergeCell ref="A83:F83"/>
    <mergeCell ref="B85:D85"/>
    <mergeCell ref="B86:D86"/>
    <mergeCell ref="B87:D87"/>
    <mergeCell ref="B74:C74"/>
    <mergeCell ref="B68:C68"/>
    <mergeCell ref="A48:E48"/>
    <mergeCell ref="B135:C135"/>
    <mergeCell ref="D135:F135"/>
    <mergeCell ref="A134:F134"/>
    <mergeCell ref="A125:F125"/>
    <mergeCell ref="B126:E126"/>
    <mergeCell ref="B127:D127"/>
    <mergeCell ref="F127:F132"/>
    <mergeCell ref="B128:D128"/>
    <mergeCell ref="B131:D131"/>
    <mergeCell ref="B133:E133"/>
    <mergeCell ref="B132:D132"/>
    <mergeCell ref="A126:A133"/>
  </mergeCells>
  <dataValidations count="3">
    <dataValidation type="list" allowBlank="1" showInputMessage="1" showErrorMessage="1" sqref="B116 B14:B17 B100:B102 B106 B110:B112 B7:B10">
      <formula1>$G$11:$G$50</formula1>
    </dataValidation>
    <dataValidation type="list" allowBlank="1" showInputMessage="1" showErrorMessage="1" sqref="B62:B64 B52:B55">
      <formula1>$G$52:$G$57</formula1>
    </dataValidation>
    <dataValidation type="list" allowBlank="1" showInputMessage="1" showErrorMessage="1" sqref="B69:B72">
      <formula1>$G$67:$G$74</formula1>
    </dataValidation>
  </dataValidations>
  <pageMargins left="0.11811023622047245" right="0.11811023622047245" top="0.35433070866141736" bottom="0.35433070866141736" header="0.31496062992125984" footer="0.31496062992125984"/>
  <pageSetup scale="90" orientation="portrait" vertic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VENCIMIENTO</vt:lpstr>
      <vt:lpstr>IMAS TRABAJADOR POR CTA PROPIA</vt:lpstr>
      <vt:lpstr>DEPURACION ORDINARIO 2017</vt:lpstr>
      <vt:lpstr>Num. 2 ART 241 E.T. 2021</vt:lpstr>
      <vt:lpstr>Num. 2 ART 241 E.T. 2019</vt:lpstr>
      <vt:lpstr>Num. 2 ART 241 E.T. 2018</vt:lpstr>
      <vt:lpstr>FORMULARIO 2019 RENTA CEDULA</vt:lpstr>
      <vt:lpstr>FORMULARIO 2021 RENTA</vt:lpstr>
      <vt:lpstr>PATRIMONIO BRUTO</vt:lpstr>
      <vt:lpstr>FORMULARIO 2018 RENTA CEDULAR</vt:lpstr>
      <vt:lpstr>DATOS PARA DEPURAR</vt:lpstr>
      <vt:lpstr>DEPURACION POR IMAS EMPLEADO</vt:lpstr>
      <vt:lpstr>IMPUESTO DIVIDENDOS</vt:lpstr>
      <vt:lpstr>RENTA GENERAL CAPITAL</vt:lpstr>
      <vt:lpstr>RENTA CEDULAR DIVIDENDOS</vt:lpstr>
      <vt:lpstr>RENTA GENERAL LABORAL</vt:lpstr>
      <vt:lpstr>RENTA GENERAL HONORARIOS</vt:lpstr>
      <vt:lpstr>RENTA GENERAL NO LABORAL</vt:lpstr>
      <vt:lpstr>RENTA CEDULAR PENSION</vt:lpstr>
      <vt:lpstr>Num. 1 ART 241 E.T.</vt:lpstr>
      <vt:lpstr>'DATOS PARA DEPURAR'!Área_de_impresión</vt:lpstr>
      <vt:lpstr>'FORMULARIO 2018 RENTA CEDULAR'!Área_de_impresión</vt:lpstr>
      <vt:lpstr>'FORMULARIO 2019 RENTA CEDULA'!Área_de_impresión</vt:lpstr>
      <vt:lpstr>'FORMULARIO 2021 RENTA'!Área_de_impresión</vt:lpstr>
      <vt:lpstr>'PATRIMONIO BRUTO'!Área_de_impresión</vt:lpstr>
      <vt:lpstr>'RENTA GENERAL HONORARIOS'!Área_de_impresión</vt:lpstr>
      <vt:lpstr>'RENTA GENERAL LABORAL'!Área_de_impresión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yoiber</dc:creator>
  <cp:lastModifiedBy>YOIBER OJEDA</cp:lastModifiedBy>
  <cp:lastPrinted>2021-06-28T21:25:11Z</cp:lastPrinted>
  <dcterms:created xsi:type="dcterms:W3CDTF">2009-05-12T18:31:57Z</dcterms:created>
  <dcterms:modified xsi:type="dcterms:W3CDTF">2022-07-20T18:36:07Z</dcterms:modified>
</cp:coreProperties>
</file>