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eren\Downloads\"/>
    </mc:Choice>
  </mc:AlternateContent>
  <xr:revisionPtr revIDLastSave="0" documentId="13_ncr:1_{CB6A401B-2C25-43DF-8190-7E69B8B6D8E9}" xr6:coauthVersionLast="47" xr6:coauthVersionMax="47" xr10:uidLastSave="{00000000-0000-0000-0000-000000000000}"/>
  <bookViews>
    <workbookView xWindow="-120" yWindow="-120" windowWidth="38640" windowHeight="21120" tabRatio="500" activeTab="1" xr2:uid="{00000000-000D-0000-FFFF-FFFF00000000}"/>
  </bookViews>
  <sheets>
    <sheet name="Instrucciones" sheetId="1" r:id="rId1"/>
    <sheet name="Parámetros" sheetId="2" r:id="rId2"/>
    <sheet name="Festivos" sheetId="3" r:id="rId3"/>
    <sheet name="Trabajadores" sheetId="4" r:id="rId4"/>
    <sheet name="Registro de turnos" sheetId="5" r:id="rId5"/>
    <sheet name="Resumen" sheetId="6" r:id="rId6"/>
    <sheet name="Horas a trabajar" sheetId="7" r:id="rId7"/>
  </sheets>
  <definedNames>
    <definedName name="_xlnm._FilterDatabase" localSheetId="4" hidden="1">'Registro de turnos'!$A$4:$U$504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8" i="7" l="1"/>
  <c r="F47" i="7"/>
  <c r="H47" i="7" s="1"/>
  <c r="F46" i="7"/>
  <c r="H45" i="7"/>
  <c r="F45" i="7"/>
  <c r="F44" i="7"/>
  <c r="G43" i="7"/>
  <c r="F43" i="7"/>
  <c r="H43" i="7" s="1"/>
  <c r="I43" i="7" s="1"/>
  <c r="F42" i="7"/>
  <c r="F41" i="7"/>
  <c r="I40" i="7"/>
  <c r="G40" i="7"/>
  <c r="F40" i="7"/>
  <c r="H40" i="7" s="1"/>
  <c r="H39" i="7"/>
  <c r="F39" i="7"/>
  <c r="F38" i="7"/>
  <c r="H37" i="7"/>
  <c r="F37" i="7"/>
  <c r="G37" i="7" s="1"/>
  <c r="H36" i="7"/>
  <c r="F36" i="7"/>
  <c r="F35" i="7"/>
  <c r="I34" i="7"/>
  <c r="H34" i="7"/>
  <c r="G34" i="7"/>
  <c r="F34" i="7"/>
  <c r="F33" i="7"/>
  <c r="F32" i="7"/>
  <c r="G31" i="7"/>
  <c r="F31" i="7"/>
  <c r="H31" i="7" s="1"/>
  <c r="H30" i="7"/>
  <c r="F30" i="7"/>
  <c r="F29" i="7"/>
  <c r="H28" i="7"/>
  <c r="I28" i="7" s="1"/>
  <c r="F28" i="7"/>
  <c r="G28" i="7" s="1"/>
  <c r="H27" i="7"/>
  <c r="F27" i="7"/>
  <c r="F26" i="7"/>
  <c r="H25" i="7"/>
  <c r="G25" i="7"/>
  <c r="F25" i="7"/>
  <c r="F24" i="7"/>
  <c r="F23" i="7"/>
  <c r="I22" i="7"/>
  <c r="G22" i="7"/>
  <c r="F22" i="7"/>
  <c r="H22" i="7" s="1"/>
  <c r="H21" i="7"/>
  <c r="F21" i="7"/>
  <c r="F20" i="7"/>
  <c r="H19" i="7"/>
  <c r="F19" i="7"/>
  <c r="G19" i="7" s="1"/>
  <c r="H18" i="7"/>
  <c r="F18" i="7"/>
  <c r="D16" i="7"/>
  <c r="D15" i="7"/>
  <c r="D14" i="7"/>
  <c r="H12" i="7"/>
  <c r="I12" i="7" s="1"/>
  <c r="F12" i="7"/>
  <c r="G12" i="7" s="1"/>
  <c r="H11" i="7"/>
  <c r="I11" i="7" s="1"/>
  <c r="F11" i="7"/>
  <c r="G11" i="7" s="1"/>
  <c r="F10" i="7"/>
  <c r="F9" i="7"/>
  <c r="H8" i="7"/>
  <c r="G8" i="7"/>
  <c r="F8" i="7"/>
  <c r="F7" i="7"/>
  <c r="I6" i="7"/>
  <c r="H6" i="7"/>
  <c r="F6" i="7"/>
  <c r="G6" i="7" s="1"/>
  <c r="B5" i="7"/>
  <c r="D10" i="7" s="1"/>
  <c r="P206" i="6"/>
  <c r="O206" i="6"/>
  <c r="J206" i="6"/>
  <c r="I206" i="6"/>
  <c r="H206" i="6"/>
  <c r="F206" i="6"/>
  <c r="D206" i="6"/>
  <c r="B206" i="6"/>
  <c r="A206" i="6"/>
  <c r="P205" i="6"/>
  <c r="N205" i="6"/>
  <c r="M205" i="6"/>
  <c r="L205" i="6"/>
  <c r="J205" i="6"/>
  <c r="I205" i="6"/>
  <c r="H205" i="6"/>
  <c r="E205" i="6"/>
  <c r="D205" i="6"/>
  <c r="B205" i="6"/>
  <c r="A205" i="6"/>
  <c r="O204" i="6"/>
  <c r="K204" i="6"/>
  <c r="I204" i="6"/>
  <c r="A204" i="6"/>
  <c r="R204" i="6" s="1"/>
  <c r="P203" i="6"/>
  <c r="O203" i="6"/>
  <c r="G203" i="6"/>
  <c r="D203" i="6"/>
  <c r="B203" i="6"/>
  <c r="A203" i="6"/>
  <c r="M203" i="6" s="1"/>
  <c r="J202" i="6"/>
  <c r="I202" i="6"/>
  <c r="H202" i="6"/>
  <c r="B202" i="6"/>
  <c r="A202" i="6"/>
  <c r="P201" i="6"/>
  <c r="N201" i="6"/>
  <c r="M201" i="6"/>
  <c r="L201" i="6"/>
  <c r="J201" i="6"/>
  <c r="I201" i="6"/>
  <c r="H201" i="6"/>
  <c r="E201" i="6"/>
  <c r="D201" i="6"/>
  <c r="B201" i="6"/>
  <c r="A201" i="6"/>
  <c r="R200" i="6"/>
  <c r="P200" i="6"/>
  <c r="O200" i="6"/>
  <c r="M200" i="6"/>
  <c r="K200" i="6"/>
  <c r="I200" i="6"/>
  <c r="H200" i="6"/>
  <c r="C200" i="6"/>
  <c r="B200" i="6"/>
  <c r="A200" i="6"/>
  <c r="O199" i="6"/>
  <c r="L199" i="6"/>
  <c r="G199" i="6"/>
  <c r="A199" i="6"/>
  <c r="P199" i="6" s="1"/>
  <c r="P198" i="6"/>
  <c r="O198" i="6"/>
  <c r="H198" i="6"/>
  <c r="D198" i="6"/>
  <c r="B198" i="6"/>
  <c r="A198" i="6"/>
  <c r="J198" i="6" s="1"/>
  <c r="P197" i="6"/>
  <c r="N197" i="6"/>
  <c r="M197" i="6"/>
  <c r="L197" i="6"/>
  <c r="J197" i="6"/>
  <c r="I197" i="6"/>
  <c r="H197" i="6"/>
  <c r="E197" i="6"/>
  <c r="D197" i="6"/>
  <c r="B197" i="6"/>
  <c r="A197" i="6"/>
  <c r="R196" i="6"/>
  <c r="M196" i="6"/>
  <c r="K196" i="6"/>
  <c r="I196" i="6"/>
  <c r="B196" i="6"/>
  <c r="A196" i="6"/>
  <c r="P195" i="6"/>
  <c r="O195" i="6"/>
  <c r="M195" i="6"/>
  <c r="L195" i="6"/>
  <c r="G195" i="6"/>
  <c r="E195" i="6"/>
  <c r="D195" i="6"/>
  <c r="B195" i="6"/>
  <c r="A195" i="6"/>
  <c r="O194" i="6"/>
  <c r="I194" i="6"/>
  <c r="H194" i="6"/>
  <c r="A194" i="6"/>
  <c r="P194" i="6" s="1"/>
  <c r="P193" i="6"/>
  <c r="N193" i="6"/>
  <c r="M193" i="6"/>
  <c r="L193" i="6"/>
  <c r="J193" i="6"/>
  <c r="I193" i="6"/>
  <c r="H193" i="6"/>
  <c r="E193" i="6"/>
  <c r="D193" i="6"/>
  <c r="B193" i="6"/>
  <c r="A193" i="6"/>
  <c r="R192" i="6"/>
  <c r="P192" i="6"/>
  <c r="O192" i="6"/>
  <c r="I192" i="6"/>
  <c r="C192" i="6"/>
  <c r="B192" i="6"/>
  <c r="A192" i="6"/>
  <c r="M192" i="6" s="1"/>
  <c r="M191" i="6"/>
  <c r="L191" i="6"/>
  <c r="G191" i="6"/>
  <c r="B191" i="6"/>
  <c r="A191" i="6"/>
  <c r="P190" i="6"/>
  <c r="O190" i="6"/>
  <c r="J190" i="6"/>
  <c r="I190" i="6"/>
  <c r="H190" i="6"/>
  <c r="F190" i="6"/>
  <c r="D190" i="6"/>
  <c r="B190" i="6"/>
  <c r="A190" i="6"/>
  <c r="P189" i="6"/>
  <c r="N189" i="6"/>
  <c r="M189" i="6"/>
  <c r="L189" i="6"/>
  <c r="J189" i="6"/>
  <c r="I189" i="6"/>
  <c r="H189" i="6"/>
  <c r="E189" i="6"/>
  <c r="D189" i="6"/>
  <c r="B189" i="6"/>
  <c r="A189" i="6"/>
  <c r="O188" i="6"/>
  <c r="K188" i="6"/>
  <c r="I188" i="6"/>
  <c r="A188" i="6"/>
  <c r="R188" i="6" s="1"/>
  <c r="P187" i="6"/>
  <c r="O187" i="6"/>
  <c r="G187" i="6"/>
  <c r="D187" i="6"/>
  <c r="B187" i="6"/>
  <c r="A187" i="6"/>
  <c r="M187" i="6" s="1"/>
  <c r="J186" i="6"/>
  <c r="I186" i="6"/>
  <c r="H186" i="6"/>
  <c r="B186" i="6"/>
  <c r="A186" i="6"/>
  <c r="P185" i="6"/>
  <c r="N185" i="6"/>
  <c r="M185" i="6"/>
  <c r="L185" i="6"/>
  <c r="J185" i="6"/>
  <c r="I185" i="6"/>
  <c r="H185" i="6"/>
  <c r="E185" i="6"/>
  <c r="D185" i="6"/>
  <c r="B185" i="6"/>
  <c r="A185" i="6"/>
  <c r="R184" i="6"/>
  <c r="P184" i="6"/>
  <c r="O184" i="6"/>
  <c r="M184" i="6"/>
  <c r="K184" i="6"/>
  <c r="I184" i="6"/>
  <c r="H184" i="6"/>
  <c r="F184" i="6"/>
  <c r="C184" i="6"/>
  <c r="B184" i="6"/>
  <c r="A184" i="6"/>
  <c r="A183" i="6"/>
  <c r="M182" i="6"/>
  <c r="I182" i="6"/>
  <c r="H182" i="6"/>
  <c r="A182" i="6"/>
  <c r="P182" i="6" s="1"/>
  <c r="P181" i="6"/>
  <c r="N181" i="6"/>
  <c r="M181" i="6"/>
  <c r="L181" i="6"/>
  <c r="I181" i="6"/>
  <c r="H181" i="6"/>
  <c r="E181" i="6"/>
  <c r="D181" i="6"/>
  <c r="B181" i="6"/>
  <c r="A181" i="6"/>
  <c r="J181" i="6" s="1"/>
  <c r="P180" i="6"/>
  <c r="O180" i="6"/>
  <c r="M180" i="6"/>
  <c r="H180" i="6"/>
  <c r="C180" i="6"/>
  <c r="B180" i="6"/>
  <c r="A180" i="6"/>
  <c r="R180" i="6" s="1"/>
  <c r="A179" i="6"/>
  <c r="P178" i="6"/>
  <c r="A178" i="6"/>
  <c r="F178" i="6" s="1"/>
  <c r="P177" i="6"/>
  <c r="N177" i="6"/>
  <c r="M177" i="6"/>
  <c r="L177" i="6"/>
  <c r="I177" i="6"/>
  <c r="H177" i="6"/>
  <c r="E177" i="6"/>
  <c r="D177" i="6"/>
  <c r="B177" i="6"/>
  <c r="A177" i="6"/>
  <c r="J177" i="6" s="1"/>
  <c r="A176" i="6"/>
  <c r="P176" i="6" s="1"/>
  <c r="M175" i="6"/>
  <c r="I175" i="6"/>
  <c r="G175" i="6"/>
  <c r="A175" i="6"/>
  <c r="P175" i="6" s="1"/>
  <c r="P174" i="6"/>
  <c r="O174" i="6"/>
  <c r="I174" i="6"/>
  <c r="H174" i="6"/>
  <c r="F174" i="6"/>
  <c r="D174" i="6"/>
  <c r="B174" i="6"/>
  <c r="A174" i="6"/>
  <c r="M174" i="6" s="1"/>
  <c r="P173" i="6"/>
  <c r="N173" i="6"/>
  <c r="M173" i="6"/>
  <c r="L173" i="6"/>
  <c r="I173" i="6"/>
  <c r="H173" i="6"/>
  <c r="E173" i="6"/>
  <c r="D173" i="6"/>
  <c r="B173" i="6"/>
  <c r="A173" i="6"/>
  <c r="J173" i="6" s="1"/>
  <c r="C172" i="6"/>
  <c r="A172" i="6"/>
  <c r="P171" i="6"/>
  <c r="A171" i="6"/>
  <c r="P170" i="6"/>
  <c r="O170" i="6"/>
  <c r="M170" i="6"/>
  <c r="J170" i="6"/>
  <c r="I170" i="6"/>
  <c r="H170" i="6"/>
  <c r="F170" i="6"/>
  <c r="D170" i="6"/>
  <c r="B170" i="6"/>
  <c r="A170" i="6"/>
  <c r="P169" i="6"/>
  <c r="N169" i="6"/>
  <c r="M169" i="6"/>
  <c r="L169" i="6"/>
  <c r="I169" i="6"/>
  <c r="H169" i="6"/>
  <c r="E169" i="6"/>
  <c r="D169" i="6"/>
  <c r="B169" i="6"/>
  <c r="A169" i="6"/>
  <c r="J169" i="6" s="1"/>
  <c r="R168" i="6"/>
  <c r="M168" i="6"/>
  <c r="I168" i="6"/>
  <c r="H168" i="6"/>
  <c r="A168" i="6"/>
  <c r="P168" i="6" s="1"/>
  <c r="P167" i="6"/>
  <c r="O167" i="6"/>
  <c r="I167" i="6"/>
  <c r="G167" i="6"/>
  <c r="E167" i="6"/>
  <c r="D167" i="6"/>
  <c r="B167" i="6"/>
  <c r="A167" i="6"/>
  <c r="M167" i="6" s="1"/>
  <c r="J166" i="6"/>
  <c r="B166" i="6"/>
  <c r="A166" i="6"/>
  <c r="P165" i="6"/>
  <c r="N165" i="6"/>
  <c r="M165" i="6"/>
  <c r="L165" i="6"/>
  <c r="I165" i="6"/>
  <c r="H165" i="6"/>
  <c r="E165" i="6"/>
  <c r="D165" i="6"/>
  <c r="B165" i="6"/>
  <c r="A165" i="6"/>
  <c r="J165" i="6" s="1"/>
  <c r="A164" i="6"/>
  <c r="P163" i="6"/>
  <c r="O163" i="6"/>
  <c r="M163" i="6"/>
  <c r="L163" i="6"/>
  <c r="I163" i="6"/>
  <c r="G163" i="6"/>
  <c r="E163" i="6"/>
  <c r="D163" i="6"/>
  <c r="B163" i="6"/>
  <c r="A163" i="6"/>
  <c r="O162" i="6"/>
  <c r="J162" i="6"/>
  <c r="I162" i="6"/>
  <c r="A162" i="6"/>
  <c r="P162" i="6" s="1"/>
  <c r="P161" i="6"/>
  <c r="N161" i="6"/>
  <c r="M161" i="6"/>
  <c r="L161" i="6"/>
  <c r="I161" i="6"/>
  <c r="H161" i="6"/>
  <c r="E161" i="6"/>
  <c r="D161" i="6"/>
  <c r="B161" i="6"/>
  <c r="A161" i="6"/>
  <c r="J161" i="6" s="1"/>
  <c r="R160" i="6"/>
  <c r="P160" i="6"/>
  <c r="O160" i="6"/>
  <c r="M160" i="6"/>
  <c r="K160" i="6"/>
  <c r="I160" i="6"/>
  <c r="H160" i="6"/>
  <c r="F160" i="6"/>
  <c r="E160" i="6"/>
  <c r="D160" i="6"/>
  <c r="C160" i="6"/>
  <c r="B160" i="6"/>
  <c r="A160" i="6"/>
  <c r="R159" i="6"/>
  <c r="Q159" i="6"/>
  <c r="O159" i="6"/>
  <c r="N159" i="6"/>
  <c r="L159" i="6"/>
  <c r="K159" i="6"/>
  <c r="J159" i="6"/>
  <c r="I159" i="6"/>
  <c r="H159" i="6"/>
  <c r="G159" i="6"/>
  <c r="F159" i="6"/>
  <c r="E159" i="6"/>
  <c r="C159" i="6"/>
  <c r="B159" i="6"/>
  <c r="A159" i="6"/>
  <c r="P159" i="6" s="1"/>
  <c r="R158" i="6"/>
  <c r="Q158" i="6"/>
  <c r="P158" i="6"/>
  <c r="O158" i="6"/>
  <c r="N158" i="6"/>
  <c r="L158" i="6"/>
  <c r="K158" i="6"/>
  <c r="I158" i="6"/>
  <c r="H158" i="6"/>
  <c r="F158" i="6"/>
  <c r="E158" i="6"/>
  <c r="D158" i="6"/>
  <c r="C158" i="6"/>
  <c r="B158" i="6"/>
  <c r="A158" i="6"/>
  <c r="J158" i="6" s="1"/>
  <c r="R157" i="6"/>
  <c r="Q157" i="6"/>
  <c r="O157" i="6"/>
  <c r="N157" i="6"/>
  <c r="L157" i="6"/>
  <c r="K157" i="6"/>
  <c r="J157" i="6"/>
  <c r="I157" i="6"/>
  <c r="H157" i="6"/>
  <c r="G157" i="6"/>
  <c r="F157" i="6"/>
  <c r="E157" i="6"/>
  <c r="C157" i="6"/>
  <c r="B157" i="6"/>
  <c r="A157" i="6"/>
  <c r="P157" i="6" s="1"/>
  <c r="R156" i="6"/>
  <c r="Q156" i="6"/>
  <c r="P156" i="6"/>
  <c r="O156" i="6"/>
  <c r="N156" i="6"/>
  <c r="L156" i="6"/>
  <c r="K156" i="6"/>
  <c r="I156" i="6"/>
  <c r="H156" i="6"/>
  <c r="F156" i="6"/>
  <c r="E156" i="6"/>
  <c r="D156" i="6"/>
  <c r="C156" i="6"/>
  <c r="B156" i="6"/>
  <c r="A156" i="6"/>
  <c r="J156" i="6" s="1"/>
  <c r="R155" i="6"/>
  <c r="Q155" i="6"/>
  <c r="O155" i="6"/>
  <c r="N155" i="6"/>
  <c r="L155" i="6"/>
  <c r="K155" i="6"/>
  <c r="J155" i="6"/>
  <c r="I155" i="6"/>
  <c r="H155" i="6"/>
  <c r="G155" i="6"/>
  <c r="F155" i="6"/>
  <c r="E155" i="6"/>
  <c r="C155" i="6"/>
  <c r="B155" i="6"/>
  <c r="A155" i="6"/>
  <c r="P155" i="6" s="1"/>
  <c r="R154" i="6"/>
  <c r="Q154" i="6"/>
  <c r="P154" i="6"/>
  <c r="O154" i="6"/>
  <c r="N154" i="6"/>
  <c r="L154" i="6"/>
  <c r="K154" i="6"/>
  <c r="I154" i="6"/>
  <c r="H154" i="6"/>
  <c r="F154" i="6"/>
  <c r="E154" i="6"/>
  <c r="D154" i="6"/>
  <c r="C154" i="6"/>
  <c r="B154" i="6"/>
  <c r="A154" i="6"/>
  <c r="J154" i="6" s="1"/>
  <c r="R153" i="6"/>
  <c r="Q153" i="6"/>
  <c r="O153" i="6"/>
  <c r="N153" i="6"/>
  <c r="L153" i="6"/>
  <c r="K153" i="6"/>
  <c r="J153" i="6"/>
  <c r="I153" i="6"/>
  <c r="H153" i="6"/>
  <c r="G153" i="6"/>
  <c r="F153" i="6"/>
  <c r="E153" i="6"/>
  <c r="C153" i="6"/>
  <c r="B153" i="6"/>
  <c r="A153" i="6"/>
  <c r="P153" i="6" s="1"/>
  <c r="R152" i="6"/>
  <c r="Q152" i="6"/>
  <c r="P152" i="6"/>
  <c r="O152" i="6"/>
  <c r="N152" i="6"/>
  <c r="L152" i="6"/>
  <c r="K152" i="6"/>
  <c r="I152" i="6"/>
  <c r="H152" i="6"/>
  <c r="F152" i="6"/>
  <c r="E152" i="6"/>
  <c r="D152" i="6"/>
  <c r="C152" i="6"/>
  <c r="B152" i="6"/>
  <c r="A152" i="6"/>
  <c r="J152" i="6" s="1"/>
  <c r="R151" i="6"/>
  <c r="Q151" i="6"/>
  <c r="O151" i="6"/>
  <c r="N151" i="6"/>
  <c r="L151" i="6"/>
  <c r="K151" i="6"/>
  <c r="J151" i="6"/>
  <c r="I151" i="6"/>
  <c r="H151" i="6"/>
  <c r="G151" i="6"/>
  <c r="F151" i="6"/>
  <c r="E151" i="6"/>
  <c r="C151" i="6"/>
  <c r="B151" i="6"/>
  <c r="A151" i="6"/>
  <c r="P151" i="6" s="1"/>
  <c r="R150" i="6"/>
  <c r="Q150" i="6"/>
  <c r="P150" i="6"/>
  <c r="O150" i="6"/>
  <c r="N150" i="6"/>
  <c r="L150" i="6"/>
  <c r="K150" i="6"/>
  <c r="I150" i="6"/>
  <c r="H150" i="6"/>
  <c r="F150" i="6"/>
  <c r="E150" i="6"/>
  <c r="D150" i="6"/>
  <c r="C150" i="6"/>
  <c r="B150" i="6"/>
  <c r="A150" i="6"/>
  <c r="J150" i="6" s="1"/>
  <c r="R149" i="6"/>
  <c r="Q149" i="6"/>
  <c r="O149" i="6"/>
  <c r="N149" i="6"/>
  <c r="L149" i="6"/>
  <c r="K149" i="6"/>
  <c r="J149" i="6"/>
  <c r="I149" i="6"/>
  <c r="H149" i="6"/>
  <c r="G149" i="6"/>
  <c r="F149" i="6"/>
  <c r="E149" i="6"/>
  <c r="C149" i="6"/>
  <c r="B149" i="6"/>
  <c r="A149" i="6"/>
  <c r="P149" i="6" s="1"/>
  <c r="N148" i="6"/>
  <c r="K148" i="6"/>
  <c r="H148" i="6"/>
  <c r="F148" i="6"/>
  <c r="A148" i="6"/>
  <c r="M148" i="6" s="1"/>
  <c r="R147" i="6"/>
  <c r="Q147" i="6"/>
  <c r="O147" i="6"/>
  <c r="N147" i="6"/>
  <c r="L147" i="6"/>
  <c r="K147" i="6"/>
  <c r="J147" i="6"/>
  <c r="I147" i="6"/>
  <c r="H147" i="6"/>
  <c r="G147" i="6"/>
  <c r="F147" i="6"/>
  <c r="E147" i="6"/>
  <c r="C147" i="6"/>
  <c r="B147" i="6"/>
  <c r="A147" i="6"/>
  <c r="P147" i="6" s="1"/>
  <c r="B146" i="6"/>
  <c r="A146" i="6"/>
  <c r="R145" i="6"/>
  <c r="Q145" i="6"/>
  <c r="O145" i="6"/>
  <c r="N145" i="6"/>
  <c r="L145" i="6"/>
  <c r="K145" i="6"/>
  <c r="J145" i="6"/>
  <c r="I145" i="6"/>
  <c r="H145" i="6"/>
  <c r="G145" i="6"/>
  <c r="F145" i="6"/>
  <c r="E145" i="6"/>
  <c r="C145" i="6"/>
  <c r="B145" i="6"/>
  <c r="A145" i="6"/>
  <c r="P145" i="6" s="1"/>
  <c r="R144" i="6"/>
  <c r="Q144" i="6"/>
  <c r="P144" i="6"/>
  <c r="M144" i="6"/>
  <c r="L144" i="6"/>
  <c r="K144" i="6"/>
  <c r="I144" i="6"/>
  <c r="H144" i="6"/>
  <c r="F144" i="6"/>
  <c r="D144" i="6"/>
  <c r="C144" i="6"/>
  <c r="B144" i="6"/>
  <c r="A144" i="6"/>
  <c r="N144" i="6" s="1"/>
  <c r="R143" i="6"/>
  <c r="Q143" i="6"/>
  <c r="O143" i="6"/>
  <c r="N143" i="6"/>
  <c r="L143" i="6"/>
  <c r="K143" i="6"/>
  <c r="J143" i="6"/>
  <c r="I143" i="6"/>
  <c r="H143" i="6"/>
  <c r="G143" i="6"/>
  <c r="F143" i="6"/>
  <c r="E143" i="6"/>
  <c r="C143" i="6"/>
  <c r="B143" i="6"/>
  <c r="A143" i="6"/>
  <c r="P143" i="6" s="1"/>
  <c r="R142" i="6"/>
  <c r="Q142" i="6"/>
  <c r="P142" i="6"/>
  <c r="M142" i="6"/>
  <c r="L142" i="6"/>
  <c r="K142" i="6"/>
  <c r="F142" i="6"/>
  <c r="E142" i="6"/>
  <c r="D142" i="6"/>
  <c r="C142" i="6"/>
  <c r="B142" i="6"/>
  <c r="A142" i="6"/>
  <c r="N142" i="6" s="1"/>
  <c r="R141" i="6"/>
  <c r="Q141" i="6"/>
  <c r="O141" i="6"/>
  <c r="N141" i="6"/>
  <c r="L141" i="6"/>
  <c r="K141" i="6"/>
  <c r="J141" i="6"/>
  <c r="I141" i="6"/>
  <c r="H141" i="6"/>
  <c r="G141" i="6"/>
  <c r="F141" i="6"/>
  <c r="E141" i="6"/>
  <c r="C141" i="6"/>
  <c r="B141" i="6"/>
  <c r="A141" i="6"/>
  <c r="P141" i="6" s="1"/>
  <c r="R140" i="6"/>
  <c r="O140" i="6"/>
  <c r="L140" i="6"/>
  <c r="D140" i="6"/>
  <c r="A140" i="6"/>
  <c r="M140" i="6" s="1"/>
  <c r="Q139" i="6"/>
  <c r="O139" i="6"/>
  <c r="K139" i="6"/>
  <c r="J139" i="6"/>
  <c r="I139" i="6"/>
  <c r="F139" i="6"/>
  <c r="C139" i="6"/>
  <c r="B139" i="6"/>
  <c r="A139" i="6"/>
  <c r="M139" i="6" s="1"/>
  <c r="N138" i="6"/>
  <c r="K138" i="6"/>
  <c r="H138" i="6"/>
  <c r="C138" i="6"/>
  <c r="A138" i="6"/>
  <c r="O137" i="6"/>
  <c r="M137" i="6"/>
  <c r="L137" i="6"/>
  <c r="K137" i="6"/>
  <c r="H137" i="6"/>
  <c r="G137" i="6"/>
  <c r="F137" i="6"/>
  <c r="B137" i="6"/>
  <c r="A137" i="6"/>
  <c r="R136" i="6"/>
  <c r="Q136" i="6"/>
  <c r="P136" i="6"/>
  <c r="O136" i="6"/>
  <c r="M136" i="6"/>
  <c r="L136" i="6"/>
  <c r="K136" i="6"/>
  <c r="I136" i="6"/>
  <c r="G136" i="6"/>
  <c r="F136" i="6"/>
  <c r="E136" i="6"/>
  <c r="D136" i="6"/>
  <c r="C136" i="6"/>
  <c r="B136" i="6"/>
  <c r="A136" i="6"/>
  <c r="J136" i="6" s="1"/>
  <c r="R135" i="6"/>
  <c r="Q135" i="6"/>
  <c r="O135" i="6"/>
  <c r="L135" i="6"/>
  <c r="K135" i="6"/>
  <c r="J135" i="6"/>
  <c r="I135" i="6"/>
  <c r="H135" i="6"/>
  <c r="G135" i="6"/>
  <c r="E135" i="6"/>
  <c r="C135" i="6"/>
  <c r="B135" i="6"/>
  <c r="A135" i="6"/>
  <c r="M135" i="6" s="1"/>
  <c r="Q134" i="6"/>
  <c r="H134" i="6"/>
  <c r="D134" i="6"/>
  <c r="A134" i="6"/>
  <c r="O134" i="6" s="1"/>
  <c r="N133" i="6"/>
  <c r="M133" i="6"/>
  <c r="L133" i="6"/>
  <c r="I133" i="6"/>
  <c r="G133" i="6"/>
  <c r="F133" i="6"/>
  <c r="A133" i="6"/>
  <c r="R132" i="6"/>
  <c r="D132" i="6"/>
  <c r="A132" i="6"/>
  <c r="Q131" i="6"/>
  <c r="O131" i="6"/>
  <c r="K131" i="6"/>
  <c r="J131" i="6"/>
  <c r="I131" i="6"/>
  <c r="F131" i="6"/>
  <c r="C131" i="6"/>
  <c r="B131" i="6"/>
  <c r="A131" i="6"/>
  <c r="M131" i="6" s="1"/>
  <c r="O130" i="6"/>
  <c r="N130" i="6"/>
  <c r="C130" i="6"/>
  <c r="A130" i="6"/>
  <c r="P130" i="6" s="1"/>
  <c r="O129" i="6"/>
  <c r="M129" i="6"/>
  <c r="L129" i="6"/>
  <c r="K129" i="6"/>
  <c r="H129" i="6"/>
  <c r="G129" i="6"/>
  <c r="F129" i="6"/>
  <c r="B129" i="6"/>
  <c r="A129" i="6"/>
  <c r="R128" i="6"/>
  <c r="Q128" i="6"/>
  <c r="P128" i="6"/>
  <c r="O128" i="6"/>
  <c r="M128" i="6"/>
  <c r="L128" i="6"/>
  <c r="K128" i="6"/>
  <c r="I128" i="6"/>
  <c r="G128" i="6"/>
  <c r="F128" i="6"/>
  <c r="E128" i="6"/>
  <c r="D128" i="6"/>
  <c r="C128" i="6"/>
  <c r="B128" i="6"/>
  <c r="A128" i="6"/>
  <c r="J128" i="6" s="1"/>
  <c r="R127" i="6"/>
  <c r="Q127" i="6"/>
  <c r="O127" i="6"/>
  <c r="N127" i="6"/>
  <c r="L127" i="6"/>
  <c r="K127" i="6"/>
  <c r="J127" i="6"/>
  <c r="I127" i="6"/>
  <c r="H127" i="6"/>
  <c r="G127" i="6"/>
  <c r="F127" i="6"/>
  <c r="E127" i="6"/>
  <c r="D127" i="6"/>
  <c r="C127" i="6"/>
  <c r="B127" i="6"/>
  <c r="A127" i="6"/>
  <c r="P127" i="6" s="1"/>
  <c r="R126" i="6"/>
  <c r="Q126" i="6"/>
  <c r="P126" i="6"/>
  <c r="O126" i="6"/>
  <c r="N126" i="6"/>
  <c r="K126" i="6"/>
  <c r="J126" i="6"/>
  <c r="I126" i="6"/>
  <c r="F126" i="6"/>
  <c r="E126" i="6"/>
  <c r="D126" i="6"/>
  <c r="C126" i="6"/>
  <c r="B126" i="6"/>
  <c r="A126" i="6"/>
  <c r="M126" i="6" s="1"/>
  <c r="R125" i="6"/>
  <c r="Q125" i="6"/>
  <c r="P125" i="6"/>
  <c r="O125" i="6"/>
  <c r="N125" i="6"/>
  <c r="L125" i="6"/>
  <c r="K125" i="6"/>
  <c r="J125" i="6"/>
  <c r="I125" i="6"/>
  <c r="H125" i="6"/>
  <c r="G125" i="6"/>
  <c r="F125" i="6"/>
  <c r="E125" i="6"/>
  <c r="D125" i="6"/>
  <c r="C125" i="6"/>
  <c r="B125" i="6"/>
  <c r="A125" i="6"/>
  <c r="M125" i="6" s="1"/>
  <c r="R124" i="6"/>
  <c r="Q124" i="6"/>
  <c r="P124" i="6"/>
  <c r="O124" i="6"/>
  <c r="N124" i="6"/>
  <c r="K124" i="6"/>
  <c r="J124" i="6"/>
  <c r="I124" i="6"/>
  <c r="F124" i="6"/>
  <c r="E124" i="6"/>
  <c r="D124" i="6"/>
  <c r="C124" i="6"/>
  <c r="B124" i="6"/>
  <c r="A124" i="6"/>
  <c r="M124" i="6" s="1"/>
  <c r="R123" i="6"/>
  <c r="Q123" i="6"/>
  <c r="P123" i="6"/>
  <c r="O123" i="6"/>
  <c r="N123" i="6"/>
  <c r="L123" i="6"/>
  <c r="K123" i="6"/>
  <c r="J123" i="6"/>
  <c r="I123" i="6"/>
  <c r="H123" i="6"/>
  <c r="G123" i="6"/>
  <c r="F123" i="6"/>
  <c r="E123" i="6"/>
  <c r="D123" i="6"/>
  <c r="C123" i="6"/>
  <c r="B123" i="6"/>
  <c r="A123" i="6"/>
  <c r="M123" i="6" s="1"/>
  <c r="R122" i="6"/>
  <c r="Q122" i="6"/>
  <c r="P122" i="6"/>
  <c r="O122" i="6"/>
  <c r="N122" i="6"/>
  <c r="K122" i="6"/>
  <c r="J122" i="6"/>
  <c r="I122" i="6"/>
  <c r="F122" i="6"/>
  <c r="E122" i="6"/>
  <c r="D122" i="6"/>
  <c r="C122" i="6"/>
  <c r="B122" i="6"/>
  <c r="A122" i="6"/>
  <c r="M122" i="6" s="1"/>
  <c r="R121" i="6"/>
  <c r="Q121" i="6"/>
  <c r="P121" i="6"/>
  <c r="O121" i="6"/>
  <c r="N121" i="6"/>
  <c r="L121" i="6"/>
  <c r="K121" i="6"/>
  <c r="J121" i="6"/>
  <c r="I121" i="6"/>
  <c r="H121" i="6"/>
  <c r="G121" i="6"/>
  <c r="F121" i="6"/>
  <c r="E121" i="6"/>
  <c r="D121" i="6"/>
  <c r="C121" i="6"/>
  <c r="B121" i="6"/>
  <c r="A121" i="6"/>
  <c r="M121" i="6" s="1"/>
  <c r="R120" i="6"/>
  <c r="Q120" i="6"/>
  <c r="P120" i="6"/>
  <c r="O120" i="6"/>
  <c r="N120" i="6"/>
  <c r="K120" i="6"/>
  <c r="J120" i="6"/>
  <c r="I120" i="6"/>
  <c r="F120" i="6"/>
  <c r="E120" i="6"/>
  <c r="D120" i="6"/>
  <c r="C120" i="6"/>
  <c r="B120" i="6"/>
  <c r="A120" i="6"/>
  <c r="M120" i="6" s="1"/>
  <c r="R119" i="6"/>
  <c r="Q119" i="6"/>
  <c r="P119" i="6"/>
  <c r="O119" i="6"/>
  <c r="N119" i="6"/>
  <c r="L119" i="6"/>
  <c r="K119" i="6"/>
  <c r="J119" i="6"/>
  <c r="I119" i="6"/>
  <c r="H119" i="6"/>
  <c r="G119" i="6"/>
  <c r="F119" i="6"/>
  <c r="E119" i="6"/>
  <c r="D119" i="6"/>
  <c r="C119" i="6"/>
  <c r="B119" i="6"/>
  <c r="A119" i="6"/>
  <c r="M119" i="6" s="1"/>
  <c r="R118" i="6"/>
  <c r="Q118" i="6"/>
  <c r="P118" i="6"/>
  <c r="O118" i="6"/>
  <c r="N118" i="6"/>
  <c r="K118" i="6"/>
  <c r="J118" i="6"/>
  <c r="I118" i="6"/>
  <c r="F118" i="6"/>
  <c r="E118" i="6"/>
  <c r="D118" i="6"/>
  <c r="C118" i="6"/>
  <c r="B118" i="6"/>
  <c r="A118" i="6"/>
  <c r="M118" i="6" s="1"/>
  <c r="R117" i="6"/>
  <c r="Q117" i="6"/>
  <c r="P117" i="6"/>
  <c r="O117" i="6"/>
  <c r="N117" i="6"/>
  <c r="L117" i="6"/>
  <c r="K117" i="6"/>
  <c r="J117" i="6"/>
  <c r="I117" i="6"/>
  <c r="H117" i="6"/>
  <c r="G117" i="6"/>
  <c r="F117" i="6"/>
  <c r="E117" i="6"/>
  <c r="D117" i="6"/>
  <c r="C117" i="6"/>
  <c r="B117" i="6"/>
  <c r="A117" i="6"/>
  <c r="M117" i="6" s="1"/>
  <c r="R116" i="6"/>
  <c r="Q116" i="6"/>
  <c r="P116" i="6"/>
  <c r="O116" i="6"/>
  <c r="N116" i="6"/>
  <c r="K116" i="6"/>
  <c r="J116" i="6"/>
  <c r="I116" i="6"/>
  <c r="F116" i="6"/>
  <c r="E116" i="6"/>
  <c r="D116" i="6"/>
  <c r="C116" i="6"/>
  <c r="B116" i="6"/>
  <c r="A116" i="6"/>
  <c r="M116" i="6" s="1"/>
  <c r="R115" i="6"/>
  <c r="Q115" i="6"/>
  <c r="P115" i="6"/>
  <c r="O115" i="6"/>
  <c r="N115" i="6"/>
  <c r="L115" i="6"/>
  <c r="K115" i="6"/>
  <c r="J115" i="6"/>
  <c r="I115" i="6"/>
  <c r="H115" i="6"/>
  <c r="G115" i="6"/>
  <c r="F115" i="6"/>
  <c r="E115" i="6"/>
  <c r="D115" i="6"/>
  <c r="C115" i="6"/>
  <c r="B115" i="6"/>
  <c r="A115" i="6"/>
  <c r="M115" i="6" s="1"/>
  <c r="R114" i="6"/>
  <c r="Q114" i="6"/>
  <c r="P114" i="6"/>
  <c r="O114" i="6"/>
  <c r="N114" i="6"/>
  <c r="K114" i="6"/>
  <c r="J114" i="6"/>
  <c r="I114" i="6"/>
  <c r="F114" i="6"/>
  <c r="E114" i="6"/>
  <c r="D114" i="6"/>
  <c r="C114" i="6"/>
  <c r="B114" i="6"/>
  <c r="A114" i="6"/>
  <c r="M114" i="6" s="1"/>
  <c r="R113" i="6"/>
  <c r="Q113" i="6"/>
  <c r="P113" i="6"/>
  <c r="O113" i="6"/>
  <c r="N113" i="6"/>
  <c r="L113" i="6"/>
  <c r="K113" i="6"/>
  <c r="J113" i="6"/>
  <c r="I113" i="6"/>
  <c r="H113" i="6"/>
  <c r="G113" i="6"/>
  <c r="F113" i="6"/>
  <c r="E113" i="6"/>
  <c r="D113" i="6"/>
  <c r="C113" i="6"/>
  <c r="B113" i="6"/>
  <c r="A113" i="6"/>
  <c r="M113" i="6" s="1"/>
  <c r="R112" i="6"/>
  <c r="Q112" i="6"/>
  <c r="P112" i="6"/>
  <c r="O112" i="6"/>
  <c r="N112" i="6"/>
  <c r="K112" i="6"/>
  <c r="J112" i="6"/>
  <c r="I112" i="6"/>
  <c r="F112" i="6"/>
  <c r="E112" i="6"/>
  <c r="D112" i="6"/>
  <c r="C112" i="6"/>
  <c r="B112" i="6"/>
  <c r="A112" i="6"/>
  <c r="M112" i="6" s="1"/>
  <c r="R111" i="6"/>
  <c r="Q111" i="6"/>
  <c r="P111" i="6"/>
  <c r="O111" i="6"/>
  <c r="N111" i="6"/>
  <c r="L111" i="6"/>
  <c r="K111" i="6"/>
  <c r="J111" i="6"/>
  <c r="I111" i="6"/>
  <c r="H111" i="6"/>
  <c r="G111" i="6"/>
  <c r="F111" i="6"/>
  <c r="E111" i="6"/>
  <c r="D111" i="6"/>
  <c r="C111" i="6"/>
  <c r="B111" i="6"/>
  <c r="A111" i="6"/>
  <c r="M111" i="6" s="1"/>
  <c r="R110" i="6"/>
  <c r="Q110" i="6"/>
  <c r="P110" i="6"/>
  <c r="O110" i="6"/>
  <c r="N110" i="6"/>
  <c r="K110" i="6"/>
  <c r="J110" i="6"/>
  <c r="I110" i="6"/>
  <c r="F110" i="6"/>
  <c r="E110" i="6"/>
  <c r="D110" i="6"/>
  <c r="C110" i="6"/>
  <c r="B110" i="6"/>
  <c r="A110" i="6"/>
  <c r="M110" i="6" s="1"/>
  <c r="Q109" i="6"/>
  <c r="P109" i="6"/>
  <c r="O109" i="6"/>
  <c r="N109" i="6"/>
  <c r="L109" i="6"/>
  <c r="K109" i="6"/>
  <c r="J109" i="6"/>
  <c r="I109" i="6"/>
  <c r="H109" i="6"/>
  <c r="G109" i="6"/>
  <c r="E109" i="6"/>
  <c r="D109" i="6"/>
  <c r="C109" i="6"/>
  <c r="B109" i="6"/>
  <c r="A109" i="6"/>
  <c r="R109" i="6" s="1"/>
  <c r="R108" i="6"/>
  <c r="Q108" i="6"/>
  <c r="P108" i="6"/>
  <c r="O108" i="6"/>
  <c r="N108" i="6"/>
  <c r="K108" i="6"/>
  <c r="J108" i="6"/>
  <c r="I108" i="6"/>
  <c r="F108" i="6"/>
  <c r="E108" i="6"/>
  <c r="D108" i="6"/>
  <c r="C108" i="6"/>
  <c r="B108" i="6"/>
  <c r="A108" i="6"/>
  <c r="M108" i="6" s="1"/>
  <c r="Q107" i="6"/>
  <c r="P107" i="6"/>
  <c r="O107" i="6"/>
  <c r="L107" i="6"/>
  <c r="K107" i="6"/>
  <c r="J107" i="6"/>
  <c r="I107" i="6"/>
  <c r="H107" i="6"/>
  <c r="G107" i="6"/>
  <c r="E107" i="6"/>
  <c r="D107" i="6"/>
  <c r="C107" i="6"/>
  <c r="B107" i="6"/>
  <c r="A107" i="6"/>
  <c r="R107" i="6" s="1"/>
  <c r="R106" i="6"/>
  <c r="Q106" i="6"/>
  <c r="P106" i="6"/>
  <c r="O106" i="6"/>
  <c r="N106" i="6"/>
  <c r="K106" i="6"/>
  <c r="J106" i="6"/>
  <c r="I106" i="6"/>
  <c r="F106" i="6"/>
  <c r="E106" i="6"/>
  <c r="D106" i="6"/>
  <c r="C106" i="6"/>
  <c r="B106" i="6"/>
  <c r="A106" i="6"/>
  <c r="M106" i="6" s="1"/>
  <c r="Q105" i="6"/>
  <c r="P105" i="6"/>
  <c r="O105" i="6"/>
  <c r="L105" i="6"/>
  <c r="K105" i="6"/>
  <c r="J105" i="6"/>
  <c r="I105" i="6"/>
  <c r="H105" i="6"/>
  <c r="G105" i="6"/>
  <c r="E105" i="6"/>
  <c r="D105" i="6"/>
  <c r="C105" i="6"/>
  <c r="A105" i="6"/>
  <c r="R105" i="6" s="1"/>
  <c r="R104" i="6"/>
  <c r="Q104" i="6"/>
  <c r="P104" i="6"/>
  <c r="O104" i="6"/>
  <c r="N104" i="6"/>
  <c r="K104" i="6"/>
  <c r="J104" i="6"/>
  <c r="I104" i="6"/>
  <c r="F104" i="6"/>
  <c r="E104" i="6"/>
  <c r="D104" i="6"/>
  <c r="C104" i="6"/>
  <c r="B104" i="6"/>
  <c r="A104" i="6"/>
  <c r="M104" i="6" s="1"/>
  <c r="Q103" i="6"/>
  <c r="P103" i="6"/>
  <c r="O103" i="6"/>
  <c r="L103" i="6"/>
  <c r="K103" i="6"/>
  <c r="J103" i="6"/>
  <c r="I103" i="6"/>
  <c r="H103" i="6"/>
  <c r="G103" i="6"/>
  <c r="E103" i="6"/>
  <c r="D103" i="6"/>
  <c r="C103" i="6"/>
  <c r="A103" i="6"/>
  <c r="R103" i="6" s="1"/>
  <c r="R102" i="6"/>
  <c r="Q102" i="6"/>
  <c r="P102" i="6"/>
  <c r="O102" i="6"/>
  <c r="N102" i="6"/>
  <c r="K102" i="6"/>
  <c r="J102" i="6"/>
  <c r="I102" i="6"/>
  <c r="F102" i="6"/>
  <c r="E102" i="6"/>
  <c r="D102" i="6"/>
  <c r="C102" i="6"/>
  <c r="B102" i="6"/>
  <c r="A102" i="6"/>
  <c r="M102" i="6" s="1"/>
  <c r="Q101" i="6"/>
  <c r="P101" i="6"/>
  <c r="O101" i="6"/>
  <c r="L101" i="6"/>
  <c r="K101" i="6"/>
  <c r="J101" i="6"/>
  <c r="I101" i="6"/>
  <c r="H101" i="6"/>
  <c r="G101" i="6"/>
  <c r="E101" i="6"/>
  <c r="D101" i="6"/>
  <c r="C101" i="6"/>
  <c r="A101" i="6"/>
  <c r="R101" i="6" s="1"/>
  <c r="R100" i="6"/>
  <c r="Q100" i="6"/>
  <c r="P100" i="6"/>
  <c r="O100" i="6"/>
  <c r="N100" i="6"/>
  <c r="K100" i="6"/>
  <c r="J100" i="6"/>
  <c r="I100" i="6"/>
  <c r="F100" i="6"/>
  <c r="E100" i="6"/>
  <c r="D100" i="6"/>
  <c r="C100" i="6"/>
  <c r="B100" i="6"/>
  <c r="A100" i="6"/>
  <c r="M100" i="6" s="1"/>
  <c r="Q99" i="6"/>
  <c r="P99" i="6"/>
  <c r="O99" i="6"/>
  <c r="L99" i="6"/>
  <c r="K99" i="6"/>
  <c r="J99" i="6"/>
  <c r="I99" i="6"/>
  <c r="H99" i="6"/>
  <c r="E99" i="6"/>
  <c r="D99" i="6"/>
  <c r="C99" i="6"/>
  <c r="A99" i="6"/>
  <c r="G99" i="6" s="1"/>
  <c r="R98" i="6"/>
  <c r="Q98" i="6"/>
  <c r="P98" i="6"/>
  <c r="O98" i="6"/>
  <c r="N98" i="6"/>
  <c r="K98" i="6"/>
  <c r="J98" i="6"/>
  <c r="I98" i="6"/>
  <c r="F98" i="6"/>
  <c r="E98" i="6"/>
  <c r="D98" i="6"/>
  <c r="C98" i="6"/>
  <c r="B98" i="6"/>
  <c r="A98" i="6"/>
  <c r="M98" i="6" s="1"/>
  <c r="Q97" i="6"/>
  <c r="P97" i="6"/>
  <c r="O97" i="6"/>
  <c r="L97" i="6"/>
  <c r="K97" i="6"/>
  <c r="J97" i="6"/>
  <c r="I97" i="6"/>
  <c r="H97" i="6"/>
  <c r="E97" i="6"/>
  <c r="D97" i="6"/>
  <c r="C97" i="6"/>
  <c r="A97" i="6"/>
  <c r="G97" i="6" s="1"/>
  <c r="R96" i="6"/>
  <c r="Q96" i="6"/>
  <c r="P96" i="6"/>
  <c r="O96" i="6"/>
  <c r="N96" i="6"/>
  <c r="K96" i="6"/>
  <c r="J96" i="6"/>
  <c r="I96" i="6"/>
  <c r="F96" i="6"/>
  <c r="E96" i="6"/>
  <c r="D96" i="6"/>
  <c r="C96" i="6"/>
  <c r="B96" i="6"/>
  <c r="A96" i="6"/>
  <c r="M96" i="6" s="1"/>
  <c r="Q95" i="6"/>
  <c r="P95" i="6"/>
  <c r="O95" i="6"/>
  <c r="L95" i="6"/>
  <c r="K95" i="6"/>
  <c r="J95" i="6"/>
  <c r="I95" i="6"/>
  <c r="H95" i="6"/>
  <c r="E95" i="6"/>
  <c r="D95" i="6"/>
  <c r="C95" i="6"/>
  <c r="A95" i="6"/>
  <c r="G95" i="6" s="1"/>
  <c r="R94" i="6"/>
  <c r="Q94" i="6"/>
  <c r="P94" i="6"/>
  <c r="O94" i="6"/>
  <c r="N94" i="6"/>
  <c r="K94" i="6"/>
  <c r="J94" i="6"/>
  <c r="I94" i="6"/>
  <c r="F94" i="6"/>
  <c r="E94" i="6"/>
  <c r="D94" i="6"/>
  <c r="C94" i="6"/>
  <c r="B94" i="6"/>
  <c r="A94" i="6"/>
  <c r="M94" i="6" s="1"/>
  <c r="M93" i="6"/>
  <c r="I93" i="6"/>
  <c r="G93" i="6"/>
  <c r="A93" i="6"/>
  <c r="R92" i="6"/>
  <c r="N92" i="6"/>
  <c r="L92" i="6"/>
  <c r="G92" i="6"/>
  <c r="F92" i="6"/>
  <c r="B92" i="6"/>
  <c r="A92" i="6"/>
  <c r="P92" i="6" s="1"/>
  <c r="M91" i="6"/>
  <c r="L91" i="6"/>
  <c r="H91" i="6"/>
  <c r="A91" i="6"/>
  <c r="R90" i="6"/>
  <c r="N90" i="6"/>
  <c r="L90" i="6"/>
  <c r="G90" i="6"/>
  <c r="F90" i="6"/>
  <c r="B90" i="6"/>
  <c r="A90" i="6"/>
  <c r="P90" i="6" s="1"/>
  <c r="R89" i="6"/>
  <c r="M89" i="6"/>
  <c r="G89" i="6"/>
  <c r="F89" i="6"/>
  <c r="A89" i="6"/>
  <c r="P89" i="6" s="1"/>
  <c r="P88" i="6"/>
  <c r="M88" i="6"/>
  <c r="L88" i="6"/>
  <c r="J88" i="6"/>
  <c r="D88" i="6"/>
  <c r="B88" i="6"/>
  <c r="A88" i="6"/>
  <c r="A87" i="6"/>
  <c r="R86" i="6"/>
  <c r="N86" i="6"/>
  <c r="L86" i="6"/>
  <c r="G86" i="6"/>
  <c r="F86" i="6"/>
  <c r="D86" i="6"/>
  <c r="A86" i="6"/>
  <c r="P86" i="6" s="1"/>
  <c r="R85" i="6"/>
  <c r="P85" i="6"/>
  <c r="A85" i="6"/>
  <c r="M85" i="6" s="1"/>
  <c r="N84" i="6"/>
  <c r="M84" i="6"/>
  <c r="J84" i="6"/>
  <c r="F84" i="6"/>
  <c r="B84" i="6"/>
  <c r="A84" i="6"/>
  <c r="R84" i="6" s="1"/>
  <c r="R83" i="6"/>
  <c r="P83" i="6"/>
  <c r="M83" i="6"/>
  <c r="L83" i="6"/>
  <c r="J83" i="6"/>
  <c r="H83" i="6"/>
  <c r="G83" i="6"/>
  <c r="D83" i="6"/>
  <c r="A83" i="6"/>
  <c r="N82" i="6"/>
  <c r="J82" i="6"/>
  <c r="G82" i="6"/>
  <c r="A82" i="6"/>
  <c r="R82" i="6" s="1"/>
  <c r="P81" i="6"/>
  <c r="L81" i="6"/>
  <c r="G81" i="6"/>
  <c r="F81" i="6"/>
  <c r="A81" i="6"/>
  <c r="R81" i="6" s="1"/>
  <c r="P80" i="6"/>
  <c r="M80" i="6"/>
  <c r="L80" i="6"/>
  <c r="J80" i="6"/>
  <c r="D80" i="6"/>
  <c r="B80" i="6"/>
  <c r="A80" i="6"/>
  <c r="A79" i="6"/>
  <c r="R78" i="6"/>
  <c r="N78" i="6"/>
  <c r="L78" i="6"/>
  <c r="G78" i="6"/>
  <c r="F78" i="6"/>
  <c r="D78" i="6"/>
  <c r="A78" i="6"/>
  <c r="P78" i="6" s="1"/>
  <c r="R77" i="6"/>
  <c r="P77" i="6"/>
  <c r="A77" i="6"/>
  <c r="M77" i="6" s="1"/>
  <c r="N76" i="6"/>
  <c r="M76" i="6"/>
  <c r="J76" i="6"/>
  <c r="F76" i="6"/>
  <c r="B76" i="6"/>
  <c r="A76" i="6"/>
  <c r="R76" i="6" s="1"/>
  <c r="R75" i="6"/>
  <c r="P75" i="6"/>
  <c r="M75" i="6"/>
  <c r="L75" i="6"/>
  <c r="J75" i="6"/>
  <c r="H75" i="6"/>
  <c r="G75" i="6"/>
  <c r="D75" i="6"/>
  <c r="A75" i="6"/>
  <c r="N74" i="6"/>
  <c r="J74" i="6"/>
  <c r="G74" i="6"/>
  <c r="A74" i="6"/>
  <c r="R74" i="6" s="1"/>
  <c r="P73" i="6"/>
  <c r="L73" i="6"/>
  <c r="G73" i="6"/>
  <c r="F73" i="6"/>
  <c r="A73" i="6"/>
  <c r="R73" i="6" s="1"/>
  <c r="P72" i="6"/>
  <c r="M72" i="6"/>
  <c r="L72" i="6"/>
  <c r="J72" i="6"/>
  <c r="F72" i="6"/>
  <c r="D72" i="6"/>
  <c r="B72" i="6"/>
  <c r="A72" i="6"/>
  <c r="G71" i="6"/>
  <c r="A71" i="6"/>
  <c r="R70" i="6"/>
  <c r="N70" i="6"/>
  <c r="L70" i="6"/>
  <c r="G70" i="6"/>
  <c r="F70" i="6"/>
  <c r="D70" i="6"/>
  <c r="A70" i="6"/>
  <c r="P70" i="6" s="1"/>
  <c r="R69" i="6"/>
  <c r="P69" i="6"/>
  <c r="A69" i="6"/>
  <c r="N68" i="6"/>
  <c r="M68" i="6"/>
  <c r="J68" i="6"/>
  <c r="F68" i="6"/>
  <c r="B68" i="6"/>
  <c r="A68" i="6"/>
  <c r="R68" i="6" s="1"/>
  <c r="R67" i="6"/>
  <c r="P67" i="6"/>
  <c r="M67" i="6"/>
  <c r="L67" i="6"/>
  <c r="J67" i="6"/>
  <c r="H67" i="6"/>
  <c r="G67" i="6"/>
  <c r="D67" i="6"/>
  <c r="A67" i="6"/>
  <c r="N66" i="6"/>
  <c r="J66" i="6"/>
  <c r="G66" i="6"/>
  <c r="A66" i="6"/>
  <c r="R66" i="6" s="1"/>
  <c r="P65" i="6"/>
  <c r="L65" i="6"/>
  <c r="G65" i="6"/>
  <c r="F65" i="6"/>
  <c r="A65" i="6"/>
  <c r="R65" i="6" s="1"/>
  <c r="P64" i="6"/>
  <c r="M64" i="6"/>
  <c r="L64" i="6"/>
  <c r="J64" i="6"/>
  <c r="F64" i="6"/>
  <c r="D64" i="6"/>
  <c r="B64" i="6"/>
  <c r="A64" i="6"/>
  <c r="M63" i="6"/>
  <c r="J63" i="6"/>
  <c r="G63" i="6"/>
  <c r="A63" i="6"/>
  <c r="R62" i="6"/>
  <c r="N62" i="6"/>
  <c r="L62" i="6"/>
  <c r="G62" i="6"/>
  <c r="F62" i="6"/>
  <c r="D62" i="6"/>
  <c r="A62" i="6"/>
  <c r="P62" i="6" s="1"/>
  <c r="R61" i="6"/>
  <c r="P61" i="6"/>
  <c r="H61" i="6"/>
  <c r="F61" i="6"/>
  <c r="A61" i="6"/>
  <c r="N60" i="6"/>
  <c r="M60" i="6"/>
  <c r="J60" i="6"/>
  <c r="F60" i="6"/>
  <c r="B60" i="6"/>
  <c r="A60" i="6"/>
  <c r="R60" i="6" s="1"/>
  <c r="R59" i="6"/>
  <c r="P59" i="6"/>
  <c r="M59" i="6"/>
  <c r="L59" i="6"/>
  <c r="J59" i="6"/>
  <c r="H59" i="6"/>
  <c r="G59" i="6"/>
  <c r="D59" i="6"/>
  <c r="A59" i="6"/>
  <c r="A58" i="6"/>
  <c r="P57" i="6"/>
  <c r="L57" i="6"/>
  <c r="F57" i="6"/>
  <c r="A57" i="6"/>
  <c r="P56" i="6"/>
  <c r="M56" i="6"/>
  <c r="L56" i="6"/>
  <c r="J56" i="6"/>
  <c r="F56" i="6"/>
  <c r="D56" i="6"/>
  <c r="B56" i="6"/>
  <c r="A56" i="6"/>
  <c r="A55" i="6"/>
  <c r="R54" i="6"/>
  <c r="N54" i="6"/>
  <c r="L54" i="6"/>
  <c r="G54" i="6"/>
  <c r="F54" i="6"/>
  <c r="D54" i="6"/>
  <c r="A54" i="6"/>
  <c r="P54" i="6" s="1"/>
  <c r="R53" i="6"/>
  <c r="L53" i="6"/>
  <c r="F53" i="6"/>
  <c r="A53" i="6"/>
  <c r="N52" i="6"/>
  <c r="M52" i="6"/>
  <c r="J52" i="6"/>
  <c r="F52" i="6"/>
  <c r="B52" i="6"/>
  <c r="A52" i="6"/>
  <c r="R52" i="6" s="1"/>
  <c r="R51" i="6"/>
  <c r="P51" i="6"/>
  <c r="M51" i="6"/>
  <c r="L51" i="6"/>
  <c r="J51" i="6"/>
  <c r="H51" i="6"/>
  <c r="G51" i="6"/>
  <c r="D51" i="6"/>
  <c r="A51" i="6"/>
  <c r="R50" i="6"/>
  <c r="N50" i="6"/>
  <c r="A50" i="6"/>
  <c r="J50" i="6" s="1"/>
  <c r="L49" i="6"/>
  <c r="F49" i="6"/>
  <c r="A49" i="6"/>
  <c r="P48" i="6"/>
  <c r="M48" i="6"/>
  <c r="L48" i="6"/>
  <c r="J48" i="6"/>
  <c r="F48" i="6"/>
  <c r="D48" i="6"/>
  <c r="B48" i="6"/>
  <c r="A48" i="6"/>
  <c r="R47" i="6"/>
  <c r="J47" i="6"/>
  <c r="A47" i="6"/>
  <c r="R46" i="6"/>
  <c r="N46" i="6"/>
  <c r="L46" i="6"/>
  <c r="G46" i="6"/>
  <c r="F46" i="6"/>
  <c r="D46" i="6"/>
  <c r="A46" i="6"/>
  <c r="P46" i="6" s="1"/>
  <c r="A45" i="6"/>
  <c r="N44" i="6"/>
  <c r="M44" i="6"/>
  <c r="J44" i="6"/>
  <c r="F44" i="6"/>
  <c r="B44" i="6"/>
  <c r="A44" i="6"/>
  <c r="R44" i="6" s="1"/>
  <c r="R43" i="6"/>
  <c r="M43" i="6"/>
  <c r="L43" i="6"/>
  <c r="H43" i="6"/>
  <c r="F43" i="6"/>
  <c r="B43" i="6"/>
  <c r="A43" i="6"/>
  <c r="P43" i="6" s="1"/>
  <c r="R42" i="6"/>
  <c r="M42" i="6"/>
  <c r="L42" i="6"/>
  <c r="H42" i="6"/>
  <c r="F42" i="6"/>
  <c r="B42" i="6"/>
  <c r="A42" i="6"/>
  <c r="P42" i="6" s="1"/>
  <c r="H41" i="6"/>
  <c r="F41" i="6"/>
  <c r="A41" i="6"/>
  <c r="R41" i="6" s="1"/>
  <c r="P40" i="6"/>
  <c r="O40" i="6"/>
  <c r="N40" i="6"/>
  <c r="L40" i="6"/>
  <c r="J40" i="6"/>
  <c r="H40" i="6"/>
  <c r="G40" i="6"/>
  <c r="F40" i="6"/>
  <c r="D40" i="6"/>
  <c r="C40" i="6"/>
  <c r="B40" i="6"/>
  <c r="A40" i="6"/>
  <c r="Q40" i="6" s="1"/>
  <c r="R39" i="6"/>
  <c r="P39" i="6"/>
  <c r="N39" i="6"/>
  <c r="L39" i="6"/>
  <c r="I39" i="6"/>
  <c r="H39" i="6"/>
  <c r="F39" i="6"/>
  <c r="D39" i="6"/>
  <c r="B39" i="6"/>
  <c r="A39" i="6"/>
  <c r="Q39" i="6" s="1"/>
  <c r="R38" i="6"/>
  <c r="P38" i="6"/>
  <c r="O38" i="6"/>
  <c r="N38" i="6"/>
  <c r="L38" i="6"/>
  <c r="J38" i="6"/>
  <c r="H38" i="6"/>
  <c r="G38" i="6"/>
  <c r="F38" i="6"/>
  <c r="D38" i="6"/>
  <c r="C38" i="6"/>
  <c r="B38" i="6"/>
  <c r="A38" i="6"/>
  <c r="K38" i="6" s="1"/>
  <c r="R37" i="6"/>
  <c r="P37" i="6"/>
  <c r="N37" i="6"/>
  <c r="L37" i="6"/>
  <c r="I37" i="6"/>
  <c r="H37" i="6"/>
  <c r="F37" i="6"/>
  <c r="D37" i="6"/>
  <c r="B37" i="6"/>
  <c r="A37" i="6"/>
  <c r="Q37" i="6" s="1"/>
  <c r="R36" i="6"/>
  <c r="P36" i="6"/>
  <c r="O36" i="6"/>
  <c r="N36" i="6"/>
  <c r="L36" i="6"/>
  <c r="J36" i="6"/>
  <c r="H36" i="6"/>
  <c r="G36" i="6"/>
  <c r="F36" i="6"/>
  <c r="D36" i="6"/>
  <c r="C36" i="6"/>
  <c r="B36" i="6"/>
  <c r="A36" i="6"/>
  <c r="K36" i="6" s="1"/>
  <c r="A35" i="6"/>
  <c r="R35" i="6" s="1"/>
  <c r="R34" i="6"/>
  <c r="P34" i="6"/>
  <c r="O34" i="6"/>
  <c r="N34" i="6"/>
  <c r="L34" i="6"/>
  <c r="J34" i="6"/>
  <c r="H34" i="6"/>
  <c r="G34" i="6"/>
  <c r="F34" i="6"/>
  <c r="D34" i="6"/>
  <c r="C34" i="6"/>
  <c r="B34" i="6"/>
  <c r="A34" i="6"/>
  <c r="K34" i="6" s="1"/>
  <c r="A33" i="6"/>
  <c r="R33" i="6" s="1"/>
  <c r="R32" i="6"/>
  <c r="P32" i="6"/>
  <c r="O32" i="6"/>
  <c r="N32" i="6"/>
  <c r="L32" i="6"/>
  <c r="J32" i="6"/>
  <c r="H32" i="6"/>
  <c r="G32" i="6"/>
  <c r="F32" i="6"/>
  <c r="D32" i="6"/>
  <c r="C32" i="6"/>
  <c r="B32" i="6"/>
  <c r="A32" i="6"/>
  <c r="K32" i="6" s="1"/>
  <c r="A31" i="6"/>
  <c r="R31" i="6" s="1"/>
  <c r="R30" i="6"/>
  <c r="P30" i="6"/>
  <c r="O30" i="6"/>
  <c r="N30" i="6"/>
  <c r="L30" i="6"/>
  <c r="J30" i="6"/>
  <c r="H30" i="6"/>
  <c r="G30" i="6"/>
  <c r="F30" i="6"/>
  <c r="D30" i="6"/>
  <c r="C30" i="6"/>
  <c r="B30" i="6"/>
  <c r="A30" i="6"/>
  <c r="K30" i="6" s="1"/>
  <c r="R29" i="6"/>
  <c r="N29" i="6"/>
  <c r="M29" i="6"/>
  <c r="L29" i="6"/>
  <c r="I29" i="6"/>
  <c r="F29" i="6"/>
  <c r="D29" i="6"/>
  <c r="B29" i="6"/>
  <c r="A29" i="6"/>
  <c r="R28" i="6"/>
  <c r="P28" i="6"/>
  <c r="O28" i="6"/>
  <c r="N28" i="6"/>
  <c r="L28" i="6"/>
  <c r="J28" i="6"/>
  <c r="H28" i="6"/>
  <c r="G28" i="6"/>
  <c r="F28" i="6"/>
  <c r="D28" i="6"/>
  <c r="C28" i="6"/>
  <c r="B28" i="6"/>
  <c r="A28" i="6"/>
  <c r="K28" i="6" s="1"/>
  <c r="P27" i="6"/>
  <c r="N27" i="6"/>
  <c r="M27" i="6"/>
  <c r="L27" i="6"/>
  <c r="J27" i="6"/>
  <c r="I27" i="6"/>
  <c r="H27" i="6"/>
  <c r="G27" i="6"/>
  <c r="F27" i="6"/>
  <c r="D27" i="6"/>
  <c r="B27" i="6"/>
  <c r="A27" i="6"/>
  <c r="R26" i="6"/>
  <c r="O26" i="6"/>
  <c r="M26" i="6"/>
  <c r="H26" i="6"/>
  <c r="G26" i="6"/>
  <c r="D26" i="6"/>
  <c r="B26" i="6"/>
  <c r="A26" i="6"/>
  <c r="N26" i="6" s="1"/>
  <c r="J25" i="6"/>
  <c r="I25" i="6"/>
  <c r="A25" i="6"/>
  <c r="P25" i="6" s="1"/>
  <c r="M24" i="6"/>
  <c r="L24" i="6"/>
  <c r="F24" i="6"/>
  <c r="C24" i="6"/>
  <c r="A24" i="6"/>
  <c r="O24" i="6" s="1"/>
  <c r="P23" i="6"/>
  <c r="N23" i="6"/>
  <c r="M23" i="6"/>
  <c r="J23" i="6"/>
  <c r="H23" i="6"/>
  <c r="G23" i="6"/>
  <c r="F23" i="6"/>
  <c r="B23" i="6"/>
  <c r="A23" i="6"/>
  <c r="L23" i="6" s="1"/>
  <c r="O22" i="6"/>
  <c r="A22" i="6"/>
  <c r="N22" i="6" s="1"/>
  <c r="A21" i="6"/>
  <c r="P21" i="6" s="1"/>
  <c r="N20" i="6"/>
  <c r="L20" i="6"/>
  <c r="D20" i="6"/>
  <c r="C20" i="6"/>
  <c r="A20" i="6"/>
  <c r="O20" i="6" s="1"/>
  <c r="P19" i="6"/>
  <c r="N19" i="6"/>
  <c r="M19" i="6"/>
  <c r="L19" i="6"/>
  <c r="J19" i="6"/>
  <c r="I19" i="6"/>
  <c r="H19" i="6"/>
  <c r="G19" i="6"/>
  <c r="F19" i="6"/>
  <c r="D19" i="6"/>
  <c r="B19" i="6"/>
  <c r="A19" i="6"/>
  <c r="R18" i="6"/>
  <c r="O18" i="6"/>
  <c r="M18" i="6"/>
  <c r="H18" i="6"/>
  <c r="G18" i="6"/>
  <c r="D18" i="6"/>
  <c r="B18" i="6"/>
  <c r="A18" i="6"/>
  <c r="N18" i="6" s="1"/>
  <c r="J17" i="6"/>
  <c r="I17" i="6"/>
  <c r="A17" i="6"/>
  <c r="P17" i="6" s="1"/>
  <c r="M16" i="6"/>
  <c r="L16" i="6"/>
  <c r="F16" i="6"/>
  <c r="C16" i="6"/>
  <c r="A16" i="6"/>
  <c r="O16" i="6" s="1"/>
  <c r="P15" i="6"/>
  <c r="N15" i="6"/>
  <c r="M15" i="6"/>
  <c r="J15" i="6"/>
  <c r="H15" i="6"/>
  <c r="G15" i="6"/>
  <c r="F15" i="6"/>
  <c r="B15" i="6"/>
  <c r="A15" i="6"/>
  <c r="L15" i="6" s="1"/>
  <c r="O14" i="6"/>
  <c r="A14" i="6"/>
  <c r="N14" i="6" s="1"/>
  <c r="A13" i="6"/>
  <c r="P13" i="6" s="1"/>
  <c r="N12" i="6"/>
  <c r="L12" i="6"/>
  <c r="H12" i="6"/>
  <c r="D12" i="6"/>
  <c r="C12" i="6"/>
  <c r="A12" i="6"/>
  <c r="O12" i="6" s="1"/>
  <c r="P11" i="6"/>
  <c r="O11" i="6"/>
  <c r="N11" i="6"/>
  <c r="L11" i="6"/>
  <c r="J11" i="6"/>
  <c r="I11" i="6"/>
  <c r="H11" i="6"/>
  <c r="F11" i="6"/>
  <c r="D11" i="6"/>
  <c r="C11" i="6"/>
  <c r="B11" i="6"/>
  <c r="A11" i="6"/>
  <c r="Q11" i="6" s="1"/>
  <c r="R10" i="6"/>
  <c r="Q10" i="6"/>
  <c r="P10" i="6"/>
  <c r="O10" i="6"/>
  <c r="N10" i="6"/>
  <c r="L10" i="6"/>
  <c r="J10" i="6"/>
  <c r="I10" i="6"/>
  <c r="H10" i="6"/>
  <c r="G10" i="6"/>
  <c r="F10" i="6"/>
  <c r="E10" i="6"/>
  <c r="D10" i="6"/>
  <c r="C10" i="6"/>
  <c r="B10" i="6"/>
  <c r="A10" i="6"/>
  <c r="K10" i="6" s="1"/>
  <c r="R9" i="6"/>
  <c r="P9" i="6"/>
  <c r="O9" i="6"/>
  <c r="N9" i="6"/>
  <c r="L9" i="6"/>
  <c r="J9" i="6"/>
  <c r="I9" i="6"/>
  <c r="H9" i="6"/>
  <c r="F9" i="6"/>
  <c r="D9" i="6"/>
  <c r="C9" i="6"/>
  <c r="B9" i="6"/>
  <c r="A9" i="6"/>
  <c r="Q9" i="6" s="1"/>
  <c r="B8" i="6"/>
  <c r="A8" i="6"/>
  <c r="A7" i="6"/>
  <c r="AG504" i="5"/>
  <c r="AF504" i="5"/>
  <c r="AE504" i="5"/>
  <c r="AD504" i="5"/>
  <c r="Y504" i="5"/>
  <c r="Z504" i="5" s="1"/>
  <c r="X504" i="5"/>
  <c r="U504" i="5"/>
  <c r="S504" i="5"/>
  <c r="T504" i="5" s="1"/>
  <c r="R504" i="5"/>
  <c r="Q504" i="5"/>
  <c r="P504" i="5"/>
  <c r="O504" i="5"/>
  <c r="N504" i="5"/>
  <c r="M504" i="5"/>
  <c r="L504" i="5"/>
  <c r="K504" i="5"/>
  <c r="J504" i="5"/>
  <c r="I504" i="5"/>
  <c r="H504" i="5"/>
  <c r="G504" i="5"/>
  <c r="AA504" i="5" s="1"/>
  <c r="C504" i="5"/>
  <c r="AG503" i="5"/>
  <c r="AF503" i="5"/>
  <c r="AE503" i="5"/>
  <c r="AD503" i="5"/>
  <c r="AC503" i="5"/>
  <c r="Z503" i="5"/>
  <c r="Y503" i="5"/>
  <c r="X503" i="5"/>
  <c r="U503" i="5"/>
  <c r="S503" i="5"/>
  <c r="T503" i="5" s="1"/>
  <c r="R503" i="5"/>
  <c r="Q503" i="5"/>
  <c r="P503" i="5"/>
  <c r="O503" i="5"/>
  <c r="N503" i="5"/>
  <c r="M503" i="5"/>
  <c r="L503" i="5"/>
  <c r="K503" i="5"/>
  <c r="J503" i="5"/>
  <c r="I503" i="5"/>
  <c r="H503" i="5"/>
  <c r="G503" i="5"/>
  <c r="AA503" i="5" s="1"/>
  <c r="AB503" i="5" s="1"/>
  <c r="C503" i="5"/>
  <c r="AG502" i="5"/>
  <c r="AF502" i="5"/>
  <c r="AE502" i="5"/>
  <c r="AD502" i="5"/>
  <c r="AA502" i="5"/>
  <c r="Z502" i="5"/>
  <c r="AB502" i="5" s="1"/>
  <c r="Y502" i="5"/>
  <c r="X502" i="5"/>
  <c r="U502" i="5"/>
  <c r="S502" i="5"/>
  <c r="T502" i="5" s="1"/>
  <c r="R502" i="5"/>
  <c r="Q502" i="5"/>
  <c r="P502" i="5"/>
  <c r="O502" i="5"/>
  <c r="N502" i="5"/>
  <c r="M502" i="5"/>
  <c r="L502" i="5"/>
  <c r="K502" i="5"/>
  <c r="J502" i="5"/>
  <c r="I502" i="5"/>
  <c r="H502" i="5"/>
  <c r="G502" i="5"/>
  <c r="C502" i="5"/>
  <c r="AG501" i="5"/>
  <c r="AF501" i="5"/>
  <c r="AE501" i="5"/>
  <c r="AD501" i="5"/>
  <c r="Y501" i="5"/>
  <c r="Z501" i="5" s="1"/>
  <c r="X501" i="5"/>
  <c r="U501" i="5"/>
  <c r="T501" i="5"/>
  <c r="S501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AA501" i="5" s="1"/>
  <c r="C501" i="5"/>
  <c r="AG500" i="5"/>
  <c r="AF500" i="5"/>
  <c r="AE500" i="5"/>
  <c r="AD500" i="5"/>
  <c r="AA500" i="5"/>
  <c r="Y500" i="5"/>
  <c r="Z500" i="5" s="1"/>
  <c r="X500" i="5"/>
  <c r="U500" i="5"/>
  <c r="T500" i="5"/>
  <c r="S500" i="5"/>
  <c r="R500" i="5"/>
  <c r="Q500" i="5"/>
  <c r="P500" i="5"/>
  <c r="O500" i="5"/>
  <c r="N500" i="5"/>
  <c r="M500" i="5"/>
  <c r="L500" i="5"/>
  <c r="K500" i="5"/>
  <c r="J500" i="5"/>
  <c r="I500" i="5"/>
  <c r="H500" i="5"/>
  <c r="G500" i="5"/>
  <c r="C500" i="5"/>
  <c r="AG499" i="5"/>
  <c r="AF499" i="5"/>
  <c r="AE499" i="5"/>
  <c r="AD499" i="5"/>
  <c r="Y499" i="5"/>
  <c r="Z499" i="5" s="1"/>
  <c r="X499" i="5"/>
  <c r="U499" i="5"/>
  <c r="S499" i="5"/>
  <c r="T499" i="5" s="1"/>
  <c r="R499" i="5"/>
  <c r="Q499" i="5"/>
  <c r="P499" i="5"/>
  <c r="O499" i="5"/>
  <c r="N499" i="5"/>
  <c r="M499" i="5"/>
  <c r="L499" i="5"/>
  <c r="K499" i="5"/>
  <c r="J499" i="5"/>
  <c r="I499" i="5"/>
  <c r="H499" i="5"/>
  <c r="G499" i="5"/>
  <c r="AA499" i="5" s="1"/>
  <c r="C499" i="5"/>
  <c r="AG498" i="5"/>
  <c r="AF498" i="5"/>
  <c r="AE498" i="5"/>
  <c r="AD498" i="5"/>
  <c r="Y498" i="5"/>
  <c r="Z498" i="5" s="1"/>
  <c r="X498" i="5"/>
  <c r="U498" i="5"/>
  <c r="S498" i="5"/>
  <c r="T498" i="5" s="1"/>
  <c r="R498" i="5"/>
  <c r="Q498" i="5"/>
  <c r="P498" i="5"/>
  <c r="O498" i="5"/>
  <c r="N498" i="5"/>
  <c r="M498" i="5"/>
  <c r="L498" i="5"/>
  <c r="K498" i="5"/>
  <c r="J498" i="5"/>
  <c r="I498" i="5"/>
  <c r="H498" i="5"/>
  <c r="G498" i="5"/>
  <c r="AA498" i="5" s="1"/>
  <c r="C498" i="5"/>
  <c r="AO497" i="5"/>
  <c r="AG497" i="5"/>
  <c r="AF497" i="5"/>
  <c r="AE497" i="5"/>
  <c r="AD497" i="5"/>
  <c r="AC497" i="5"/>
  <c r="AN497" i="5" s="1"/>
  <c r="Z497" i="5"/>
  <c r="Y497" i="5"/>
  <c r="X497" i="5"/>
  <c r="U497" i="5"/>
  <c r="S497" i="5"/>
  <c r="T497" i="5" s="1"/>
  <c r="R497" i="5"/>
  <c r="Q497" i="5"/>
  <c r="P497" i="5"/>
  <c r="O497" i="5"/>
  <c r="N497" i="5"/>
  <c r="M497" i="5"/>
  <c r="L497" i="5"/>
  <c r="K497" i="5"/>
  <c r="J497" i="5"/>
  <c r="I497" i="5"/>
  <c r="H497" i="5"/>
  <c r="G497" i="5"/>
  <c r="AA497" i="5" s="1"/>
  <c r="AB497" i="5" s="1"/>
  <c r="C497" i="5"/>
  <c r="AG496" i="5"/>
  <c r="AF496" i="5"/>
  <c r="AE496" i="5"/>
  <c r="AD496" i="5"/>
  <c r="AA496" i="5"/>
  <c r="Z496" i="5"/>
  <c r="Y496" i="5"/>
  <c r="X496" i="5"/>
  <c r="AC496" i="5" s="1"/>
  <c r="U496" i="5"/>
  <c r="S496" i="5"/>
  <c r="T496" i="5" s="1"/>
  <c r="R496" i="5"/>
  <c r="Q496" i="5"/>
  <c r="P496" i="5"/>
  <c r="O496" i="5"/>
  <c r="N496" i="5"/>
  <c r="M496" i="5"/>
  <c r="L496" i="5"/>
  <c r="K496" i="5"/>
  <c r="J496" i="5"/>
  <c r="I496" i="5"/>
  <c r="H496" i="5"/>
  <c r="G496" i="5"/>
  <c r="C496" i="5"/>
  <c r="AG495" i="5"/>
  <c r="AF495" i="5"/>
  <c r="AE495" i="5"/>
  <c r="AD495" i="5"/>
  <c r="Y495" i="5"/>
  <c r="Z495" i="5" s="1"/>
  <c r="X495" i="5"/>
  <c r="U495" i="5"/>
  <c r="T495" i="5"/>
  <c r="S495" i="5"/>
  <c r="R495" i="5"/>
  <c r="Q495" i="5"/>
  <c r="P495" i="5"/>
  <c r="O495" i="5"/>
  <c r="N495" i="5"/>
  <c r="M495" i="5"/>
  <c r="L495" i="5"/>
  <c r="K495" i="5"/>
  <c r="J495" i="5"/>
  <c r="I495" i="5"/>
  <c r="H495" i="5"/>
  <c r="G495" i="5"/>
  <c r="AA495" i="5" s="1"/>
  <c r="C495" i="5"/>
  <c r="AG494" i="5"/>
  <c r="AF494" i="5"/>
  <c r="AE494" i="5"/>
  <c r="AD494" i="5"/>
  <c r="AA494" i="5"/>
  <c r="Y494" i="5"/>
  <c r="Z494" i="5" s="1"/>
  <c r="X494" i="5"/>
  <c r="AC494" i="5" s="1"/>
  <c r="U494" i="5"/>
  <c r="T494" i="5"/>
  <c r="S494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C494" i="5"/>
  <c r="AG493" i="5"/>
  <c r="AF493" i="5"/>
  <c r="AE493" i="5"/>
  <c r="AD493" i="5"/>
  <c r="Y493" i="5"/>
  <c r="Z493" i="5" s="1"/>
  <c r="X493" i="5"/>
  <c r="U493" i="5"/>
  <c r="S493" i="5"/>
  <c r="T493" i="5" s="1"/>
  <c r="R493" i="5"/>
  <c r="Q493" i="5"/>
  <c r="P493" i="5"/>
  <c r="O493" i="5"/>
  <c r="N493" i="5"/>
  <c r="M493" i="5"/>
  <c r="L493" i="5"/>
  <c r="K493" i="5"/>
  <c r="J493" i="5"/>
  <c r="I493" i="5"/>
  <c r="H493" i="5"/>
  <c r="G493" i="5"/>
  <c r="AA493" i="5" s="1"/>
  <c r="C493" i="5"/>
  <c r="AG492" i="5"/>
  <c r="AF492" i="5"/>
  <c r="AE492" i="5"/>
  <c r="AD492" i="5"/>
  <c r="Y492" i="5"/>
  <c r="Z492" i="5" s="1"/>
  <c r="X492" i="5"/>
  <c r="U492" i="5"/>
  <c r="S492" i="5"/>
  <c r="T492" i="5" s="1"/>
  <c r="R492" i="5"/>
  <c r="Q492" i="5"/>
  <c r="P492" i="5"/>
  <c r="O492" i="5"/>
  <c r="N492" i="5"/>
  <c r="M492" i="5"/>
  <c r="L492" i="5"/>
  <c r="K492" i="5"/>
  <c r="J492" i="5"/>
  <c r="I492" i="5"/>
  <c r="H492" i="5"/>
  <c r="G492" i="5"/>
  <c r="AA492" i="5" s="1"/>
  <c r="C492" i="5"/>
  <c r="AG491" i="5"/>
  <c r="AF491" i="5"/>
  <c r="AE491" i="5"/>
  <c r="AD491" i="5"/>
  <c r="AC491" i="5"/>
  <c r="Z491" i="5"/>
  <c r="Y491" i="5"/>
  <c r="X491" i="5"/>
  <c r="U491" i="5"/>
  <c r="S491" i="5"/>
  <c r="T491" i="5" s="1"/>
  <c r="R491" i="5"/>
  <c r="Q491" i="5"/>
  <c r="P491" i="5"/>
  <c r="O491" i="5"/>
  <c r="N491" i="5"/>
  <c r="M491" i="5"/>
  <c r="L491" i="5"/>
  <c r="K491" i="5"/>
  <c r="J491" i="5"/>
  <c r="I491" i="5"/>
  <c r="H491" i="5"/>
  <c r="G491" i="5"/>
  <c r="AA491" i="5" s="1"/>
  <c r="AB491" i="5" s="1"/>
  <c r="C491" i="5"/>
  <c r="AG490" i="5"/>
  <c r="AF490" i="5"/>
  <c r="AE490" i="5"/>
  <c r="AD490" i="5"/>
  <c r="AA490" i="5"/>
  <c r="Z490" i="5"/>
  <c r="Y490" i="5"/>
  <c r="X490" i="5"/>
  <c r="U490" i="5"/>
  <c r="S490" i="5"/>
  <c r="T490" i="5" s="1"/>
  <c r="R490" i="5"/>
  <c r="Q490" i="5"/>
  <c r="P490" i="5"/>
  <c r="O490" i="5"/>
  <c r="N490" i="5"/>
  <c r="M490" i="5"/>
  <c r="L490" i="5"/>
  <c r="K490" i="5"/>
  <c r="J490" i="5"/>
  <c r="I490" i="5"/>
  <c r="H490" i="5"/>
  <c r="G490" i="5"/>
  <c r="C490" i="5"/>
  <c r="AG489" i="5"/>
  <c r="AF489" i="5"/>
  <c r="AE489" i="5"/>
  <c r="AD489" i="5"/>
  <c r="AA489" i="5"/>
  <c r="Y489" i="5"/>
  <c r="Z489" i="5" s="1"/>
  <c r="X489" i="5"/>
  <c r="U489" i="5"/>
  <c r="T489" i="5"/>
  <c r="S489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C489" i="5"/>
  <c r="AG488" i="5"/>
  <c r="AF488" i="5"/>
  <c r="AE488" i="5"/>
  <c r="AD488" i="5"/>
  <c r="AA488" i="5"/>
  <c r="Y488" i="5"/>
  <c r="Z488" i="5" s="1"/>
  <c r="X488" i="5"/>
  <c r="AC488" i="5" s="1"/>
  <c r="U488" i="5"/>
  <c r="T488" i="5"/>
  <c r="S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C488" i="5"/>
  <c r="AG487" i="5"/>
  <c r="AF487" i="5"/>
  <c r="AE487" i="5"/>
  <c r="AD487" i="5"/>
  <c r="Y487" i="5"/>
  <c r="Z487" i="5" s="1"/>
  <c r="X487" i="5"/>
  <c r="U487" i="5"/>
  <c r="S487" i="5"/>
  <c r="T487" i="5" s="1"/>
  <c r="R487" i="5"/>
  <c r="Q487" i="5"/>
  <c r="P487" i="5"/>
  <c r="O487" i="5"/>
  <c r="N487" i="5"/>
  <c r="M487" i="5"/>
  <c r="L487" i="5"/>
  <c r="K487" i="5"/>
  <c r="J487" i="5"/>
  <c r="I487" i="5"/>
  <c r="H487" i="5"/>
  <c r="G487" i="5"/>
  <c r="AA487" i="5" s="1"/>
  <c r="C487" i="5"/>
  <c r="AG486" i="5"/>
  <c r="AF486" i="5"/>
  <c r="AE486" i="5"/>
  <c r="AD486" i="5"/>
  <c r="Y486" i="5"/>
  <c r="Z486" i="5" s="1"/>
  <c r="X486" i="5"/>
  <c r="U486" i="5"/>
  <c r="S486" i="5"/>
  <c r="T486" i="5" s="1"/>
  <c r="R486" i="5"/>
  <c r="Q486" i="5"/>
  <c r="P486" i="5"/>
  <c r="O486" i="5"/>
  <c r="N486" i="5"/>
  <c r="M486" i="5"/>
  <c r="L486" i="5"/>
  <c r="K486" i="5"/>
  <c r="J486" i="5"/>
  <c r="I486" i="5"/>
  <c r="H486" i="5"/>
  <c r="G486" i="5"/>
  <c r="AA486" i="5" s="1"/>
  <c r="C486" i="5"/>
  <c r="AG485" i="5"/>
  <c r="AF485" i="5"/>
  <c r="AE485" i="5"/>
  <c r="AD485" i="5"/>
  <c r="AO485" i="5" s="1"/>
  <c r="AC485" i="5"/>
  <c r="Z485" i="5"/>
  <c r="Y485" i="5"/>
  <c r="X485" i="5"/>
  <c r="U485" i="5"/>
  <c r="S485" i="5"/>
  <c r="T485" i="5" s="1"/>
  <c r="R485" i="5"/>
  <c r="Q485" i="5"/>
  <c r="P485" i="5"/>
  <c r="O485" i="5"/>
  <c r="N485" i="5"/>
  <c r="M485" i="5"/>
  <c r="L485" i="5"/>
  <c r="K485" i="5"/>
  <c r="J485" i="5"/>
  <c r="I485" i="5"/>
  <c r="H485" i="5"/>
  <c r="G485" i="5"/>
  <c r="AA485" i="5" s="1"/>
  <c r="AB485" i="5" s="1"/>
  <c r="C485" i="5"/>
  <c r="AG484" i="5"/>
  <c r="AF484" i="5"/>
  <c r="AE484" i="5"/>
  <c r="AD484" i="5"/>
  <c r="AA484" i="5"/>
  <c r="Z484" i="5"/>
  <c r="AB484" i="5" s="1"/>
  <c r="Y484" i="5"/>
  <c r="X484" i="5"/>
  <c r="U484" i="5"/>
  <c r="S484" i="5"/>
  <c r="T484" i="5" s="1"/>
  <c r="R484" i="5"/>
  <c r="Q484" i="5"/>
  <c r="P484" i="5"/>
  <c r="O484" i="5"/>
  <c r="N484" i="5"/>
  <c r="M484" i="5"/>
  <c r="L484" i="5"/>
  <c r="K484" i="5"/>
  <c r="J484" i="5"/>
  <c r="I484" i="5"/>
  <c r="H484" i="5"/>
  <c r="G484" i="5"/>
  <c r="C484" i="5"/>
  <c r="AG483" i="5"/>
  <c r="AF483" i="5"/>
  <c r="AE483" i="5"/>
  <c r="AD483" i="5"/>
  <c r="AA483" i="5"/>
  <c r="Y483" i="5"/>
  <c r="Z483" i="5" s="1"/>
  <c r="X483" i="5"/>
  <c r="U483" i="5"/>
  <c r="T483" i="5"/>
  <c r="S483" i="5"/>
  <c r="R483" i="5"/>
  <c r="Q483" i="5"/>
  <c r="P483" i="5"/>
  <c r="O483" i="5"/>
  <c r="N483" i="5"/>
  <c r="M483" i="5"/>
  <c r="L483" i="5"/>
  <c r="K483" i="5"/>
  <c r="J483" i="5"/>
  <c r="I483" i="5"/>
  <c r="H483" i="5"/>
  <c r="G483" i="5"/>
  <c r="C483" i="5"/>
  <c r="AG482" i="5"/>
  <c r="AF482" i="5"/>
  <c r="AE482" i="5"/>
  <c r="AD482" i="5"/>
  <c r="AA482" i="5"/>
  <c r="Y482" i="5"/>
  <c r="Z482" i="5" s="1"/>
  <c r="X482" i="5"/>
  <c r="U482" i="5"/>
  <c r="T482" i="5"/>
  <c r="S482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C482" i="5"/>
  <c r="AG481" i="5"/>
  <c r="AF481" i="5"/>
  <c r="AE481" i="5"/>
  <c r="AD481" i="5"/>
  <c r="Y481" i="5"/>
  <c r="Z481" i="5" s="1"/>
  <c r="X481" i="5"/>
  <c r="U481" i="5"/>
  <c r="S481" i="5"/>
  <c r="T481" i="5" s="1"/>
  <c r="R481" i="5"/>
  <c r="Q481" i="5"/>
  <c r="P481" i="5"/>
  <c r="O481" i="5"/>
  <c r="N481" i="5"/>
  <c r="M481" i="5"/>
  <c r="L481" i="5"/>
  <c r="K481" i="5"/>
  <c r="J481" i="5"/>
  <c r="I481" i="5"/>
  <c r="H481" i="5"/>
  <c r="G481" i="5"/>
  <c r="AA481" i="5" s="1"/>
  <c r="C481" i="5"/>
  <c r="AG480" i="5"/>
  <c r="AF480" i="5"/>
  <c r="AE480" i="5"/>
  <c r="AD480" i="5"/>
  <c r="Y480" i="5"/>
  <c r="Z480" i="5" s="1"/>
  <c r="X480" i="5"/>
  <c r="U480" i="5"/>
  <c r="S480" i="5"/>
  <c r="T480" i="5" s="1"/>
  <c r="R480" i="5"/>
  <c r="Q480" i="5"/>
  <c r="P480" i="5"/>
  <c r="O480" i="5"/>
  <c r="N480" i="5"/>
  <c r="M480" i="5"/>
  <c r="L480" i="5"/>
  <c r="K480" i="5"/>
  <c r="J480" i="5"/>
  <c r="I480" i="5"/>
  <c r="H480" i="5"/>
  <c r="G480" i="5"/>
  <c r="AA480" i="5" s="1"/>
  <c r="C480" i="5"/>
  <c r="AG479" i="5"/>
  <c r="AF479" i="5"/>
  <c r="AE479" i="5"/>
  <c r="AK479" i="5" s="1"/>
  <c r="AD479" i="5"/>
  <c r="AC479" i="5"/>
  <c r="AB479" i="5"/>
  <c r="AH479" i="5" s="1"/>
  <c r="Z479" i="5"/>
  <c r="Y479" i="5"/>
  <c r="X479" i="5"/>
  <c r="U479" i="5"/>
  <c r="S479" i="5"/>
  <c r="T479" i="5" s="1"/>
  <c r="R479" i="5"/>
  <c r="Q479" i="5"/>
  <c r="P479" i="5"/>
  <c r="O479" i="5"/>
  <c r="N479" i="5"/>
  <c r="M479" i="5"/>
  <c r="L479" i="5"/>
  <c r="K479" i="5"/>
  <c r="J479" i="5"/>
  <c r="I479" i="5"/>
  <c r="H479" i="5"/>
  <c r="G479" i="5"/>
  <c r="AA479" i="5" s="1"/>
  <c r="C479" i="5"/>
  <c r="AG478" i="5"/>
  <c r="AF478" i="5"/>
  <c r="AE478" i="5"/>
  <c r="AD478" i="5"/>
  <c r="AA478" i="5"/>
  <c r="AB478" i="5" s="1"/>
  <c r="Z478" i="5"/>
  <c r="Y478" i="5"/>
  <c r="X478" i="5"/>
  <c r="AC478" i="5" s="1"/>
  <c r="AM478" i="5" s="1"/>
  <c r="U478" i="5"/>
  <c r="S478" i="5"/>
  <c r="T478" i="5" s="1"/>
  <c r="R478" i="5"/>
  <c r="Q478" i="5"/>
  <c r="P478" i="5"/>
  <c r="O478" i="5"/>
  <c r="N478" i="5"/>
  <c r="M478" i="5"/>
  <c r="L478" i="5"/>
  <c r="K478" i="5"/>
  <c r="J478" i="5"/>
  <c r="I478" i="5"/>
  <c r="H478" i="5"/>
  <c r="G478" i="5"/>
  <c r="C478" i="5"/>
  <c r="AG477" i="5"/>
  <c r="AF477" i="5"/>
  <c r="AE477" i="5"/>
  <c r="AD477" i="5"/>
  <c r="AA477" i="5"/>
  <c r="Z477" i="5"/>
  <c r="Y477" i="5"/>
  <c r="X477" i="5"/>
  <c r="U477" i="5"/>
  <c r="T477" i="5"/>
  <c r="S477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C477" i="5"/>
  <c r="AG476" i="5"/>
  <c r="AF476" i="5"/>
  <c r="AE476" i="5"/>
  <c r="AD476" i="5"/>
  <c r="AA476" i="5"/>
  <c r="Y476" i="5"/>
  <c r="Z476" i="5" s="1"/>
  <c r="X476" i="5"/>
  <c r="U476" i="5"/>
  <c r="S476" i="5"/>
  <c r="T476" i="5" s="1"/>
  <c r="R476" i="5"/>
  <c r="Q476" i="5"/>
  <c r="P476" i="5"/>
  <c r="O476" i="5"/>
  <c r="N476" i="5"/>
  <c r="M476" i="5"/>
  <c r="L476" i="5"/>
  <c r="K476" i="5"/>
  <c r="J476" i="5"/>
  <c r="I476" i="5"/>
  <c r="H476" i="5"/>
  <c r="G476" i="5"/>
  <c r="C476" i="5"/>
  <c r="AG475" i="5"/>
  <c r="AF475" i="5"/>
  <c r="AE475" i="5"/>
  <c r="AD475" i="5"/>
  <c r="Y475" i="5"/>
  <c r="Z475" i="5" s="1"/>
  <c r="X475" i="5"/>
  <c r="U475" i="5"/>
  <c r="S475" i="5"/>
  <c r="T475" i="5" s="1"/>
  <c r="R475" i="5"/>
  <c r="Q475" i="5"/>
  <c r="P475" i="5"/>
  <c r="O475" i="5"/>
  <c r="N475" i="5"/>
  <c r="M475" i="5"/>
  <c r="L475" i="5"/>
  <c r="K475" i="5"/>
  <c r="J475" i="5"/>
  <c r="I475" i="5"/>
  <c r="H475" i="5"/>
  <c r="G475" i="5"/>
  <c r="AA475" i="5" s="1"/>
  <c r="C475" i="5"/>
  <c r="AG474" i="5"/>
  <c r="AF474" i="5"/>
  <c r="AE474" i="5"/>
  <c r="AD474" i="5"/>
  <c r="AI474" i="5" s="1"/>
  <c r="Y474" i="5"/>
  <c r="Z474" i="5" s="1"/>
  <c r="AB474" i="5" s="1"/>
  <c r="AH474" i="5" s="1"/>
  <c r="X474" i="5"/>
  <c r="U474" i="5"/>
  <c r="S474" i="5"/>
  <c r="T474" i="5" s="1"/>
  <c r="R474" i="5"/>
  <c r="Q474" i="5"/>
  <c r="P474" i="5"/>
  <c r="O474" i="5"/>
  <c r="N474" i="5"/>
  <c r="M474" i="5"/>
  <c r="L474" i="5"/>
  <c r="K474" i="5"/>
  <c r="J474" i="5"/>
  <c r="I474" i="5"/>
  <c r="H474" i="5"/>
  <c r="G474" i="5"/>
  <c r="AA474" i="5" s="1"/>
  <c r="C474" i="5"/>
  <c r="AI473" i="5"/>
  <c r="AG473" i="5"/>
  <c r="AF473" i="5"/>
  <c r="AE473" i="5"/>
  <c r="AD473" i="5"/>
  <c r="AC473" i="5"/>
  <c r="Z473" i="5"/>
  <c r="Y473" i="5"/>
  <c r="X473" i="5"/>
  <c r="U473" i="5"/>
  <c r="S473" i="5"/>
  <c r="T473" i="5" s="1"/>
  <c r="R473" i="5"/>
  <c r="Q473" i="5"/>
  <c r="P473" i="5"/>
  <c r="O473" i="5"/>
  <c r="N473" i="5"/>
  <c r="M473" i="5"/>
  <c r="L473" i="5"/>
  <c r="K473" i="5"/>
  <c r="J473" i="5"/>
  <c r="I473" i="5"/>
  <c r="H473" i="5"/>
  <c r="G473" i="5"/>
  <c r="AA473" i="5" s="1"/>
  <c r="AB473" i="5" s="1"/>
  <c r="C473" i="5"/>
  <c r="AG472" i="5"/>
  <c r="AF472" i="5"/>
  <c r="AE472" i="5"/>
  <c r="AD472" i="5"/>
  <c r="AA472" i="5"/>
  <c r="Z472" i="5"/>
  <c r="Y472" i="5"/>
  <c r="X472" i="5"/>
  <c r="U472" i="5"/>
  <c r="S472" i="5"/>
  <c r="T472" i="5" s="1"/>
  <c r="R472" i="5"/>
  <c r="Q472" i="5"/>
  <c r="P472" i="5"/>
  <c r="O472" i="5"/>
  <c r="N472" i="5"/>
  <c r="M472" i="5"/>
  <c r="L472" i="5"/>
  <c r="K472" i="5"/>
  <c r="J472" i="5"/>
  <c r="I472" i="5"/>
  <c r="H472" i="5"/>
  <c r="G472" i="5"/>
  <c r="C472" i="5"/>
  <c r="AG471" i="5"/>
  <c r="AF471" i="5"/>
  <c r="AE471" i="5"/>
  <c r="AD471" i="5"/>
  <c r="AA471" i="5"/>
  <c r="Y471" i="5"/>
  <c r="Z471" i="5" s="1"/>
  <c r="X471" i="5"/>
  <c r="U471" i="5"/>
  <c r="T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C471" i="5"/>
  <c r="AG470" i="5"/>
  <c r="AF470" i="5"/>
  <c r="AE470" i="5"/>
  <c r="AD470" i="5"/>
  <c r="AA470" i="5"/>
  <c r="Y470" i="5"/>
  <c r="Z470" i="5" s="1"/>
  <c r="X470" i="5"/>
  <c r="U470" i="5"/>
  <c r="T470" i="5"/>
  <c r="S470" i="5"/>
  <c r="R470" i="5"/>
  <c r="Q470" i="5"/>
  <c r="P470" i="5"/>
  <c r="O470" i="5"/>
  <c r="N470" i="5"/>
  <c r="M470" i="5"/>
  <c r="L470" i="5"/>
  <c r="K470" i="5"/>
  <c r="J470" i="5"/>
  <c r="I470" i="5"/>
  <c r="H470" i="5"/>
  <c r="G470" i="5"/>
  <c r="C470" i="5"/>
  <c r="AG469" i="5"/>
  <c r="AF469" i="5"/>
  <c r="AE469" i="5"/>
  <c r="AD469" i="5"/>
  <c r="AA469" i="5"/>
  <c r="Y469" i="5"/>
  <c r="Z469" i="5" s="1"/>
  <c r="AC469" i="5" s="1"/>
  <c r="X469" i="5"/>
  <c r="U469" i="5"/>
  <c r="T469" i="5"/>
  <c r="S469" i="5"/>
  <c r="R469" i="5"/>
  <c r="Q469" i="5"/>
  <c r="P469" i="5"/>
  <c r="O469" i="5"/>
  <c r="N469" i="5"/>
  <c r="M469" i="5"/>
  <c r="L469" i="5"/>
  <c r="K469" i="5"/>
  <c r="J469" i="5"/>
  <c r="I469" i="5"/>
  <c r="H469" i="5"/>
  <c r="G469" i="5"/>
  <c r="C469" i="5"/>
  <c r="AG468" i="5"/>
  <c r="AF468" i="5"/>
  <c r="AE468" i="5"/>
  <c r="AD468" i="5"/>
  <c r="AC468" i="5"/>
  <c r="Y468" i="5"/>
  <c r="Z468" i="5" s="1"/>
  <c r="X468" i="5"/>
  <c r="U468" i="5"/>
  <c r="S468" i="5"/>
  <c r="T468" i="5" s="1"/>
  <c r="R468" i="5"/>
  <c r="Q468" i="5"/>
  <c r="P468" i="5"/>
  <c r="O468" i="5"/>
  <c r="N468" i="5"/>
  <c r="M468" i="5"/>
  <c r="L468" i="5"/>
  <c r="K468" i="5"/>
  <c r="J468" i="5"/>
  <c r="I468" i="5"/>
  <c r="H468" i="5"/>
  <c r="G468" i="5"/>
  <c r="AA468" i="5" s="1"/>
  <c r="C468" i="5"/>
  <c r="AG467" i="5"/>
  <c r="AF467" i="5"/>
  <c r="AE467" i="5"/>
  <c r="AD467" i="5"/>
  <c r="AC467" i="5"/>
  <c r="AN467" i="5" s="1"/>
  <c r="AA467" i="5"/>
  <c r="AB467" i="5" s="1"/>
  <c r="Z467" i="5"/>
  <c r="Y467" i="5"/>
  <c r="X467" i="5"/>
  <c r="U467" i="5"/>
  <c r="S467" i="5"/>
  <c r="T467" i="5" s="1"/>
  <c r="R467" i="5"/>
  <c r="Q467" i="5"/>
  <c r="P467" i="5"/>
  <c r="O467" i="5"/>
  <c r="N467" i="5"/>
  <c r="M467" i="5"/>
  <c r="L467" i="5"/>
  <c r="K467" i="5"/>
  <c r="J467" i="5"/>
  <c r="I467" i="5"/>
  <c r="H467" i="5"/>
  <c r="G467" i="5"/>
  <c r="C467" i="5"/>
  <c r="AG466" i="5"/>
  <c r="AF466" i="5"/>
  <c r="AE466" i="5"/>
  <c r="AD466" i="5"/>
  <c r="AA466" i="5"/>
  <c r="Y466" i="5"/>
  <c r="Z466" i="5" s="1"/>
  <c r="X466" i="5"/>
  <c r="U466" i="5"/>
  <c r="S466" i="5"/>
  <c r="T466" i="5" s="1"/>
  <c r="R466" i="5"/>
  <c r="Q466" i="5"/>
  <c r="P466" i="5"/>
  <c r="O466" i="5"/>
  <c r="N466" i="5"/>
  <c r="M466" i="5"/>
  <c r="L466" i="5"/>
  <c r="K466" i="5"/>
  <c r="J466" i="5"/>
  <c r="I466" i="5"/>
  <c r="H466" i="5"/>
  <c r="G466" i="5"/>
  <c r="C466" i="5"/>
  <c r="AG465" i="5"/>
  <c r="AF465" i="5"/>
  <c r="AE465" i="5"/>
  <c r="AD465" i="5"/>
  <c r="AC465" i="5"/>
  <c r="AM465" i="5" s="1"/>
  <c r="AA465" i="5"/>
  <c r="Z465" i="5"/>
  <c r="Y465" i="5"/>
  <c r="X465" i="5"/>
  <c r="AB465" i="5" s="1"/>
  <c r="AH465" i="5" s="1"/>
  <c r="U465" i="5"/>
  <c r="T465" i="5"/>
  <c r="S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C465" i="5"/>
  <c r="AG464" i="5"/>
  <c r="AF464" i="5"/>
  <c r="AE464" i="5"/>
  <c r="AD464" i="5"/>
  <c r="AC464" i="5"/>
  <c r="Y464" i="5"/>
  <c r="Z464" i="5" s="1"/>
  <c r="X464" i="5"/>
  <c r="U464" i="5"/>
  <c r="S464" i="5"/>
  <c r="T464" i="5" s="1"/>
  <c r="R464" i="5"/>
  <c r="Q464" i="5"/>
  <c r="P464" i="5"/>
  <c r="O464" i="5"/>
  <c r="N464" i="5"/>
  <c r="M464" i="5"/>
  <c r="L464" i="5"/>
  <c r="K464" i="5"/>
  <c r="J464" i="5"/>
  <c r="I464" i="5"/>
  <c r="H464" i="5"/>
  <c r="G464" i="5"/>
  <c r="AA464" i="5" s="1"/>
  <c r="C464" i="5"/>
  <c r="AG463" i="5"/>
  <c r="AF463" i="5"/>
  <c r="AE463" i="5"/>
  <c r="AD463" i="5"/>
  <c r="AA463" i="5"/>
  <c r="Y463" i="5"/>
  <c r="Z463" i="5" s="1"/>
  <c r="AC463" i="5" s="1"/>
  <c r="X463" i="5"/>
  <c r="U463" i="5"/>
  <c r="S463" i="5"/>
  <c r="T463" i="5" s="1"/>
  <c r="R463" i="5"/>
  <c r="Q463" i="5"/>
  <c r="P463" i="5"/>
  <c r="O463" i="5"/>
  <c r="N463" i="5"/>
  <c r="M463" i="5"/>
  <c r="L463" i="5"/>
  <c r="K463" i="5"/>
  <c r="J463" i="5"/>
  <c r="I463" i="5"/>
  <c r="H463" i="5"/>
  <c r="G463" i="5"/>
  <c r="C463" i="5"/>
  <c r="AG462" i="5"/>
  <c r="AF462" i="5"/>
  <c r="AE462" i="5"/>
  <c r="AD462" i="5"/>
  <c r="Y462" i="5"/>
  <c r="Z462" i="5" s="1"/>
  <c r="AB462" i="5" s="1"/>
  <c r="AH462" i="5" s="1"/>
  <c r="X462" i="5"/>
  <c r="U462" i="5"/>
  <c r="S462" i="5"/>
  <c r="T462" i="5" s="1"/>
  <c r="R462" i="5"/>
  <c r="Q462" i="5"/>
  <c r="P462" i="5"/>
  <c r="O462" i="5"/>
  <c r="N462" i="5"/>
  <c r="M462" i="5"/>
  <c r="L462" i="5"/>
  <c r="K462" i="5"/>
  <c r="J462" i="5"/>
  <c r="I462" i="5"/>
  <c r="H462" i="5"/>
  <c r="G462" i="5"/>
  <c r="AA462" i="5" s="1"/>
  <c r="C462" i="5"/>
  <c r="AG461" i="5"/>
  <c r="AF461" i="5"/>
  <c r="AE461" i="5"/>
  <c r="AD461" i="5"/>
  <c r="AC461" i="5"/>
  <c r="Z461" i="5"/>
  <c r="Y461" i="5"/>
  <c r="X461" i="5"/>
  <c r="U461" i="5"/>
  <c r="S461" i="5"/>
  <c r="T461" i="5" s="1"/>
  <c r="R461" i="5"/>
  <c r="Q461" i="5"/>
  <c r="P461" i="5"/>
  <c r="O461" i="5"/>
  <c r="N461" i="5"/>
  <c r="M461" i="5"/>
  <c r="L461" i="5"/>
  <c r="K461" i="5"/>
  <c r="J461" i="5"/>
  <c r="I461" i="5"/>
  <c r="H461" i="5"/>
  <c r="G461" i="5"/>
  <c r="AA461" i="5" s="1"/>
  <c r="AB461" i="5" s="1"/>
  <c r="C461" i="5"/>
  <c r="AG460" i="5"/>
  <c r="AF460" i="5"/>
  <c r="AE460" i="5"/>
  <c r="AD460" i="5"/>
  <c r="Y460" i="5"/>
  <c r="Z460" i="5" s="1"/>
  <c r="X460" i="5"/>
  <c r="U460" i="5"/>
  <c r="S460" i="5"/>
  <c r="T460" i="5" s="1"/>
  <c r="R460" i="5"/>
  <c r="Q460" i="5"/>
  <c r="P460" i="5"/>
  <c r="O460" i="5"/>
  <c r="N460" i="5"/>
  <c r="M460" i="5"/>
  <c r="L460" i="5"/>
  <c r="K460" i="5"/>
  <c r="J460" i="5"/>
  <c r="I460" i="5"/>
  <c r="H460" i="5"/>
  <c r="G460" i="5"/>
  <c r="AA460" i="5" s="1"/>
  <c r="C460" i="5"/>
  <c r="AG459" i="5"/>
  <c r="AF459" i="5"/>
  <c r="AE459" i="5"/>
  <c r="AD459" i="5"/>
  <c r="AA459" i="5"/>
  <c r="Y459" i="5"/>
  <c r="Z459" i="5" s="1"/>
  <c r="X459" i="5"/>
  <c r="AC459" i="5" s="1"/>
  <c r="U459" i="5"/>
  <c r="S459" i="5"/>
  <c r="T459" i="5" s="1"/>
  <c r="R459" i="5"/>
  <c r="Q459" i="5"/>
  <c r="P459" i="5"/>
  <c r="O459" i="5"/>
  <c r="N459" i="5"/>
  <c r="M459" i="5"/>
  <c r="L459" i="5"/>
  <c r="K459" i="5"/>
  <c r="J459" i="5"/>
  <c r="I459" i="5"/>
  <c r="H459" i="5"/>
  <c r="G459" i="5"/>
  <c r="C459" i="5"/>
  <c r="AG458" i="5"/>
  <c r="AF458" i="5"/>
  <c r="AE458" i="5"/>
  <c r="AD458" i="5"/>
  <c r="AC458" i="5"/>
  <c r="Y458" i="5"/>
  <c r="Z458" i="5" s="1"/>
  <c r="X458" i="5"/>
  <c r="U458" i="5"/>
  <c r="S458" i="5"/>
  <c r="T458" i="5" s="1"/>
  <c r="R458" i="5"/>
  <c r="Q458" i="5"/>
  <c r="P458" i="5"/>
  <c r="O458" i="5"/>
  <c r="N458" i="5"/>
  <c r="M458" i="5"/>
  <c r="L458" i="5"/>
  <c r="K458" i="5"/>
  <c r="J458" i="5"/>
  <c r="I458" i="5"/>
  <c r="H458" i="5"/>
  <c r="G458" i="5"/>
  <c r="AA458" i="5" s="1"/>
  <c r="C458" i="5"/>
  <c r="AG457" i="5"/>
  <c r="AF457" i="5"/>
  <c r="AE457" i="5"/>
  <c r="AD457" i="5"/>
  <c r="AA457" i="5"/>
  <c r="Y457" i="5"/>
  <c r="Z457" i="5" s="1"/>
  <c r="X457" i="5"/>
  <c r="AC457" i="5" s="1"/>
  <c r="U457" i="5"/>
  <c r="T457" i="5"/>
  <c r="S457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C457" i="5"/>
  <c r="AG456" i="5"/>
  <c r="AF456" i="5"/>
  <c r="AE456" i="5"/>
  <c r="AD456" i="5"/>
  <c r="AC456" i="5"/>
  <c r="AL456" i="5" s="1"/>
  <c r="Y456" i="5"/>
  <c r="Z456" i="5" s="1"/>
  <c r="X456" i="5"/>
  <c r="AB456" i="5" s="1"/>
  <c r="AH456" i="5" s="1"/>
  <c r="U456" i="5"/>
  <c r="S456" i="5"/>
  <c r="T456" i="5" s="1"/>
  <c r="R456" i="5"/>
  <c r="Q456" i="5"/>
  <c r="P456" i="5"/>
  <c r="O456" i="5"/>
  <c r="N456" i="5"/>
  <c r="M456" i="5"/>
  <c r="L456" i="5"/>
  <c r="K456" i="5"/>
  <c r="J456" i="5"/>
  <c r="I456" i="5"/>
  <c r="H456" i="5"/>
  <c r="G456" i="5"/>
  <c r="AA456" i="5" s="1"/>
  <c r="C456" i="5"/>
  <c r="AG455" i="5"/>
  <c r="AF455" i="5"/>
  <c r="AE455" i="5"/>
  <c r="AD455" i="5"/>
  <c r="AC455" i="5"/>
  <c r="Y455" i="5"/>
  <c r="Z455" i="5" s="1"/>
  <c r="X455" i="5"/>
  <c r="U455" i="5"/>
  <c r="S455" i="5"/>
  <c r="T455" i="5" s="1"/>
  <c r="R455" i="5"/>
  <c r="Q455" i="5"/>
  <c r="P455" i="5"/>
  <c r="O455" i="5"/>
  <c r="N455" i="5"/>
  <c r="M455" i="5"/>
  <c r="L455" i="5"/>
  <c r="K455" i="5"/>
  <c r="J455" i="5"/>
  <c r="I455" i="5"/>
  <c r="H455" i="5"/>
  <c r="G455" i="5"/>
  <c r="AA455" i="5" s="1"/>
  <c r="C455" i="5"/>
  <c r="AG454" i="5"/>
  <c r="AF454" i="5"/>
  <c r="AE454" i="5"/>
  <c r="AD454" i="5"/>
  <c r="AA454" i="5"/>
  <c r="Y454" i="5"/>
  <c r="Z454" i="5" s="1"/>
  <c r="X454" i="5"/>
  <c r="U454" i="5"/>
  <c r="S454" i="5"/>
  <c r="T454" i="5" s="1"/>
  <c r="R454" i="5"/>
  <c r="Q454" i="5"/>
  <c r="P454" i="5"/>
  <c r="O454" i="5"/>
  <c r="N454" i="5"/>
  <c r="M454" i="5"/>
  <c r="L454" i="5"/>
  <c r="K454" i="5"/>
  <c r="J454" i="5"/>
  <c r="I454" i="5"/>
  <c r="H454" i="5"/>
  <c r="G454" i="5"/>
  <c r="C454" i="5"/>
  <c r="AG453" i="5"/>
  <c r="AF453" i="5"/>
  <c r="AE453" i="5"/>
  <c r="AD453" i="5"/>
  <c r="Y453" i="5"/>
  <c r="Z453" i="5" s="1"/>
  <c r="AC453" i="5" s="1"/>
  <c r="X453" i="5"/>
  <c r="U453" i="5"/>
  <c r="S453" i="5"/>
  <c r="T453" i="5" s="1"/>
  <c r="R453" i="5"/>
  <c r="Q453" i="5"/>
  <c r="P453" i="5"/>
  <c r="O453" i="5"/>
  <c r="N453" i="5"/>
  <c r="M453" i="5"/>
  <c r="L453" i="5"/>
  <c r="K453" i="5"/>
  <c r="J453" i="5"/>
  <c r="I453" i="5"/>
  <c r="H453" i="5"/>
  <c r="G453" i="5"/>
  <c r="AA453" i="5" s="1"/>
  <c r="C453" i="5"/>
  <c r="AG452" i="5"/>
  <c r="AF452" i="5"/>
  <c r="AE452" i="5"/>
  <c r="AD452" i="5"/>
  <c r="Y452" i="5"/>
  <c r="Z452" i="5" s="1"/>
  <c r="AC452" i="5" s="1"/>
  <c r="X452" i="5"/>
  <c r="U452" i="5"/>
  <c r="S452" i="5"/>
  <c r="T452" i="5" s="1"/>
  <c r="R452" i="5"/>
  <c r="Q452" i="5"/>
  <c r="P452" i="5"/>
  <c r="O452" i="5"/>
  <c r="N452" i="5"/>
  <c r="M452" i="5"/>
  <c r="L452" i="5"/>
  <c r="K452" i="5"/>
  <c r="J452" i="5"/>
  <c r="I452" i="5"/>
  <c r="H452" i="5"/>
  <c r="G452" i="5"/>
  <c r="AA452" i="5" s="1"/>
  <c r="C452" i="5"/>
  <c r="AG451" i="5"/>
  <c r="AF451" i="5"/>
  <c r="AE451" i="5"/>
  <c r="AD451" i="5"/>
  <c r="Y451" i="5"/>
  <c r="Z451" i="5" s="1"/>
  <c r="X451" i="5"/>
  <c r="U451" i="5"/>
  <c r="S451" i="5"/>
  <c r="T451" i="5" s="1"/>
  <c r="R451" i="5"/>
  <c r="Q451" i="5"/>
  <c r="P451" i="5"/>
  <c r="O451" i="5"/>
  <c r="N451" i="5"/>
  <c r="M451" i="5"/>
  <c r="L451" i="5"/>
  <c r="K451" i="5"/>
  <c r="J451" i="5"/>
  <c r="I451" i="5"/>
  <c r="H451" i="5"/>
  <c r="G451" i="5"/>
  <c r="AA451" i="5" s="1"/>
  <c r="C451" i="5"/>
  <c r="AG450" i="5"/>
  <c r="AF450" i="5"/>
  <c r="AE450" i="5"/>
  <c r="AD450" i="5"/>
  <c r="AA450" i="5"/>
  <c r="Y450" i="5"/>
  <c r="Z450" i="5" s="1"/>
  <c r="X450" i="5"/>
  <c r="U450" i="5"/>
  <c r="S450" i="5"/>
  <c r="T450" i="5" s="1"/>
  <c r="R450" i="5"/>
  <c r="Q450" i="5"/>
  <c r="P450" i="5"/>
  <c r="O450" i="5"/>
  <c r="N450" i="5"/>
  <c r="M450" i="5"/>
  <c r="L450" i="5"/>
  <c r="K450" i="5"/>
  <c r="J450" i="5"/>
  <c r="I450" i="5"/>
  <c r="H450" i="5"/>
  <c r="G450" i="5"/>
  <c r="C450" i="5"/>
  <c r="AO449" i="5"/>
  <c r="AG449" i="5"/>
  <c r="AF449" i="5"/>
  <c r="AE449" i="5"/>
  <c r="AD449" i="5"/>
  <c r="AC449" i="5"/>
  <c r="AA449" i="5"/>
  <c r="Y449" i="5"/>
  <c r="Z449" i="5" s="1"/>
  <c r="X449" i="5"/>
  <c r="AB449" i="5" s="1"/>
  <c r="U449" i="5"/>
  <c r="S449" i="5"/>
  <c r="T449" i="5" s="1"/>
  <c r="R449" i="5"/>
  <c r="Q449" i="5"/>
  <c r="P449" i="5"/>
  <c r="O449" i="5"/>
  <c r="N449" i="5"/>
  <c r="M449" i="5"/>
  <c r="L449" i="5"/>
  <c r="K449" i="5"/>
  <c r="J449" i="5"/>
  <c r="I449" i="5"/>
  <c r="H449" i="5"/>
  <c r="G449" i="5"/>
  <c r="C449" i="5"/>
  <c r="AG448" i="5"/>
  <c r="AF448" i="5"/>
  <c r="AE448" i="5"/>
  <c r="AD448" i="5"/>
  <c r="AA448" i="5"/>
  <c r="Y448" i="5"/>
  <c r="Z448" i="5" s="1"/>
  <c r="X448" i="5"/>
  <c r="U448" i="5"/>
  <c r="S448" i="5"/>
  <c r="T448" i="5" s="1"/>
  <c r="R448" i="5"/>
  <c r="Q448" i="5"/>
  <c r="P448" i="5"/>
  <c r="O448" i="5"/>
  <c r="N448" i="5"/>
  <c r="M448" i="5"/>
  <c r="L448" i="5"/>
  <c r="K448" i="5"/>
  <c r="J448" i="5"/>
  <c r="I448" i="5"/>
  <c r="H448" i="5"/>
  <c r="G448" i="5"/>
  <c r="C448" i="5"/>
  <c r="AG447" i="5"/>
  <c r="AF447" i="5"/>
  <c r="AE447" i="5"/>
  <c r="AO447" i="5" s="1"/>
  <c r="AD447" i="5"/>
  <c r="Y447" i="5"/>
  <c r="Z447" i="5" s="1"/>
  <c r="AC447" i="5" s="1"/>
  <c r="X447" i="5"/>
  <c r="AB447" i="5" s="1"/>
  <c r="U447" i="5"/>
  <c r="S447" i="5"/>
  <c r="T447" i="5" s="1"/>
  <c r="R447" i="5"/>
  <c r="Q447" i="5"/>
  <c r="P447" i="5"/>
  <c r="O447" i="5"/>
  <c r="N447" i="5"/>
  <c r="M447" i="5"/>
  <c r="L447" i="5"/>
  <c r="K447" i="5"/>
  <c r="J447" i="5"/>
  <c r="I447" i="5"/>
  <c r="H447" i="5"/>
  <c r="G447" i="5"/>
  <c r="AA447" i="5" s="1"/>
  <c r="C447" i="5"/>
  <c r="AG446" i="5"/>
  <c r="AF446" i="5"/>
  <c r="AE446" i="5"/>
  <c r="AD446" i="5"/>
  <c r="Y446" i="5"/>
  <c r="Z446" i="5" s="1"/>
  <c r="AC446" i="5" s="1"/>
  <c r="X446" i="5"/>
  <c r="U446" i="5"/>
  <c r="S446" i="5"/>
  <c r="T446" i="5" s="1"/>
  <c r="R446" i="5"/>
  <c r="Q446" i="5"/>
  <c r="P446" i="5"/>
  <c r="O446" i="5"/>
  <c r="N446" i="5"/>
  <c r="M446" i="5"/>
  <c r="L446" i="5"/>
  <c r="K446" i="5"/>
  <c r="J446" i="5"/>
  <c r="I446" i="5"/>
  <c r="H446" i="5"/>
  <c r="G446" i="5"/>
  <c r="AA446" i="5" s="1"/>
  <c r="C446" i="5"/>
  <c r="AG445" i="5"/>
  <c r="AF445" i="5"/>
  <c r="AE445" i="5"/>
  <c r="AD445" i="5"/>
  <c r="Y445" i="5"/>
  <c r="Z445" i="5" s="1"/>
  <c r="X445" i="5"/>
  <c r="U445" i="5"/>
  <c r="S445" i="5"/>
  <c r="T445" i="5" s="1"/>
  <c r="R445" i="5"/>
  <c r="Q445" i="5"/>
  <c r="P445" i="5"/>
  <c r="O445" i="5"/>
  <c r="N445" i="5"/>
  <c r="M445" i="5"/>
  <c r="L445" i="5"/>
  <c r="K445" i="5"/>
  <c r="J445" i="5"/>
  <c r="I445" i="5"/>
  <c r="H445" i="5"/>
  <c r="G445" i="5"/>
  <c r="AA445" i="5" s="1"/>
  <c r="C445" i="5"/>
  <c r="AG444" i="5"/>
  <c r="AF444" i="5"/>
  <c r="AE444" i="5"/>
  <c r="AD444" i="5"/>
  <c r="AA444" i="5"/>
  <c r="Y444" i="5"/>
  <c r="Z444" i="5" s="1"/>
  <c r="AC444" i="5" s="1"/>
  <c r="X444" i="5"/>
  <c r="U444" i="5"/>
  <c r="S444" i="5"/>
  <c r="T444" i="5" s="1"/>
  <c r="R444" i="5"/>
  <c r="Q444" i="5"/>
  <c r="P444" i="5"/>
  <c r="O444" i="5"/>
  <c r="N444" i="5"/>
  <c r="M444" i="5"/>
  <c r="L444" i="5"/>
  <c r="K444" i="5"/>
  <c r="J444" i="5"/>
  <c r="I444" i="5"/>
  <c r="H444" i="5"/>
  <c r="G444" i="5"/>
  <c r="C444" i="5"/>
  <c r="AG443" i="5"/>
  <c r="AF443" i="5"/>
  <c r="AE443" i="5"/>
  <c r="AD443" i="5"/>
  <c r="AA443" i="5"/>
  <c r="Y443" i="5"/>
  <c r="Z443" i="5" s="1"/>
  <c r="AC443" i="5" s="1"/>
  <c r="X443" i="5"/>
  <c r="U443" i="5"/>
  <c r="S443" i="5"/>
  <c r="T443" i="5" s="1"/>
  <c r="R443" i="5"/>
  <c r="Q443" i="5"/>
  <c r="P443" i="5"/>
  <c r="O443" i="5"/>
  <c r="N443" i="5"/>
  <c r="M443" i="5"/>
  <c r="L443" i="5"/>
  <c r="K443" i="5"/>
  <c r="J443" i="5"/>
  <c r="I443" i="5"/>
  <c r="H443" i="5"/>
  <c r="G443" i="5"/>
  <c r="C443" i="5"/>
  <c r="AG442" i="5"/>
  <c r="AF442" i="5"/>
  <c r="AE442" i="5"/>
  <c r="AD442" i="5"/>
  <c r="AA442" i="5"/>
  <c r="Y442" i="5"/>
  <c r="Z442" i="5" s="1"/>
  <c r="X442" i="5"/>
  <c r="U442" i="5"/>
  <c r="S442" i="5"/>
  <c r="T442" i="5" s="1"/>
  <c r="R442" i="5"/>
  <c r="Q442" i="5"/>
  <c r="P442" i="5"/>
  <c r="O442" i="5"/>
  <c r="N442" i="5"/>
  <c r="M442" i="5"/>
  <c r="L442" i="5"/>
  <c r="K442" i="5"/>
  <c r="J442" i="5"/>
  <c r="I442" i="5"/>
  <c r="H442" i="5"/>
  <c r="G442" i="5"/>
  <c r="C442" i="5"/>
  <c r="AG441" i="5"/>
  <c r="AF441" i="5"/>
  <c r="AE441" i="5"/>
  <c r="AD441" i="5"/>
  <c r="Y441" i="5"/>
  <c r="Z441" i="5" s="1"/>
  <c r="AC441" i="5" s="1"/>
  <c r="X441" i="5"/>
  <c r="U441" i="5"/>
  <c r="S441" i="5"/>
  <c r="T441" i="5" s="1"/>
  <c r="R441" i="5"/>
  <c r="Q441" i="5"/>
  <c r="P441" i="5"/>
  <c r="O441" i="5"/>
  <c r="N441" i="5"/>
  <c r="M441" i="5"/>
  <c r="L441" i="5"/>
  <c r="K441" i="5"/>
  <c r="J441" i="5"/>
  <c r="I441" i="5"/>
  <c r="H441" i="5"/>
  <c r="G441" i="5"/>
  <c r="AA441" i="5" s="1"/>
  <c r="C441" i="5"/>
  <c r="AG440" i="5"/>
  <c r="AF440" i="5"/>
  <c r="AE440" i="5"/>
  <c r="AN440" i="5" s="1"/>
  <c r="AD440" i="5"/>
  <c r="Y440" i="5"/>
  <c r="Z440" i="5" s="1"/>
  <c r="AC440" i="5" s="1"/>
  <c r="X440" i="5"/>
  <c r="AB440" i="5" s="1"/>
  <c r="AH440" i="5" s="1"/>
  <c r="U440" i="5"/>
  <c r="S440" i="5"/>
  <c r="T440" i="5" s="1"/>
  <c r="R440" i="5"/>
  <c r="Q440" i="5"/>
  <c r="P440" i="5"/>
  <c r="O440" i="5"/>
  <c r="N440" i="5"/>
  <c r="M440" i="5"/>
  <c r="L440" i="5"/>
  <c r="K440" i="5"/>
  <c r="J440" i="5"/>
  <c r="I440" i="5"/>
  <c r="H440" i="5"/>
  <c r="G440" i="5"/>
  <c r="AA440" i="5" s="1"/>
  <c r="C440" i="5"/>
  <c r="AG439" i="5"/>
  <c r="AF439" i="5"/>
  <c r="AE439" i="5"/>
  <c r="AD439" i="5"/>
  <c r="Y439" i="5"/>
  <c r="Z439" i="5" s="1"/>
  <c r="AC439" i="5" s="1"/>
  <c r="X439" i="5"/>
  <c r="AB439" i="5" s="1"/>
  <c r="U439" i="5"/>
  <c r="S439" i="5"/>
  <c r="T439" i="5" s="1"/>
  <c r="R439" i="5"/>
  <c r="Q439" i="5"/>
  <c r="P439" i="5"/>
  <c r="O439" i="5"/>
  <c r="N439" i="5"/>
  <c r="M439" i="5"/>
  <c r="L439" i="5"/>
  <c r="K439" i="5"/>
  <c r="J439" i="5"/>
  <c r="I439" i="5"/>
  <c r="H439" i="5"/>
  <c r="G439" i="5"/>
  <c r="AA439" i="5" s="1"/>
  <c r="C439" i="5"/>
  <c r="AG438" i="5"/>
  <c r="AF438" i="5"/>
  <c r="AE438" i="5"/>
  <c r="AD438" i="5"/>
  <c r="AA438" i="5"/>
  <c r="Y438" i="5"/>
  <c r="Z438" i="5" s="1"/>
  <c r="AC438" i="5" s="1"/>
  <c r="X438" i="5"/>
  <c r="AB438" i="5" s="1"/>
  <c r="U438" i="5"/>
  <c r="S438" i="5"/>
  <c r="T438" i="5" s="1"/>
  <c r="R438" i="5"/>
  <c r="Q438" i="5"/>
  <c r="P438" i="5"/>
  <c r="O438" i="5"/>
  <c r="N438" i="5"/>
  <c r="M438" i="5"/>
  <c r="L438" i="5"/>
  <c r="K438" i="5"/>
  <c r="J438" i="5"/>
  <c r="I438" i="5"/>
  <c r="H438" i="5"/>
  <c r="G438" i="5"/>
  <c r="C438" i="5"/>
  <c r="AG437" i="5"/>
  <c r="AF437" i="5"/>
  <c r="AE437" i="5"/>
  <c r="AD437" i="5"/>
  <c r="AA437" i="5"/>
  <c r="Y437" i="5"/>
  <c r="Z437" i="5" s="1"/>
  <c r="AC437" i="5" s="1"/>
  <c r="X437" i="5"/>
  <c r="AB437" i="5" s="1"/>
  <c r="U437" i="5"/>
  <c r="S437" i="5"/>
  <c r="T437" i="5" s="1"/>
  <c r="R437" i="5"/>
  <c r="Q437" i="5"/>
  <c r="P437" i="5"/>
  <c r="O437" i="5"/>
  <c r="N437" i="5"/>
  <c r="M437" i="5"/>
  <c r="L437" i="5"/>
  <c r="K437" i="5"/>
  <c r="J437" i="5"/>
  <c r="I437" i="5"/>
  <c r="H437" i="5"/>
  <c r="G437" i="5"/>
  <c r="C437" i="5"/>
  <c r="AG436" i="5"/>
  <c r="AF436" i="5"/>
  <c r="AE436" i="5"/>
  <c r="AD436" i="5"/>
  <c r="AA436" i="5"/>
  <c r="Y436" i="5"/>
  <c r="Z436" i="5" s="1"/>
  <c r="AC436" i="5" s="1"/>
  <c r="X436" i="5"/>
  <c r="AB436" i="5" s="1"/>
  <c r="AM436" i="5" s="1"/>
  <c r="U436" i="5"/>
  <c r="S436" i="5"/>
  <c r="T436" i="5" s="1"/>
  <c r="R436" i="5"/>
  <c r="Q436" i="5"/>
  <c r="P436" i="5"/>
  <c r="O436" i="5"/>
  <c r="N436" i="5"/>
  <c r="M436" i="5"/>
  <c r="L436" i="5"/>
  <c r="K436" i="5"/>
  <c r="J436" i="5"/>
  <c r="I436" i="5"/>
  <c r="H436" i="5"/>
  <c r="G436" i="5"/>
  <c r="C436" i="5"/>
  <c r="AG435" i="5"/>
  <c r="AF435" i="5"/>
  <c r="AE435" i="5"/>
  <c r="AD435" i="5"/>
  <c r="Y435" i="5"/>
  <c r="Z435" i="5" s="1"/>
  <c r="AC435" i="5" s="1"/>
  <c r="X435" i="5"/>
  <c r="U435" i="5"/>
  <c r="S435" i="5"/>
  <c r="T435" i="5" s="1"/>
  <c r="R435" i="5"/>
  <c r="Q435" i="5"/>
  <c r="P435" i="5"/>
  <c r="O435" i="5"/>
  <c r="N435" i="5"/>
  <c r="M435" i="5"/>
  <c r="L435" i="5"/>
  <c r="K435" i="5"/>
  <c r="J435" i="5"/>
  <c r="I435" i="5"/>
  <c r="H435" i="5"/>
  <c r="G435" i="5"/>
  <c r="AA435" i="5" s="1"/>
  <c r="C435" i="5"/>
  <c r="AG434" i="5"/>
  <c r="AF434" i="5"/>
  <c r="AE434" i="5"/>
  <c r="AD434" i="5"/>
  <c r="Y434" i="5"/>
  <c r="Z434" i="5" s="1"/>
  <c r="AC434" i="5" s="1"/>
  <c r="X434" i="5"/>
  <c r="U434" i="5"/>
  <c r="S434" i="5"/>
  <c r="T434" i="5" s="1"/>
  <c r="R434" i="5"/>
  <c r="Q434" i="5"/>
  <c r="P434" i="5"/>
  <c r="O434" i="5"/>
  <c r="N434" i="5"/>
  <c r="M434" i="5"/>
  <c r="L434" i="5"/>
  <c r="K434" i="5"/>
  <c r="J434" i="5"/>
  <c r="I434" i="5"/>
  <c r="H434" i="5"/>
  <c r="G434" i="5"/>
  <c r="AA434" i="5" s="1"/>
  <c r="C434" i="5"/>
  <c r="AG433" i="5"/>
  <c r="AF433" i="5"/>
  <c r="AE433" i="5"/>
  <c r="AD433" i="5"/>
  <c r="Y433" i="5"/>
  <c r="Z433" i="5" s="1"/>
  <c r="AC433" i="5" s="1"/>
  <c r="X433" i="5"/>
  <c r="U433" i="5"/>
  <c r="S433" i="5"/>
  <c r="T433" i="5" s="1"/>
  <c r="R433" i="5"/>
  <c r="Q433" i="5"/>
  <c r="P433" i="5"/>
  <c r="O433" i="5"/>
  <c r="N433" i="5"/>
  <c r="M433" i="5"/>
  <c r="L433" i="5"/>
  <c r="K433" i="5"/>
  <c r="J433" i="5"/>
  <c r="I433" i="5"/>
  <c r="H433" i="5"/>
  <c r="G433" i="5"/>
  <c r="AA433" i="5" s="1"/>
  <c r="C433" i="5"/>
  <c r="AG432" i="5"/>
  <c r="AF432" i="5"/>
  <c r="AE432" i="5"/>
  <c r="AD432" i="5"/>
  <c r="AA432" i="5"/>
  <c r="Y432" i="5"/>
  <c r="Z432" i="5" s="1"/>
  <c r="X432" i="5"/>
  <c r="U432" i="5"/>
  <c r="S432" i="5"/>
  <c r="T432" i="5" s="1"/>
  <c r="R432" i="5"/>
  <c r="Q432" i="5"/>
  <c r="P432" i="5"/>
  <c r="O432" i="5"/>
  <c r="N432" i="5"/>
  <c r="M432" i="5"/>
  <c r="L432" i="5"/>
  <c r="K432" i="5"/>
  <c r="J432" i="5"/>
  <c r="I432" i="5"/>
  <c r="H432" i="5"/>
  <c r="G432" i="5"/>
  <c r="C432" i="5"/>
  <c r="AO431" i="5"/>
  <c r="AG431" i="5"/>
  <c r="AF431" i="5"/>
  <c r="AE431" i="5"/>
  <c r="AD431" i="5"/>
  <c r="AC431" i="5"/>
  <c r="AA431" i="5"/>
  <c r="Y431" i="5"/>
  <c r="Z431" i="5" s="1"/>
  <c r="AB431" i="5" s="1"/>
  <c r="X431" i="5"/>
  <c r="U431" i="5"/>
  <c r="S431" i="5"/>
  <c r="T431" i="5" s="1"/>
  <c r="R431" i="5"/>
  <c r="Q431" i="5"/>
  <c r="P431" i="5"/>
  <c r="O431" i="5"/>
  <c r="N431" i="5"/>
  <c r="M431" i="5"/>
  <c r="L431" i="5"/>
  <c r="K431" i="5"/>
  <c r="J431" i="5"/>
  <c r="I431" i="5"/>
  <c r="H431" i="5"/>
  <c r="G431" i="5"/>
  <c r="C431" i="5"/>
  <c r="AG430" i="5"/>
  <c r="AF430" i="5"/>
  <c r="AE430" i="5"/>
  <c r="AD430" i="5"/>
  <c r="AA430" i="5"/>
  <c r="Y430" i="5"/>
  <c r="Z430" i="5" s="1"/>
  <c r="AC430" i="5" s="1"/>
  <c r="X430" i="5"/>
  <c r="U430" i="5"/>
  <c r="S430" i="5"/>
  <c r="T430" i="5" s="1"/>
  <c r="R430" i="5"/>
  <c r="Q430" i="5"/>
  <c r="P430" i="5"/>
  <c r="O430" i="5"/>
  <c r="N430" i="5"/>
  <c r="M430" i="5"/>
  <c r="L430" i="5"/>
  <c r="K430" i="5"/>
  <c r="J430" i="5"/>
  <c r="I430" i="5"/>
  <c r="H430" i="5"/>
  <c r="G430" i="5"/>
  <c r="C430" i="5"/>
  <c r="AG429" i="5"/>
  <c r="AF429" i="5"/>
  <c r="AE429" i="5"/>
  <c r="AO429" i="5" s="1"/>
  <c r="AD429" i="5"/>
  <c r="Y429" i="5"/>
  <c r="Z429" i="5" s="1"/>
  <c r="AC429" i="5" s="1"/>
  <c r="X429" i="5"/>
  <c r="AB429" i="5" s="1"/>
  <c r="AK429" i="5" s="1"/>
  <c r="U429" i="5"/>
  <c r="S429" i="5"/>
  <c r="T429" i="5" s="1"/>
  <c r="R429" i="5"/>
  <c r="Q429" i="5"/>
  <c r="P429" i="5"/>
  <c r="O429" i="5"/>
  <c r="N429" i="5"/>
  <c r="M429" i="5"/>
  <c r="L429" i="5"/>
  <c r="K429" i="5"/>
  <c r="J429" i="5"/>
  <c r="I429" i="5"/>
  <c r="H429" i="5"/>
  <c r="G429" i="5"/>
  <c r="AA429" i="5" s="1"/>
  <c r="C429" i="5"/>
  <c r="AG428" i="5"/>
  <c r="AF428" i="5"/>
  <c r="AE428" i="5"/>
  <c r="AD428" i="5"/>
  <c r="Y428" i="5"/>
  <c r="Z428" i="5" s="1"/>
  <c r="AC428" i="5" s="1"/>
  <c r="X428" i="5"/>
  <c r="U428" i="5"/>
  <c r="S428" i="5"/>
  <c r="T428" i="5" s="1"/>
  <c r="R428" i="5"/>
  <c r="Q428" i="5"/>
  <c r="P428" i="5"/>
  <c r="O428" i="5"/>
  <c r="N428" i="5"/>
  <c r="M428" i="5"/>
  <c r="L428" i="5"/>
  <c r="K428" i="5"/>
  <c r="J428" i="5"/>
  <c r="I428" i="5"/>
  <c r="H428" i="5"/>
  <c r="G428" i="5"/>
  <c r="AA428" i="5" s="1"/>
  <c r="C428" i="5"/>
  <c r="AG427" i="5"/>
  <c r="AF427" i="5"/>
  <c r="AE427" i="5"/>
  <c r="AD427" i="5"/>
  <c r="Y427" i="5"/>
  <c r="Z427" i="5" s="1"/>
  <c r="AC427" i="5" s="1"/>
  <c r="X427" i="5"/>
  <c r="AB427" i="5" s="1"/>
  <c r="U427" i="5"/>
  <c r="S427" i="5"/>
  <c r="T427" i="5" s="1"/>
  <c r="R427" i="5"/>
  <c r="Q427" i="5"/>
  <c r="P427" i="5"/>
  <c r="O427" i="5"/>
  <c r="N427" i="5"/>
  <c r="M427" i="5"/>
  <c r="L427" i="5"/>
  <c r="K427" i="5"/>
  <c r="J427" i="5"/>
  <c r="I427" i="5"/>
  <c r="H427" i="5"/>
  <c r="G427" i="5"/>
  <c r="AA427" i="5" s="1"/>
  <c r="C427" i="5"/>
  <c r="AG426" i="5"/>
  <c r="AF426" i="5"/>
  <c r="AE426" i="5"/>
  <c r="AD426" i="5"/>
  <c r="AA426" i="5"/>
  <c r="Y426" i="5"/>
  <c r="Z426" i="5" s="1"/>
  <c r="AC426" i="5" s="1"/>
  <c r="X426" i="5"/>
  <c r="U426" i="5"/>
  <c r="S426" i="5"/>
  <c r="T426" i="5" s="1"/>
  <c r="R426" i="5"/>
  <c r="Q426" i="5"/>
  <c r="P426" i="5"/>
  <c r="O426" i="5"/>
  <c r="N426" i="5"/>
  <c r="M426" i="5"/>
  <c r="L426" i="5"/>
  <c r="K426" i="5"/>
  <c r="J426" i="5"/>
  <c r="I426" i="5"/>
  <c r="H426" i="5"/>
  <c r="G426" i="5"/>
  <c r="C426" i="5"/>
  <c r="AG425" i="5"/>
  <c r="AF425" i="5"/>
  <c r="AE425" i="5"/>
  <c r="AD425" i="5"/>
  <c r="AC425" i="5"/>
  <c r="AA425" i="5"/>
  <c r="Y425" i="5"/>
  <c r="Z425" i="5" s="1"/>
  <c r="X425" i="5"/>
  <c r="U425" i="5"/>
  <c r="S425" i="5"/>
  <c r="T425" i="5" s="1"/>
  <c r="R425" i="5"/>
  <c r="Q425" i="5"/>
  <c r="P425" i="5"/>
  <c r="O425" i="5"/>
  <c r="N425" i="5"/>
  <c r="M425" i="5"/>
  <c r="L425" i="5"/>
  <c r="K425" i="5"/>
  <c r="J425" i="5"/>
  <c r="I425" i="5"/>
  <c r="H425" i="5"/>
  <c r="G425" i="5"/>
  <c r="C425" i="5"/>
  <c r="AG424" i="5"/>
  <c r="AF424" i="5"/>
  <c r="AE424" i="5"/>
  <c r="AD424" i="5"/>
  <c r="AA424" i="5"/>
  <c r="Y424" i="5"/>
  <c r="Z424" i="5" s="1"/>
  <c r="AC424" i="5" s="1"/>
  <c r="X424" i="5"/>
  <c r="U424" i="5"/>
  <c r="S424" i="5"/>
  <c r="T424" i="5" s="1"/>
  <c r="R424" i="5"/>
  <c r="Q424" i="5"/>
  <c r="P424" i="5"/>
  <c r="O424" i="5"/>
  <c r="N424" i="5"/>
  <c r="M424" i="5"/>
  <c r="L424" i="5"/>
  <c r="K424" i="5"/>
  <c r="J424" i="5"/>
  <c r="I424" i="5"/>
  <c r="H424" i="5"/>
  <c r="G424" i="5"/>
  <c r="C424" i="5"/>
  <c r="AG423" i="5"/>
  <c r="AF423" i="5"/>
  <c r="AE423" i="5"/>
  <c r="AD423" i="5"/>
  <c r="Y423" i="5"/>
  <c r="Z423" i="5" s="1"/>
  <c r="AC423" i="5" s="1"/>
  <c r="X423" i="5"/>
  <c r="U423" i="5"/>
  <c r="S423" i="5"/>
  <c r="T423" i="5" s="1"/>
  <c r="R423" i="5"/>
  <c r="Q423" i="5"/>
  <c r="P423" i="5"/>
  <c r="O423" i="5"/>
  <c r="N423" i="5"/>
  <c r="M423" i="5"/>
  <c r="L423" i="5"/>
  <c r="K423" i="5"/>
  <c r="J423" i="5"/>
  <c r="I423" i="5"/>
  <c r="H423" i="5"/>
  <c r="G423" i="5"/>
  <c r="AA423" i="5" s="1"/>
  <c r="C423" i="5"/>
  <c r="AG422" i="5"/>
  <c r="AF422" i="5"/>
  <c r="AE422" i="5"/>
  <c r="AN422" i="5" s="1"/>
  <c r="AD422" i="5"/>
  <c r="Y422" i="5"/>
  <c r="Z422" i="5" s="1"/>
  <c r="AC422" i="5" s="1"/>
  <c r="X422" i="5"/>
  <c r="AB422" i="5" s="1"/>
  <c r="AH422" i="5" s="1"/>
  <c r="U422" i="5"/>
  <c r="S422" i="5"/>
  <c r="T422" i="5" s="1"/>
  <c r="R422" i="5"/>
  <c r="Q422" i="5"/>
  <c r="P422" i="5"/>
  <c r="O422" i="5"/>
  <c r="N422" i="5"/>
  <c r="M422" i="5"/>
  <c r="L422" i="5"/>
  <c r="K422" i="5"/>
  <c r="J422" i="5"/>
  <c r="I422" i="5"/>
  <c r="H422" i="5"/>
  <c r="G422" i="5"/>
  <c r="AA422" i="5" s="1"/>
  <c r="C422" i="5"/>
  <c r="AG421" i="5"/>
  <c r="AF421" i="5"/>
  <c r="AE421" i="5"/>
  <c r="AD421" i="5"/>
  <c r="Y421" i="5"/>
  <c r="Z421" i="5" s="1"/>
  <c r="AC421" i="5" s="1"/>
  <c r="X421" i="5"/>
  <c r="AB421" i="5" s="1"/>
  <c r="U421" i="5"/>
  <c r="S421" i="5"/>
  <c r="T421" i="5" s="1"/>
  <c r="R421" i="5"/>
  <c r="Q421" i="5"/>
  <c r="P421" i="5"/>
  <c r="O421" i="5"/>
  <c r="N421" i="5"/>
  <c r="M421" i="5"/>
  <c r="L421" i="5"/>
  <c r="K421" i="5"/>
  <c r="J421" i="5"/>
  <c r="I421" i="5"/>
  <c r="H421" i="5"/>
  <c r="G421" i="5"/>
  <c r="AA421" i="5" s="1"/>
  <c r="C421" i="5"/>
  <c r="AG420" i="5"/>
  <c r="AF420" i="5"/>
  <c r="AE420" i="5"/>
  <c r="AD420" i="5"/>
  <c r="AA420" i="5"/>
  <c r="Y420" i="5"/>
  <c r="Z420" i="5" s="1"/>
  <c r="AC420" i="5" s="1"/>
  <c r="X420" i="5"/>
  <c r="AB420" i="5" s="1"/>
  <c r="U420" i="5"/>
  <c r="S420" i="5"/>
  <c r="T420" i="5" s="1"/>
  <c r="R420" i="5"/>
  <c r="Q420" i="5"/>
  <c r="P420" i="5"/>
  <c r="O420" i="5"/>
  <c r="N420" i="5"/>
  <c r="M420" i="5"/>
  <c r="L420" i="5"/>
  <c r="K420" i="5"/>
  <c r="J420" i="5"/>
  <c r="I420" i="5"/>
  <c r="H420" i="5"/>
  <c r="G420" i="5"/>
  <c r="C420" i="5"/>
  <c r="AG419" i="5"/>
  <c r="AF419" i="5"/>
  <c r="AE419" i="5"/>
  <c r="AD419" i="5"/>
  <c r="AA419" i="5"/>
  <c r="Y419" i="5"/>
  <c r="Z419" i="5" s="1"/>
  <c r="AB419" i="5" s="1"/>
  <c r="X419" i="5"/>
  <c r="U419" i="5"/>
  <c r="S419" i="5"/>
  <c r="T419" i="5" s="1"/>
  <c r="R419" i="5"/>
  <c r="Q419" i="5"/>
  <c r="P419" i="5"/>
  <c r="O419" i="5"/>
  <c r="N419" i="5"/>
  <c r="M419" i="5"/>
  <c r="L419" i="5"/>
  <c r="K419" i="5"/>
  <c r="J419" i="5"/>
  <c r="I419" i="5"/>
  <c r="H419" i="5"/>
  <c r="G419" i="5"/>
  <c r="C419" i="5"/>
  <c r="AG418" i="5"/>
  <c r="AF418" i="5"/>
  <c r="AE418" i="5"/>
  <c r="AD418" i="5"/>
  <c r="AA418" i="5"/>
  <c r="Y418" i="5"/>
  <c r="Z418" i="5" s="1"/>
  <c r="AC418" i="5" s="1"/>
  <c r="X418" i="5"/>
  <c r="AB418" i="5" s="1"/>
  <c r="AM418" i="5" s="1"/>
  <c r="U418" i="5"/>
  <c r="S418" i="5"/>
  <c r="T418" i="5" s="1"/>
  <c r="R418" i="5"/>
  <c r="Q418" i="5"/>
  <c r="P418" i="5"/>
  <c r="O418" i="5"/>
  <c r="N418" i="5"/>
  <c r="M418" i="5"/>
  <c r="L418" i="5"/>
  <c r="K418" i="5"/>
  <c r="J418" i="5"/>
  <c r="I418" i="5"/>
  <c r="H418" i="5"/>
  <c r="G418" i="5"/>
  <c r="C418" i="5"/>
  <c r="AG417" i="5"/>
  <c r="AF417" i="5"/>
  <c r="AE417" i="5"/>
  <c r="AD417" i="5"/>
  <c r="Y417" i="5"/>
  <c r="Z417" i="5" s="1"/>
  <c r="AC417" i="5" s="1"/>
  <c r="X417" i="5"/>
  <c r="U417" i="5"/>
  <c r="S417" i="5"/>
  <c r="T417" i="5" s="1"/>
  <c r="R417" i="5"/>
  <c r="Q417" i="5"/>
  <c r="P417" i="5"/>
  <c r="O417" i="5"/>
  <c r="N417" i="5"/>
  <c r="M417" i="5"/>
  <c r="L417" i="5"/>
  <c r="K417" i="5"/>
  <c r="J417" i="5"/>
  <c r="I417" i="5"/>
  <c r="H417" i="5"/>
  <c r="G417" i="5"/>
  <c r="AA417" i="5" s="1"/>
  <c r="C417" i="5"/>
  <c r="AG416" i="5"/>
  <c r="AF416" i="5"/>
  <c r="AE416" i="5"/>
  <c r="AD416" i="5"/>
  <c r="Y416" i="5"/>
  <c r="Z416" i="5" s="1"/>
  <c r="AC416" i="5" s="1"/>
  <c r="X416" i="5"/>
  <c r="U416" i="5"/>
  <c r="S416" i="5"/>
  <c r="T416" i="5" s="1"/>
  <c r="R416" i="5"/>
  <c r="Q416" i="5"/>
  <c r="P416" i="5"/>
  <c r="O416" i="5"/>
  <c r="N416" i="5"/>
  <c r="M416" i="5"/>
  <c r="L416" i="5"/>
  <c r="K416" i="5"/>
  <c r="J416" i="5"/>
  <c r="I416" i="5"/>
  <c r="H416" i="5"/>
  <c r="G416" i="5"/>
  <c r="AA416" i="5" s="1"/>
  <c r="C416" i="5"/>
  <c r="AG415" i="5"/>
  <c r="AF415" i="5"/>
  <c r="AE415" i="5"/>
  <c r="AD415" i="5"/>
  <c r="Y415" i="5"/>
  <c r="Z415" i="5" s="1"/>
  <c r="AC415" i="5" s="1"/>
  <c r="X415" i="5"/>
  <c r="U415" i="5"/>
  <c r="S415" i="5"/>
  <c r="T415" i="5" s="1"/>
  <c r="R415" i="5"/>
  <c r="Q415" i="5"/>
  <c r="P415" i="5"/>
  <c r="O415" i="5"/>
  <c r="N415" i="5"/>
  <c r="M415" i="5"/>
  <c r="L415" i="5"/>
  <c r="K415" i="5"/>
  <c r="J415" i="5"/>
  <c r="I415" i="5"/>
  <c r="H415" i="5"/>
  <c r="G415" i="5"/>
  <c r="AA415" i="5" s="1"/>
  <c r="C415" i="5"/>
  <c r="AG414" i="5"/>
  <c r="AF414" i="5"/>
  <c r="AE414" i="5"/>
  <c r="AD414" i="5"/>
  <c r="AA414" i="5"/>
  <c r="Y414" i="5"/>
  <c r="Z414" i="5" s="1"/>
  <c r="X414" i="5"/>
  <c r="U414" i="5"/>
  <c r="S414" i="5"/>
  <c r="T414" i="5" s="1"/>
  <c r="R414" i="5"/>
  <c r="Q414" i="5"/>
  <c r="P414" i="5"/>
  <c r="O414" i="5"/>
  <c r="N414" i="5"/>
  <c r="M414" i="5"/>
  <c r="L414" i="5"/>
  <c r="K414" i="5"/>
  <c r="J414" i="5"/>
  <c r="I414" i="5"/>
  <c r="H414" i="5"/>
  <c r="G414" i="5"/>
  <c r="C414" i="5"/>
  <c r="AO413" i="5"/>
  <c r="AG413" i="5"/>
  <c r="AF413" i="5"/>
  <c r="AE413" i="5"/>
  <c r="AD413" i="5"/>
  <c r="AC413" i="5"/>
  <c r="AA413" i="5"/>
  <c r="Y413" i="5"/>
  <c r="Z413" i="5" s="1"/>
  <c r="X413" i="5"/>
  <c r="AB413" i="5" s="1"/>
  <c r="U413" i="5"/>
  <c r="S413" i="5"/>
  <c r="T413" i="5" s="1"/>
  <c r="R413" i="5"/>
  <c r="Q413" i="5"/>
  <c r="P413" i="5"/>
  <c r="O413" i="5"/>
  <c r="N413" i="5"/>
  <c r="M413" i="5"/>
  <c r="L413" i="5"/>
  <c r="K413" i="5"/>
  <c r="J413" i="5"/>
  <c r="I413" i="5"/>
  <c r="H413" i="5"/>
  <c r="G413" i="5"/>
  <c r="C413" i="5"/>
  <c r="AG412" i="5"/>
  <c r="AF412" i="5"/>
  <c r="AE412" i="5"/>
  <c r="AD412" i="5"/>
  <c r="AA412" i="5"/>
  <c r="Y412" i="5"/>
  <c r="Z412" i="5" s="1"/>
  <c r="X412" i="5"/>
  <c r="U412" i="5"/>
  <c r="S412" i="5"/>
  <c r="T412" i="5" s="1"/>
  <c r="R412" i="5"/>
  <c r="Q412" i="5"/>
  <c r="P412" i="5"/>
  <c r="O412" i="5"/>
  <c r="N412" i="5"/>
  <c r="M412" i="5"/>
  <c r="L412" i="5"/>
  <c r="K412" i="5"/>
  <c r="J412" i="5"/>
  <c r="I412" i="5"/>
  <c r="H412" i="5"/>
  <c r="G412" i="5"/>
  <c r="C412" i="5"/>
  <c r="AG411" i="5"/>
  <c r="AF411" i="5"/>
  <c r="AE411" i="5"/>
  <c r="AO411" i="5" s="1"/>
  <c r="AD411" i="5"/>
  <c r="Y411" i="5"/>
  <c r="Z411" i="5" s="1"/>
  <c r="AC411" i="5" s="1"/>
  <c r="X411" i="5"/>
  <c r="AB411" i="5" s="1"/>
  <c r="U411" i="5"/>
  <c r="S411" i="5"/>
  <c r="T411" i="5" s="1"/>
  <c r="R411" i="5"/>
  <c r="Q411" i="5"/>
  <c r="P411" i="5"/>
  <c r="O411" i="5"/>
  <c r="N411" i="5"/>
  <c r="M411" i="5"/>
  <c r="L411" i="5"/>
  <c r="K411" i="5"/>
  <c r="J411" i="5"/>
  <c r="I411" i="5"/>
  <c r="H411" i="5"/>
  <c r="G411" i="5"/>
  <c r="AA411" i="5" s="1"/>
  <c r="C411" i="5"/>
  <c r="AG410" i="5"/>
  <c r="AF410" i="5"/>
  <c r="AE410" i="5"/>
  <c r="AD410" i="5"/>
  <c r="AC410" i="5"/>
  <c r="AO410" i="5" s="1"/>
  <c r="Y410" i="5"/>
  <c r="Z410" i="5" s="1"/>
  <c r="X410" i="5"/>
  <c r="AB410" i="5" s="1"/>
  <c r="AH410" i="5" s="1"/>
  <c r="U410" i="5"/>
  <c r="S410" i="5"/>
  <c r="T410" i="5" s="1"/>
  <c r="R410" i="5"/>
  <c r="Q410" i="5"/>
  <c r="P410" i="5"/>
  <c r="O410" i="5"/>
  <c r="N410" i="5"/>
  <c r="M410" i="5"/>
  <c r="L410" i="5"/>
  <c r="K410" i="5"/>
  <c r="J410" i="5"/>
  <c r="I410" i="5"/>
  <c r="H410" i="5"/>
  <c r="G410" i="5"/>
  <c r="AA410" i="5" s="1"/>
  <c r="C410" i="5"/>
  <c r="AG409" i="5"/>
  <c r="AF409" i="5"/>
  <c r="AE409" i="5"/>
  <c r="AD409" i="5"/>
  <c r="Y409" i="5"/>
  <c r="Z409" i="5" s="1"/>
  <c r="AC409" i="5" s="1"/>
  <c r="X409" i="5"/>
  <c r="U409" i="5"/>
  <c r="S409" i="5"/>
  <c r="T409" i="5" s="1"/>
  <c r="R409" i="5"/>
  <c r="Q409" i="5"/>
  <c r="P409" i="5"/>
  <c r="O409" i="5"/>
  <c r="N409" i="5"/>
  <c r="M409" i="5"/>
  <c r="L409" i="5"/>
  <c r="K409" i="5"/>
  <c r="J409" i="5"/>
  <c r="I409" i="5"/>
  <c r="H409" i="5"/>
  <c r="G409" i="5"/>
  <c r="AA409" i="5" s="1"/>
  <c r="C409" i="5"/>
  <c r="AG408" i="5"/>
  <c r="AF408" i="5"/>
  <c r="AE408" i="5"/>
  <c r="AD408" i="5"/>
  <c r="AA408" i="5"/>
  <c r="Y408" i="5"/>
  <c r="Z408" i="5" s="1"/>
  <c r="X408" i="5"/>
  <c r="U408" i="5"/>
  <c r="S408" i="5"/>
  <c r="T408" i="5" s="1"/>
  <c r="R408" i="5"/>
  <c r="Q408" i="5"/>
  <c r="P408" i="5"/>
  <c r="O408" i="5"/>
  <c r="N408" i="5"/>
  <c r="M408" i="5"/>
  <c r="L408" i="5"/>
  <c r="K408" i="5"/>
  <c r="J408" i="5"/>
  <c r="I408" i="5"/>
  <c r="H408" i="5"/>
  <c r="G408" i="5"/>
  <c r="C408" i="5"/>
  <c r="AG407" i="5"/>
  <c r="AF407" i="5"/>
  <c r="AE407" i="5"/>
  <c r="AD407" i="5"/>
  <c r="AC407" i="5"/>
  <c r="AA407" i="5"/>
  <c r="Y407" i="5"/>
  <c r="Z407" i="5" s="1"/>
  <c r="X407" i="5"/>
  <c r="U407" i="5"/>
  <c r="S407" i="5"/>
  <c r="T407" i="5" s="1"/>
  <c r="R407" i="5"/>
  <c r="Q407" i="5"/>
  <c r="P407" i="5"/>
  <c r="O407" i="5"/>
  <c r="N407" i="5"/>
  <c r="M407" i="5"/>
  <c r="L407" i="5"/>
  <c r="K407" i="5"/>
  <c r="J407" i="5"/>
  <c r="I407" i="5"/>
  <c r="H407" i="5"/>
  <c r="G407" i="5"/>
  <c r="C407" i="5"/>
  <c r="AG406" i="5"/>
  <c r="AF406" i="5"/>
  <c r="AE406" i="5"/>
  <c r="AD406" i="5"/>
  <c r="Y406" i="5"/>
  <c r="Z406" i="5" s="1"/>
  <c r="AC406" i="5" s="1"/>
  <c r="X406" i="5"/>
  <c r="U406" i="5"/>
  <c r="S406" i="5"/>
  <c r="T406" i="5" s="1"/>
  <c r="R406" i="5"/>
  <c r="Q406" i="5"/>
  <c r="P406" i="5"/>
  <c r="O406" i="5"/>
  <c r="N406" i="5"/>
  <c r="M406" i="5"/>
  <c r="L406" i="5"/>
  <c r="K406" i="5"/>
  <c r="J406" i="5"/>
  <c r="I406" i="5"/>
  <c r="H406" i="5"/>
  <c r="G406" i="5"/>
  <c r="AA406" i="5" s="1"/>
  <c r="C406" i="5"/>
  <c r="AG405" i="5"/>
  <c r="AF405" i="5"/>
  <c r="AE405" i="5"/>
  <c r="AD405" i="5"/>
  <c r="Y405" i="5"/>
  <c r="Z405" i="5" s="1"/>
  <c r="X405" i="5"/>
  <c r="U405" i="5"/>
  <c r="S405" i="5"/>
  <c r="T405" i="5" s="1"/>
  <c r="R405" i="5"/>
  <c r="Q405" i="5"/>
  <c r="P405" i="5"/>
  <c r="O405" i="5"/>
  <c r="N405" i="5"/>
  <c r="M405" i="5"/>
  <c r="L405" i="5"/>
  <c r="K405" i="5"/>
  <c r="J405" i="5"/>
  <c r="I405" i="5"/>
  <c r="H405" i="5"/>
  <c r="G405" i="5"/>
  <c r="AA405" i="5" s="1"/>
  <c r="C405" i="5"/>
  <c r="AG404" i="5"/>
  <c r="AF404" i="5"/>
  <c r="AE404" i="5"/>
  <c r="AD404" i="5"/>
  <c r="Y404" i="5"/>
  <c r="Z404" i="5" s="1"/>
  <c r="AC404" i="5" s="1"/>
  <c r="X404" i="5"/>
  <c r="U404" i="5"/>
  <c r="S404" i="5"/>
  <c r="T404" i="5" s="1"/>
  <c r="R404" i="5"/>
  <c r="Q404" i="5"/>
  <c r="P404" i="5"/>
  <c r="O404" i="5"/>
  <c r="N404" i="5"/>
  <c r="M404" i="5"/>
  <c r="L404" i="5"/>
  <c r="K404" i="5"/>
  <c r="J404" i="5"/>
  <c r="I404" i="5"/>
  <c r="H404" i="5"/>
  <c r="G404" i="5"/>
  <c r="AA404" i="5" s="1"/>
  <c r="C404" i="5"/>
  <c r="AG403" i="5"/>
  <c r="AF403" i="5"/>
  <c r="AE403" i="5"/>
  <c r="AD403" i="5"/>
  <c r="Y403" i="5"/>
  <c r="Z403" i="5" s="1"/>
  <c r="AC403" i="5" s="1"/>
  <c r="X403" i="5"/>
  <c r="U403" i="5"/>
  <c r="S403" i="5"/>
  <c r="T403" i="5" s="1"/>
  <c r="R403" i="5"/>
  <c r="Q403" i="5"/>
  <c r="P403" i="5"/>
  <c r="O403" i="5"/>
  <c r="N403" i="5"/>
  <c r="M403" i="5"/>
  <c r="L403" i="5"/>
  <c r="K403" i="5"/>
  <c r="J403" i="5"/>
  <c r="I403" i="5"/>
  <c r="H403" i="5"/>
  <c r="G403" i="5"/>
  <c r="AA403" i="5" s="1"/>
  <c r="C403" i="5"/>
  <c r="AG402" i="5"/>
  <c r="AF402" i="5"/>
  <c r="AE402" i="5"/>
  <c r="AD402" i="5"/>
  <c r="AA402" i="5"/>
  <c r="Y402" i="5"/>
  <c r="Z402" i="5" s="1"/>
  <c r="AC402" i="5" s="1"/>
  <c r="X402" i="5"/>
  <c r="AB402" i="5" s="1"/>
  <c r="U402" i="5"/>
  <c r="S402" i="5"/>
  <c r="T402" i="5" s="1"/>
  <c r="R402" i="5"/>
  <c r="Q402" i="5"/>
  <c r="P402" i="5"/>
  <c r="O402" i="5"/>
  <c r="N402" i="5"/>
  <c r="M402" i="5"/>
  <c r="L402" i="5"/>
  <c r="K402" i="5"/>
  <c r="J402" i="5"/>
  <c r="I402" i="5"/>
  <c r="H402" i="5"/>
  <c r="G402" i="5"/>
  <c r="C402" i="5"/>
  <c r="AG401" i="5"/>
  <c r="AF401" i="5"/>
  <c r="AE401" i="5"/>
  <c r="AD401" i="5"/>
  <c r="AA401" i="5"/>
  <c r="Y401" i="5"/>
  <c r="Z401" i="5" s="1"/>
  <c r="AC401" i="5" s="1"/>
  <c r="X401" i="5"/>
  <c r="AB401" i="5" s="1"/>
  <c r="AI401" i="5" s="1"/>
  <c r="U401" i="5"/>
  <c r="S401" i="5"/>
  <c r="T401" i="5" s="1"/>
  <c r="R401" i="5"/>
  <c r="Q401" i="5"/>
  <c r="P401" i="5"/>
  <c r="O401" i="5"/>
  <c r="N401" i="5"/>
  <c r="M401" i="5"/>
  <c r="L401" i="5"/>
  <c r="K401" i="5"/>
  <c r="J401" i="5"/>
  <c r="I401" i="5"/>
  <c r="H401" i="5"/>
  <c r="G401" i="5"/>
  <c r="C401" i="5"/>
  <c r="AG400" i="5"/>
  <c r="AF400" i="5"/>
  <c r="AE400" i="5"/>
  <c r="AD400" i="5"/>
  <c r="Y400" i="5"/>
  <c r="Z400" i="5" s="1"/>
  <c r="AC400" i="5" s="1"/>
  <c r="X400" i="5"/>
  <c r="U400" i="5"/>
  <c r="S400" i="5"/>
  <c r="T400" i="5" s="1"/>
  <c r="R400" i="5"/>
  <c r="Q400" i="5"/>
  <c r="P400" i="5"/>
  <c r="O400" i="5"/>
  <c r="N400" i="5"/>
  <c r="M400" i="5"/>
  <c r="L400" i="5"/>
  <c r="K400" i="5"/>
  <c r="J400" i="5"/>
  <c r="I400" i="5"/>
  <c r="H400" i="5"/>
  <c r="G400" i="5"/>
  <c r="AA400" i="5" s="1"/>
  <c r="C400" i="5"/>
  <c r="AG399" i="5"/>
  <c r="AF399" i="5"/>
  <c r="AE399" i="5"/>
  <c r="AD399" i="5"/>
  <c r="Y399" i="5"/>
  <c r="Z399" i="5" s="1"/>
  <c r="AC399" i="5" s="1"/>
  <c r="X399" i="5"/>
  <c r="U399" i="5"/>
  <c r="S399" i="5"/>
  <c r="T399" i="5" s="1"/>
  <c r="R399" i="5"/>
  <c r="Q399" i="5"/>
  <c r="P399" i="5"/>
  <c r="O399" i="5"/>
  <c r="N399" i="5"/>
  <c r="M399" i="5"/>
  <c r="L399" i="5"/>
  <c r="K399" i="5"/>
  <c r="J399" i="5"/>
  <c r="I399" i="5"/>
  <c r="H399" i="5"/>
  <c r="G399" i="5"/>
  <c r="AA399" i="5" s="1"/>
  <c r="C399" i="5"/>
  <c r="AG398" i="5"/>
  <c r="AF398" i="5"/>
  <c r="AE398" i="5"/>
  <c r="AD398" i="5"/>
  <c r="Y398" i="5"/>
  <c r="Z398" i="5" s="1"/>
  <c r="AC398" i="5" s="1"/>
  <c r="X398" i="5"/>
  <c r="U398" i="5"/>
  <c r="S398" i="5"/>
  <c r="T398" i="5" s="1"/>
  <c r="R398" i="5"/>
  <c r="Q398" i="5"/>
  <c r="P398" i="5"/>
  <c r="O398" i="5"/>
  <c r="N398" i="5"/>
  <c r="M398" i="5"/>
  <c r="L398" i="5"/>
  <c r="K398" i="5"/>
  <c r="J398" i="5"/>
  <c r="I398" i="5"/>
  <c r="H398" i="5"/>
  <c r="G398" i="5"/>
  <c r="AA398" i="5" s="1"/>
  <c r="C398" i="5"/>
  <c r="AG397" i="5"/>
  <c r="AF397" i="5"/>
  <c r="AE397" i="5"/>
  <c r="AD397" i="5"/>
  <c r="AC397" i="5"/>
  <c r="Y397" i="5"/>
  <c r="Z397" i="5" s="1"/>
  <c r="X397" i="5"/>
  <c r="U397" i="5"/>
  <c r="S397" i="5"/>
  <c r="T397" i="5" s="1"/>
  <c r="R397" i="5"/>
  <c r="Q397" i="5"/>
  <c r="P397" i="5"/>
  <c r="O397" i="5"/>
  <c r="N397" i="5"/>
  <c r="M397" i="5"/>
  <c r="L397" i="5"/>
  <c r="K397" i="5"/>
  <c r="J397" i="5"/>
  <c r="I397" i="5"/>
  <c r="H397" i="5"/>
  <c r="G397" i="5"/>
  <c r="AA397" i="5" s="1"/>
  <c r="C397" i="5"/>
  <c r="AG396" i="5"/>
  <c r="AF396" i="5"/>
  <c r="AE396" i="5"/>
  <c r="AD396" i="5"/>
  <c r="AC396" i="5"/>
  <c r="AA396" i="5"/>
  <c r="Y396" i="5"/>
  <c r="Z396" i="5" s="1"/>
  <c r="X396" i="5"/>
  <c r="U396" i="5"/>
  <c r="S396" i="5"/>
  <c r="T396" i="5" s="1"/>
  <c r="R396" i="5"/>
  <c r="Q396" i="5"/>
  <c r="P396" i="5"/>
  <c r="O396" i="5"/>
  <c r="N396" i="5"/>
  <c r="M396" i="5"/>
  <c r="L396" i="5"/>
  <c r="K396" i="5"/>
  <c r="J396" i="5"/>
  <c r="I396" i="5"/>
  <c r="H396" i="5"/>
  <c r="G396" i="5"/>
  <c r="C396" i="5"/>
  <c r="AG395" i="5"/>
  <c r="AF395" i="5"/>
  <c r="AE395" i="5"/>
  <c r="AD395" i="5"/>
  <c r="AA395" i="5"/>
  <c r="Y395" i="5"/>
  <c r="Z395" i="5" s="1"/>
  <c r="AB395" i="5" s="1"/>
  <c r="AH395" i="5" s="1"/>
  <c r="X395" i="5"/>
  <c r="U395" i="5"/>
  <c r="S395" i="5"/>
  <c r="T395" i="5" s="1"/>
  <c r="R395" i="5"/>
  <c r="Q395" i="5"/>
  <c r="P395" i="5"/>
  <c r="O395" i="5"/>
  <c r="N395" i="5"/>
  <c r="M395" i="5"/>
  <c r="L395" i="5"/>
  <c r="K395" i="5"/>
  <c r="J395" i="5"/>
  <c r="I395" i="5"/>
  <c r="H395" i="5"/>
  <c r="G395" i="5"/>
  <c r="C395" i="5"/>
  <c r="AG394" i="5"/>
  <c r="AF394" i="5"/>
  <c r="AE394" i="5"/>
  <c r="AD394" i="5"/>
  <c r="AA394" i="5"/>
  <c r="Y394" i="5"/>
  <c r="Z394" i="5" s="1"/>
  <c r="X394" i="5"/>
  <c r="AC394" i="5" s="1"/>
  <c r="U394" i="5"/>
  <c r="S394" i="5"/>
  <c r="T394" i="5" s="1"/>
  <c r="R394" i="5"/>
  <c r="Q394" i="5"/>
  <c r="P394" i="5"/>
  <c r="O394" i="5"/>
  <c r="N394" i="5"/>
  <c r="M394" i="5"/>
  <c r="L394" i="5"/>
  <c r="K394" i="5"/>
  <c r="J394" i="5"/>
  <c r="I394" i="5"/>
  <c r="H394" i="5"/>
  <c r="G394" i="5"/>
  <c r="C394" i="5"/>
  <c r="AG393" i="5"/>
  <c r="AF393" i="5"/>
  <c r="AE393" i="5"/>
  <c r="AD393" i="5"/>
  <c r="AC393" i="5"/>
  <c r="Y393" i="5"/>
  <c r="Z393" i="5" s="1"/>
  <c r="X393" i="5"/>
  <c r="U393" i="5"/>
  <c r="S393" i="5"/>
  <c r="T393" i="5" s="1"/>
  <c r="R393" i="5"/>
  <c r="Q393" i="5"/>
  <c r="P393" i="5"/>
  <c r="O393" i="5"/>
  <c r="N393" i="5"/>
  <c r="M393" i="5"/>
  <c r="L393" i="5"/>
  <c r="K393" i="5"/>
  <c r="J393" i="5"/>
  <c r="I393" i="5"/>
  <c r="H393" i="5"/>
  <c r="G393" i="5"/>
  <c r="AA393" i="5" s="1"/>
  <c r="C393" i="5"/>
  <c r="AG392" i="5"/>
  <c r="AF392" i="5"/>
  <c r="AE392" i="5"/>
  <c r="AD392" i="5"/>
  <c r="Y392" i="5"/>
  <c r="Z392" i="5" s="1"/>
  <c r="AC392" i="5" s="1"/>
  <c r="AL392" i="5" s="1"/>
  <c r="X392" i="5"/>
  <c r="U392" i="5"/>
  <c r="S392" i="5"/>
  <c r="T392" i="5" s="1"/>
  <c r="R392" i="5"/>
  <c r="Q392" i="5"/>
  <c r="P392" i="5"/>
  <c r="O392" i="5"/>
  <c r="N392" i="5"/>
  <c r="M392" i="5"/>
  <c r="L392" i="5"/>
  <c r="K392" i="5"/>
  <c r="J392" i="5"/>
  <c r="I392" i="5"/>
  <c r="H392" i="5"/>
  <c r="G392" i="5"/>
  <c r="AA392" i="5" s="1"/>
  <c r="AB392" i="5" s="1"/>
  <c r="C392" i="5"/>
  <c r="AG391" i="5"/>
  <c r="AF391" i="5"/>
  <c r="AE391" i="5"/>
  <c r="AD391" i="5"/>
  <c r="AM391" i="5" s="1"/>
  <c r="Y391" i="5"/>
  <c r="Z391" i="5" s="1"/>
  <c r="AC391" i="5" s="1"/>
  <c r="X391" i="5"/>
  <c r="AB391" i="5" s="1"/>
  <c r="U391" i="5"/>
  <c r="T391" i="5"/>
  <c r="S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AA391" i="5" s="1"/>
  <c r="C391" i="5"/>
  <c r="AG390" i="5"/>
  <c r="AF390" i="5"/>
  <c r="AE390" i="5"/>
  <c r="AD390" i="5"/>
  <c r="AC390" i="5"/>
  <c r="AA390" i="5"/>
  <c r="Z390" i="5"/>
  <c r="Y390" i="5"/>
  <c r="X390" i="5"/>
  <c r="AB390" i="5" s="1"/>
  <c r="U390" i="5"/>
  <c r="S390" i="5"/>
  <c r="T390" i="5" s="1"/>
  <c r="R390" i="5"/>
  <c r="Q390" i="5"/>
  <c r="P390" i="5"/>
  <c r="O390" i="5"/>
  <c r="N390" i="5"/>
  <c r="M390" i="5"/>
  <c r="L390" i="5"/>
  <c r="K390" i="5"/>
  <c r="J390" i="5"/>
  <c r="I390" i="5"/>
  <c r="H390" i="5"/>
  <c r="G390" i="5"/>
  <c r="C390" i="5"/>
  <c r="AG389" i="5"/>
  <c r="AF389" i="5"/>
  <c r="AE389" i="5"/>
  <c r="AD389" i="5"/>
  <c r="Y389" i="5"/>
  <c r="Z389" i="5" s="1"/>
  <c r="X389" i="5"/>
  <c r="AC389" i="5" s="1"/>
  <c r="U389" i="5"/>
  <c r="S389" i="5"/>
  <c r="T389" i="5" s="1"/>
  <c r="R389" i="5"/>
  <c r="Q389" i="5"/>
  <c r="P389" i="5"/>
  <c r="O389" i="5"/>
  <c r="N389" i="5"/>
  <c r="M389" i="5"/>
  <c r="L389" i="5"/>
  <c r="K389" i="5"/>
  <c r="J389" i="5"/>
  <c r="I389" i="5"/>
  <c r="H389" i="5"/>
  <c r="G389" i="5"/>
  <c r="AA389" i="5" s="1"/>
  <c r="C389" i="5"/>
  <c r="AG388" i="5"/>
  <c r="AF388" i="5"/>
  <c r="AE388" i="5"/>
  <c r="AD388" i="5"/>
  <c r="Y388" i="5"/>
  <c r="Z388" i="5" s="1"/>
  <c r="AC388" i="5" s="1"/>
  <c r="X388" i="5"/>
  <c r="U388" i="5"/>
  <c r="T388" i="5"/>
  <c r="S388" i="5"/>
  <c r="R388" i="5"/>
  <c r="Q388" i="5"/>
  <c r="P388" i="5"/>
  <c r="O388" i="5"/>
  <c r="N388" i="5"/>
  <c r="M388" i="5"/>
  <c r="L388" i="5"/>
  <c r="K388" i="5"/>
  <c r="J388" i="5"/>
  <c r="I388" i="5"/>
  <c r="H388" i="5"/>
  <c r="G388" i="5"/>
  <c r="AA388" i="5" s="1"/>
  <c r="C388" i="5"/>
  <c r="AG387" i="5"/>
  <c r="AF387" i="5"/>
  <c r="AE387" i="5"/>
  <c r="AD387" i="5"/>
  <c r="Y387" i="5"/>
  <c r="Z387" i="5" s="1"/>
  <c r="AC387" i="5" s="1"/>
  <c r="X387" i="5"/>
  <c r="U387" i="5"/>
  <c r="S387" i="5"/>
  <c r="T387" i="5" s="1"/>
  <c r="R387" i="5"/>
  <c r="Q387" i="5"/>
  <c r="P387" i="5"/>
  <c r="O387" i="5"/>
  <c r="N387" i="5"/>
  <c r="M387" i="5"/>
  <c r="L387" i="5"/>
  <c r="K387" i="5"/>
  <c r="J387" i="5"/>
  <c r="I387" i="5"/>
  <c r="H387" i="5"/>
  <c r="G387" i="5"/>
  <c r="AA387" i="5" s="1"/>
  <c r="C387" i="5"/>
  <c r="AG386" i="5"/>
  <c r="AF386" i="5"/>
  <c r="AE386" i="5"/>
  <c r="AD386" i="5"/>
  <c r="AA386" i="5"/>
  <c r="Y386" i="5"/>
  <c r="Z386" i="5" s="1"/>
  <c r="AB386" i="5" s="1"/>
  <c r="AH386" i="5" s="1"/>
  <c r="X386" i="5"/>
  <c r="U386" i="5"/>
  <c r="S386" i="5"/>
  <c r="T386" i="5" s="1"/>
  <c r="R386" i="5"/>
  <c r="Q386" i="5"/>
  <c r="P386" i="5"/>
  <c r="O386" i="5"/>
  <c r="N386" i="5"/>
  <c r="M386" i="5"/>
  <c r="L386" i="5"/>
  <c r="K386" i="5"/>
  <c r="J386" i="5"/>
  <c r="I386" i="5"/>
  <c r="H386" i="5"/>
  <c r="G386" i="5"/>
  <c r="C386" i="5"/>
  <c r="AG385" i="5"/>
  <c r="AF385" i="5"/>
  <c r="AE385" i="5"/>
  <c r="AD385" i="5"/>
  <c r="Y385" i="5"/>
  <c r="Z385" i="5" s="1"/>
  <c r="AC385" i="5" s="1"/>
  <c r="X385" i="5"/>
  <c r="U385" i="5"/>
  <c r="S385" i="5"/>
  <c r="T385" i="5" s="1"/>
  <c r="R385" i="5"/>
  <c r="Q385" i="5"/>
  <c r="P385" i="5"/>
  <c r="O385" i="5"/>
  <c r="N385" i="5"/>
  <c r="M385" i="5"/>
  <c r="L385" i="5"/>
  <c r="K385" i="5"/>
  <c r="J385" i="5"/>
  <c r="I385" i="5"/>
  <c r="H385" i="5"/>
  <c r="G385" i="5"/>
  <c r="AA385" i="5" s="1"/>
  <c r="C385" i="5"/>
  <c r="AG384" i="5"/>
  <c r="AF384" i="5"/>
  <c r="AE384" i="5"/>
  <c r="AD384" i="5"/>
  <c r="Y384" i="5"/>
  <c r="Z384" i="5" s="1"/>
  <c r="AC384" i="5" s="1"/>
  <c r="X384" i="5"/>
  <c r="U384" i="5"/>
  <c r="S384" i="5"/>
  <c r="T384" i="5" s="1"/>
  <c r="R384" i="5"/>
  <c r="Q384" i="5"/>
  <c r="P384" i="5"/>
  <c r="O384" i="5"/>
  <c r="N384" i="5"/>
  <c r="M384" i="5"/>
  <c r="L384" i="5"/>
  <c r="K384" i="5"/>
  <c r="J384" i="5"/>
  <c r="I384" i="5"/>
  <c r="H384" i="5"/>
  <c r="G384" i="5"/>
  <c r="AA384" i="5" s="1"/>
  <c r="C384" i="5"/>
  <c r="AG383" i="5"/>
  <c r="AF383" i="5"/>
  <c r="AE383" i="5"/>
  <c r="AD383" i="5"/>
  <c r="Y383" i="5"/>
  <c r="Z383" i="5" s="1"/>
  <c r="X383" i="5"/>
  <c r="AC383" i="5" s="1"/>
  <c r="U383" i="5"/>
  <c r="S383" i="5"/>
  <c r="T383" i="5" s="1"/>
  <c r="R383" i="5"/>
  <c r="Q383" i="5"/>
  <c r="P383" i="5"/>
  <c r="O383" i="5"/>
  <c r="N383" i="5"/>
  <c r="M383" i="5"/>
  <c r="L383" i="5"/>
  <c r="K383" i="5"/>
  <c r="J383" i="5"/>
  <c r="I383" i="5"/>
  <c r="H383" i="5"/>
  <c r="G383" i="5"/>
  <c r="AA383" i="5" s="1"/>
  <c r="C383" i="5"/>
  <c r="AG382" i="5"/>
  <c r="AF382" i="5"/>
  <c r="AE382" i="5"/>
  <c r="AD382" i="5"/>
  <c r="Y382" i="5"/>
  <c r="Z382" i="5" s="1"/>
  <c r="AC382" i="5" s="1"/>
  <c r="X382" i="5"/>
  <c r="U382" i="5"/>
  <c r="S382" i="5"/>
  <c r="T382" i="5" s="1"/>
  <c r="R382" i="5"/>
  <c r="Q382" i="5"/>
  <c r="P382" i="5"/>
  <c r="O382" i="5"/>
  <c r="N382" i="5"/>
  <c r="M382" i="5"/>
  <c r="L382" i="5"/>
  <c r="K382" i="5"/>
  <c r="J382" i="5"/>
  <c r="I382" i="5"/>
  <c r="H382" i="5"/>
  <c r="G382" i="5"/>
  <c r="AA382" i="5" s="1"/>
  <c r="C382" i="5"/>
  <c r="AG381" i="5"/>
  <c r="AF381" i="5"/>
  <c r="AE381" i="5"/>
  <c r="AD381" i="5"/>
  <c r="Y381" i="5"/>
  <c r="Z381" i="5" s="1"/>
  <c r="AC381" i="5" s="1"/>
  <c r="X381" i="5"/>
  <c r="U381" i="5"/>
  <c r="S381" i="5"/>
  <c r="T381" i="5" s="1"/>
  <c r="R381" i="5"/>
  <c r="Q381" i="5"/>
  <c r="P381" i="5"/>
  <c r="O381" i="5"/>
  <c r="N381" i="5"/>
  <c r="M381" i="5"/>
  <c r="L381" i="5"/>
  <c r="K381" i="5"/>
  <c r="J381" i="5"/>
  <c r="I381" i="5"/>
  <c r="H381" i="5"/>
  <c r="G381" i="5"/>
  <c r="AA381" i="5" s="1"/>
  <c r="C381" i="5"/>
  <c r="AG380" i="5"/>
  <c r="AF380" i="5"/>
  <c r="AE380" i="5"/>
  <c r="AD380" i="5"/>
  <c r="AA380" i="5"/>
  <c r="Y380" i="5"/>
  <c r="Z380" i="5" s="1"/>
  <c r="AB380" i="5" s="1"/>
  <c r="X380" i="5"/>
  <c r="AC380" i="5" s="1"/>
  <c r="U380" i="5"/>
  <c r="S380" i="5"/>
  <c r="T380" i="5" s="1"/>
  <c r="R380" i="5"/>
  <c r="Q380" i="5"/>
  <c r="P380" i="5"/>
  <c r="O380" i="5"/>
  <c r="N380" i="5"/>
  <c r="M380" i="5"/>
  <c r="L380" i="5"/>
  <c r="K380" i="5"/>
  <c r="J380" i="5"/>
  <c r="I380" i="5"/>
  <c r="H380" i="5"/>
  <c r="G380" i="5"/>
  <c r="C380" i="5"/>
  <c r="AG379" i="5"/>
  <c r="AF379" i="5"/>
  <c r="AE379" i="5"/>
  <c r="AO379" i="5" s="1"/>
  <c r="AD379" i="5"/>
  <c r="Y379" i="5"/>
  <c r="Z379" i="5" s="1"/>
  <c r="AC379" i="5" s="1"/>
  <c r="X379" i="5"/>
  <c r="AB379" i="5" s="1"/>
  <c r="U379" i="5"/>
  <c r="S379" i="5"/>
  <c r="T379" i="5" s="1"/>
  <c r="R379" i="5"/>
  <c r="Q379" i="5"/>
  <c r="P379" i="5"/>
  <c r="O379" i="5"/>
  <c r="N379" i="5"/>
  <c r="M379" i="5"/>
  <c r="L379" i="5"/>
  <c r="K379" i="5"/>
  <c r="J379" i="5"/>
  <c r="I379" i="5"/>
  <c r="H379" i="5"/>
  <c r="G379" i="5"/>
  <c r="AA379" i="5" s="1"/>
  <c r="C379" i="5"/>
  <c r="AG378" i="5"/>
  <c r="AF378" i="5"/>
  <c r="AE378" i="5"/>
  <c r="AD378" i="5"/>
  <c r="AC378" i="5"/>
  <c r="Z378" i="5"/>
  <c r="Y378" i="5"/>
  <c r="X378" i="5"/>
  <c r="U378" i="5"/>
  <c r="S378" i="5"/>
  <c r="T378" i="5" s="1"/>
  <c r="R378" i="5"/>
  <c r="Q378" i="5"/>
  <c r="P378" i="5"/>
  <c r="O378" i="5"/>
  <c r="N378" i="5"/>
  <c r="M378" i="5"/>
  <c r="L378" i="5"/>
  <c r="K378" i="5"/>
  <c r="J378" i="5"/>
  <c r="I378" i="5"/>
  <c r="H378" i="5"/>
  <c r="G378" i="5"/>
  <c r="AA378" i="5" s="1"/>
  <c r="AB378" i="5" s="1"/>
  <c r="C378" i="5"/>
  <c r="AG377" i="5"/>
  <c r="AF377" i="5"/>
  <c r="AE377" i="5"/>
  <c r="AD377" i="5"/>
  <c r="Y377" i="5"/>
  <c r="Z377" i="5" s="1"/>
  <c r="AC377" i="5" s="1"/>
  <c r="X377" i="5"/>
  <c r="U377" i="5"/>
  <c r="S377" i="5"/>
  <c r="T377" i="5" s="1"/>
  <c r="R377" i="5"/>
  <c r="Q377" i="5"/>
  <c r="P377" i="5"/>
  <c r="O377" i="5"/>
  <c r="N377" i="5"/>
  <c r="M377" i="5"/>
  <c r="L377" i="5"/>
  <c r="K377" i="5"/>
  <c r="J377" i="5"/>
  <c r="I377" i="5"/>
  <c r="H377" i="5"/>
  <c r="G377" i="5"/>
  <c r="AA377" i="5" s="1"/>
  <c r="C377" i="5"/>
  <c r="AG376" i="5"/>
  <c r="AF376" i="5"/>
  <c r="AE376" i="5"/>
  <c r="AD376" i="5"/>
  <c r="AA376" i="5"/>
  <c r="Y376" i="5"/>
  <c r="Z376" i="5" s="1"/>
  <c r="AC376" i="5" s="1"/>
  <c r="X376" i="5"/>
  <c r="AB376" i="5" s="1"/>
  <c r="U376" i="5"/>
  <c r="S376" i="5"/>
  <c r="T376" i="5" s="1"/>
  <c r="R376" i="5"/>
  <c r="Q376" i="5"/>
  <c r="P376" i="5"/>
  <c r="O376" i="5"/>
  <c r="N376" i="5"/>
  <c r="M376" i="5"/>
  <c r="L376" i="5"/>
  <c r="K376" i="5"/>
  <c r="J376" i="5"/>
  <c r="I376" i="5"/>
  <c r="H376" i="5"/>
  <c r="G376" i="5"/>
  <c r="C376" i="5"/>
  <c r="AG375" i="5"/>
  <c r="AF375" i="5"/>
  <c r="AE375" i="5"/>
  <c r="AD375" i="5"/>
  <c r="Y375" i="5"/>
  <c r="Z375" i="5" s="1"/>
  <c r="AC375" i="5" s="1"/>
  <c r="X375" i="5"/>
  <c r="AB375" i="5" s="1"/>
  <c r="U375" i="5"/>
  <c r="S375" i="5"/>
  <c r="T375" i="5" s="1"/>
  <c r="R375" i="5"/>
  <c r="Q375" i="5"/>
  <c r="P375" i="5"/>
  <c r="O375" i="5"/>
  <c r="N375" i="5"/>
  <c r="M375" i="5"/>
  <c r="L375" i="5"/>
  <c r="K375" i="5"/>
  <c r="J375" i="5"/>
  <c r="I375" i="5"/>
  <c r="H375" i="5"/>
  <c r="G375" i="5"/>
  <c r="AA375" i="5" s="1"/>
  <c r="C375" i="5"/>
  <c r="AG374" i="5"/>
  <c r="AF374" i="5"/>
  <c r="AE374" i="5"/>
  <c r="AD374" i="5"/>
  <c r="AA374" i="5"/>
  <c r="Y374" i="5"/>
  <c r="Z374" i="5" s="1"/>
  <c r="AC374" i="5" s="1"/>
  <c r="X374" i="5"/>
  <c r="AB374" i="5" s="1"/>
  <c r="U374" i="5"/>
  <c r="S374" i="5"/>
  <c r="T374" i="5" s="1"/>
  <c r="R374" i="5"/>
  <c r="Q374" i="5"/>
  <c r="P374" i="5"/>
  <c r="O374" i="5"/>
  <c r="N374" i="5"/>
  <c r="M374" i="5"/>
  <c r="L374" i="5"/>
  <c r="K374" i="5"/>
  <c r="J374" i="5"/>
  <c r="I374" i="5"/>
  <c r="H374" i="5"/>
  <c r="G374" i="5"/>
  <c r="C374" i="5"/>
  <c r="AG373" i="5"/>
  <c r="AF373" i="5"/>
  <c r="AE373" i="5"/>
  <c r="AD373" i="5"/>
  <c r="Y373" i="5"/>
  <c r="Z373" i="5" s="1"/>
  <c r="X373" i="5"/>
  <c r="U373" i="5"/>
  <c r="S373" i="5"/>
  <c r="T373" i="5" s="1"/>
  <c r="R373" i="5"/>
  <c r="Q373" i="5"/>
  <c r="P373" i="5"/>
  <c r="O373" i="5"/>
  <c r="N373" i="5"/>
  <c r="M373" i="5"/>
  <c r="L373" i="5"/>
  <c r="K373" i="5"/>
  <c r="J373" i="5"/>
  <c r="I373" i="5"/>
  <c r="H373" i="5"/>
  <c r="G373" i="5"/>
  <c r="AA373" i="5" s="1"/>
  <c r="C373" i="5"/>
  <c r="AG372" i="5"/>
  <c r="AF372" i="5"/>
  <c r="AE372" i="5"/>
  <c r="AD372" i="5"/>
  <c r="Y372" i="5"/>
  <c r="Z372" i="5" s="1"/>
  <c r="AC372" i="5" s="1"/>
  <c r="X372" i="5"/>
  <c r="AB372" i="5" s="1"/>
  <c r="U372" i="5"/>
  <c r="S372" i="5"/>
  <c r="T372" i="5" s="1"/>
  <c r="R372" i="5"/>
  <c r="Q372" i="5"/>
  <c r="P372" i="5"/>
  <c r="O372" i="5"/>
  <c r="N372" i="5"/>
  <c r="M372" i="5"/>
  <c r="L372" i="5"/>
  <c r="K372" i="5"/>
  <c r="J372" i="5"/>
  <c r="I372" i="5"/>
  <c r="H372" i="5"/>
  <c r="G372" i="5"/>
  <c r="AA372" i="5" s="1"/>
  <c r="C372" i="5"/>
  <c r="AG371" i="5"/>
  <c r="AF371" i="5"/>
  <c r="AE371" i="5"/>
  <c r="AD371" i="5"/>
  <c r="Y371" i="5"/>
  <c r="Z371" i="5" s="1"/>
  <c r="AC371" i="5" s="1"/>
  <c r="X371" i="5"/>
  <c r="U371" i="5"/>
  <c r="S371" i="5"/>
  <c r="T371" i="5" s="1"/>
  <c r="R371" i="5"/>
  <c r="Q371" i="5"/>
  <c r="P371" i="5"/>
  <c r="O371" i="5"/>
  <c r="N371" i="5"/>
  <c r="M371" i="5"/>
  <c r="L371" i="5"/>
  <c r="K371" i="5"/>
  <c r="J371" i="5"/>
  <c r="I371" i="5"/>
  <c r="H371" i="5"/>
  <c r="G371" i="5"/>
  <c r="AA371" i="5" s="1"/>
  <c r="C371" i="5"/>
  <c r="AG370" i="5"/>
  <c r="AF370" i="5"/>
  <c r="AE370" i="5"/>
  <c r="AD370" i="5"/>
  <c r="AA370" i="5"/>
  <c r="Y370" i="5"/>
  <c r="Z370" i="5" s="1"/>
  <c r="AC370" i="5" s="1"/>
  <c r="X370" i="5"/>
  <c r="U370" i="5"/>
  <c r="S370" i="5"/>
  <c r="T370" i="5" s="1"/>
  <c r="R370" i="5"/>
  <c r="Q370" i="5"/>
  <c r="P370" i="5"/>
  <c r="O370" i="5"/>
  <c r="N370" i="5"/>
  <c r="M370" i="5"/>
  <c r="L370" i="5"/>
  <c r="K370" i="5"/>
  <c r="J370" i="5"/>
  <c r="I370" i="5"/>
  <c r="H370" i="5"/>
  <c r="G370" i="5"/>
  <c r="C370" i="5"/>
  <c r="AG369" i="5"/>
  <c r="AF369" i="5"/>
  <c r="AE369" i="5"/>
  <c r="AD369" i="5"/>
  <c r="Y369" i="5"/>
  <c r="Z369" i="5" s="1"/>
  <c r="AC369" i="5" s="1"/>
  <c r="X369" i="5"/>
  <c r="U369" i="5"/>
  <c r="S369" i="5"/>
  <c r="T369" i="5" s="1"/>
  <c r="R369" i="5"/>
  <c r="Q369" i="5"/>
  <c r="P369" i="5"/>
  <c r="O369" i="5"/>
  <c r="N369" i="5"/>
  <c r="M369" i="5"/>
  <c r="L369" i="5"/>
  <c r="K369" i="5"/>
  <c r="J369" i="5"/>
  <c r="I369" i="5"/>
  <c r="H369" i="5"/>
  <c r="G369" i="5"/>
  <c r="AA369" i="5" s="1"/>
  <c r="C369" i="5"/>
  <c r="AG368" i="5"/>
  <c r="AF368" i="5"/>
  <c r="AE368" i="5"/>
  <c r="AD368" i="5"/>
  <c r="AA368" i="5"/>
  <c r="Y368" i="5"/>
  <c r="Z368" i="5" s="1"/>
  <c r="X368" i="5"/>
  <c r="AC368" i="5" s="1"/>
  <c r="U368" i="5"/>
  <c r="S368" i="5"/>
  <c r="T368" i="5" s="1"/>
  <c r="R368" i="5"/>
  <c r="Q368" i="5"/>
  <c r="P368" i="5"/>
  <c r="O368" i="5"/>
  <c r="N368" i="5"/>
  <c r="M368" i="5"/>
  <c r="L368" i="5"/>
  <c r="K368" i="5"/>
  <c r="J368" i="5"/>
  <c r="I368" i="5"/>
  <c r="H368" i="5"/>
  <c r="G368" i="5"/>
  <c r="C368" i="5"/>
  <c r="AG367" i="5"/>
  <c r="AF367" i="5"/>
  <c r="AE367" i="5"/>
  <c r="AO367" i="5" s="1"/>
  <c r="AD367" i="5"/>
  <c r="Y367" i="5"/>
  <c r="Z367" i="5" s="1"/>
  <c r="AC367" i="5" s="1"/>
  <c r="X367" i="5"/>
  <c r="AB367" i="5" s="1"/>
  <c r="U367" i="5"/>
  <c r="S367" i="5"/>
  <c r="T367" i="5" s="1"/>
  <c r="R367" i="5"/>
  <c r="Q367" i="5"/>
  <c r="P367" i="5"/>
  <c r="O367" i="5"/>
  <c r="N367" i="5"/>
  <c r="M367" i="5"/>
  <c r="L367" i="5"/>
  <c r="K367" i="5"/>
  <c r="J367" i="5"/>
  <c r="I367" i="5"/>
  <c r="H367" i="5"/>
  <c r="G367" i="5"/>
  <c r="AA367" i="5" s="1"/>
  <c r="C367" i="5"/>
  <c r="AG366" i="5"/>
  <c r="AF366" i="5"/>
  <c r="AE366" i="5"/>
  <c r="AD366" i="5"/>
  <c r="Y366" i="5"/>
  <c r="Z366" i="5" s="1"/>
  <c r="AC366" i="5" s="1"/>
  <c r="X366" i="5"/>
  <c r="AB366" i="5" s="1"/>
  <c r="U366" i="5"/>
  <c r="S366" i="5"/>
  <c r="T366" i="5" s="1"/>
  <c r="R366" i="5"/>
  <c r="Q366" i="5"/>
  <c r="P366" i="5"/>
  <c r="O366" i="5"/>
  <c r="N366" i="5"/>
  <c r="M366" i="5"/>
  <c r="L366" i="5"/>
  <c r="K366" i="5"/>
  <c r="J366" i="5"/>
  <c r="I366" i="5"/>
  <c r="H366" i="5"/>
  <c r="G366" i="5"/>
  <c r="AA366" i="5" s="1"/>
  <c r="C366" i="5"/>
  <c r="AG365" i="5"/>
  <c r="AF365" i="5"/>
  <c r="AE365" i="5"/>
  <c r="AD365" i="5"/>
  <c r="Y365" i="5"/>
  <c r="Z365" i="5" s="1"/>
  <c r="X365" i="5"/>
  <c r="AB365" i="5" s="1"/>
  <c r="AH365" i="5" s="1"/>
  <c r="U365" i="5"/>
  <c r="S365" i="5"/>
  <c r="T365" i="5" s="1"/>
  <c r="R365" i="5"/>
  <c r="Q365" i="5"/>
  <c r="P365" i="5"/>
  <c r="O365" i="5"/>
  <c r="N365" i="5"/>
  <c r="M365" i="5"/>
  <c r="L365" i="5"/>
  <c r="K365" i="5"/>
  <c r="J365" i="5"/>
  <c r="I365" i="5"/>
  <c r="H365" i="5"/>
  <c r="G365" i="5"/>
  <c r="AA365" i="5" s="1"/>
  <c r="C365" i="5"/>
  <c r="AG364" i="5"/>
  <c r="AF364" i="5"/>
  <c r="AE364" i="5"/>
  <c r="AD364" i="5"/>
  <c r="AM364" i="5" s="1"/>
  <c r="Y364" i="5"/>
  <c r="Z364" i="5" s="1"/>
  <c r="AC364" i="5" s="1"/>
  <c r="X364" i="5"/>
  <c r="AB364" i="5" s="1"/>
  <c r="U364" i="5"/>
  <c r="S364" i="5"/>
  <c r="T364" i="5" s="1"/>
  <c r="R364" i="5"/>
  <c r="Q364" i="5"/>
  <c r="P364" i="5"/>
  <c r="O364" i="5"/>
  <c r="N364" i="5"/>
  <c r="M364" i="5"/>
  <c r="L364" i="5"/>
  <c r="K364" i="5"/>
  <c r="J364" i="5"/>
  <c r="I364" i="5"/>
  <c r="H364" i="5"/>
  <c r="G364" i="5"/>
  <c r="AA364" i="5" s="1"/>
  <c r="C364" i="5"/>
  <c r="AG363" i="5"/>
  <c r="AF363" i="5"/>
  <c r="AE363" i="5"/>
  <c r="AJ363" i="5" s="1"/>
  <c r="AD363" i="5"/>
  <c r="Y363" i="5"/>
  <c r="Z363" i="5" s="1"/>
  <c r="AC363" i="5" s="1"/>
  <c r="X363" i="5"/>
  <c r="AB363" i="5" s="1"/>
  <c r="U363" i="5"/>
  <c r="S363" i="5"/>
  <c r="T363" i="5" s="1"/>
  <c r="R363" i="5"/>
  <c r="Q363" i="5"/>
  <c r="P363" i="5"/>
  <c r="O363" i="5"/>
  <c r="N363" i="5"/>
  <c r="M363" i="5"/>
  <c r="L363" i="5"/>
  <c r="K363" i="5"/>
  <c r="J363" i="5"/>
  <c r="I363" i="5"/>
  <c r="H363" i="5"/>
  <c r="G363" i="5"/>
  <c r="AA363" i="5" s="1"/>
  <c r="C363" i="5"/>
  <c r="AG362" i="5"/>
  <c r="AF362" i="5"/>
  <c r="AE362" i="5"/>
  <c r="AD362" i="5"/>
  <c r="AA362" i="5"/>
  <c r="Y362" i="5"/>
  <c r="Z362" i="5" s="1"/>
  <c r="X362" i="5"/>
  <c r="U362" i="5"/>
  <c r="S362" i="5"/>
  <c r="T362" i="5" s="1"/>
  <c r="R362" i="5"/>
  <c r="Q362" i="5"/>
  <c r="P362" i="5"/>
  <c r="O362" i="5"/>
  <c r="N362" i="5"/>
  <c r="M362" i="5"/>
  <c r="L362" i="5"/>
  <c r="K362" i="5"/>
  <c r="J362" i="5"/>
  <c r="I362" i="5"/>
  <c r="H362" i="5"/>
  <c r="G362" i="5"/>
  <c r="C362" i="5"/>
  <c r="AG361" i="5"/>
  <c r="AF361" i="5"/>
  <c r="AE361" i="5"/>
  <c r="AD361" i="5"/>
  <c r="Y361" i="5"/>
  <c r="Z361" i="5" s="1"/>
  <c r="AC361" i="5" s="1"/>
  <c r="X361" i="5"/>
  <c r="AB361" i="5" s="1"/>
  <c r="U361" i="5"/>
  <c r="S361" i="5"/>
  <c r="T361" i="5" s="1"/>
  <c r="R361" i="5"/>
  <c r="Q361" i="5"/>
  <c r="P361" i="5"/>
  <c r="O361" i="5"/>
  <c r="N361" i="5"/>
  <c r="M361" i="5"/>
  <c r="L361" i="5"/>
  <c r="K361" i="5"/>
  <c r="J361" i="5"/>
  <c r="I361" i="5"/>
  <c r="H361" i="5"/>
  <c r="G361" i="5"/>
  <c r="AA361" i="5" s="1"/>
  <c r="C361" i="5"/>
  <c r="AG360" i="5"/>
  <c r="AF360" i="5"/>
  <c r="AE360" i="5"/>
  <c r="AD360" i="5"/>
  <c r="Y360" i="5"/>
  <c r="Z360" i="5" s="1"/>
  <c r="AC360" i="5" s="1"/>
  <c r="X360" i="5"/>
  <c r="U360" i="5"/>
  <c r="S360" i="5"/>
  <c r="T360" i="5" s="1"/>
  <c r="R360" i="5"/>
  <c r="Q360" i="5"/>
  <c r="P360" i="5"/>
  <c r="O360" i="5"/>
  <c r="N360" i="5"/>
  <c r="M360" i="5"/>
  <c r="L360" i="5"/>
  <c r="K360" i="5"/>
  <c r="J360" i="5"/>
  <c r="I360" i="5"/>
  <c r="H360" i="5"/>
  <c r="G360" i="5"/>
  <c r="AA360" i="5" s="1"/>
  <c r="C360" i="5"/>
  <c r="AG359" i="5"/>
  <c r="AF359" i="5"/>
  <c r="AE359" i="5"/>
  <c r="AD359" i="5"/>
  <c r="Y359" i="5"/>
  <c r="Z359" i="5" s="1"/>
  <c r="AC359" i="5" s="1"/>
  <c r="X359" i="5"/>
  <c r="AB359" i="5" s="1"/>
  <c r="AH359" i="5" s="1"/>
  <c r="U359" i="5"/>
  <c r="S359" i="5"/>
  <c r="T359" i="5" s="1"/>
  <c r="R359" i="5"/>
  <c r="Q359" i="5"/>
  <c r="P359" i="5"/>
  <c r="O359" i="5"/>
  <c r="N359" i="5"/>
  <c r="M359" i="5"/>
  <c r="L359" i="5"/>
  <c r="K359" i="5"/>
  <c r="J359" i="5"/>
  <c r="I359" i="5"/>
  <c r="H359" i="5"/>
  <c r="G359" i="5"/>
  <c r="AA359" i="5" s="1"/>
  <c r="C359" i="5"/>
  <c r="AG358" i="5"/>
  <c r="AF358" i="5"/>
  <c r="AE358" i="5"/>
  <c r="AD358" i="5"/>
  <c r="Y358" i="5"/>
  <c r="Z358" i="5" s="1"/>
  <c r="X358" i="5"/>
  <c r="U358" i="5"/>
  <c r="S358" i="5"/>
  <c r="T358" i="5" s="1"/>
  <c r="R358" i="5"/>
  <c r="Q358" i="5"/>
  <c r="P358" i="5"/>
  <c r="O358" i="5"/>
  <c r="N358" i="5"/>
  <c r="M358" i="5"/>
  <c r="L358" i="5"/>
  <c r="K358" i="5"/>
  <c r="J358" i="5"/>
  <c r="I358" i="5"/>
  <c r="H358" i="5"/>
  <c r="G358" i="5"/>
  <c r="AA358" i="5" s="1"/>
  <c r="C358" i="5"/>
  <c r="AG357" i="5"/>
  <c r="AF357" i="5"/>
  <c r="AE357" i="5"/>
  <c r="AD357" i="5"/>
  <c r="Y357" i="5"/>
  <c r="Z357" i="5" s="1"/>
  <c r="AC357" i="5" s="1"/>
  <c r="X357" i="5"/>
  <c r="AB357" i="5" s="1"/>
  <c r="U357" i="5"/>
  <c r="S357" i="5"/>
  <c r="T357" i="5" s="1"/>
  <c r="R357" i="5"/>
  <c r="Q357" i="5"/>
  <c r="P357" i="5"/>
  <c r="O357" i="5"/>
  <c r="N357" i="5"/>
  <c r="M357" i="5"/>
  <c r="L357" i="5"/>
  <c r="K357" i="5"/>
  <c r="J357" i="5"/>
  <c r="I357" i="5"/>
  <c r="H357" i="5"/>
  <c r="G357" i="5"/>
  <c r="AA357" i="5" s="1"/>
  <c r="C357" i="5"/>
  <c r="AG356" i="5"/>
  <c r="AF356" i="5"/>
  <c r="AE356" i="5"/>
  <c r="AD356" i="5"/>
  <c r="Y356" i="5"/>
  <c r="Z356" i="5" s="1"/>
  <c r="AC356" i="5" s="1"/>
  <c r="X356" i="5"/>
  <c r="U356" i="5"/>
  <c r="S356" i="5"/>
  <c r="T356" i="5" s="1"/>
  <c r="R356" i="5"/>
  <c r="Q356" i="5"/>
  <c r="P356" i="5"/>
  <c r="O356" i="5"/>
  <c r="N356" i="5"/>
  <c r="M356" i="5"/>
  <c r="L356" i="5"/>
  <c r="K356" i="5"/>
  <c r="J356" i="5"/>
  <c r="I356" i="5"/>
  <c r="H356" i="5"/>
  <c r="G356" i="5"/>
  <c r="AA356" i="5" s="1"/>
  <c r="C356" i="5"/>
  <c r="AG355" i="5"/>
  <c r="AF355" i="5"/>
  <c r="AE355" i="5"/>
  <c r="AD355" i="5"/>
  <c r="Y355" i="5"/>
  <c r="Z355" i="5" s="1"/>
  <c r="AC355" i="5" s="1"/>
  <c r="X355" i="5"/>
  <c r="AB355" i="5" s="1"/>
  <c r="U355" i="5"/>
  <c r="S355" i="5"/>
  <c r="T355" i="5" s="1"/>
  <c r="R355" i="5"/>
  <c r="Q355" i="5"/>
  <c r="P355" i="5"/>
  <c r="O355" i="5"/>
  <c r="N355" i="5"/>
  <c r="M355" i="5"/>
  <c r="L355" i="5"/>
  <c r="K355" i="5"/>
  <c r="J355" i="5"/>
  <c r="I355" i="5"/>
  <c r="H355" i="5"/>
  <c r="G355" i="5"/>
  <c r="AA355" i="5" s="1"/>
  <c r="C355" i="5"/>
  <c r="AG354" i="5"/>
  <c r="AF354" i="5"/>
  <c r="AE354" i="5"/>
  <c r="AD354" i="5"/>
  <c r="Y354" i="5"/>
  <c r="Z354" i="5" s="1"/>
  <c r="AC354" i="5" s="1"/>
  <c r="X354" i="5"/>
  <c r="U354" i="5"/>
  <c r="S354" i="5"/>
  <c r="T354" i="5" s="1"/>
  <c r="R354" i="5"/>
  <c r="Q354" i="5"/>
  <c r="P354" i="5"/>
  <c r="O354" i="5"/>
  <c r="N354" i="5"/>
  <c r="M354" i="5"/>
  <c r="L354" i="5"/>
  <c r="K354" i="5"/>
  <c r="J354" i="5"/>
  <c r="I354" i="5"/>
  <c r="H354" i="5"/>
  <c r="G354" i="5"/>
  <c r="AA354" i="5" s="1"/>
  <c r="C354" i="5"/>
  <c r="AG353" i="5"/>
  <c r="AF353" i="5"/>
  <c r="AE353" i="5"/>
  <c r="AD353" i="5"/>
  <c r="Y353" i="5"/>
  <c r="Z353" i="5" s="1"/>
  <c r="X353" i="5"/>
  <c r="U353" i="5"/>
  <c r="S353" i="5"/>
  <c r="T353" i="5" s="1"/>
  <c r="R353" i="5"/>
  <c r="Q353" i="5"/>
  <c r="P353" i="5"/>
  <c r="O353" i="5"/>
  <c r="N353" i="5"/>
  <c r="M353" i="5"/>
  <c r="L353" i="5"/>
  <c r="K353" i="5"/>
  <c r="J353" i="5"/>
  <c r="I353" i="5"/>
  <c r="H353" i="5"/>
  <c r="G353" i="5"/>
  <c r="AA353" i="5" s="1"/>
  <c r="C353" i="5"/>
  <c r="AG352" i="5"/>
  <c r="AF352" i="5"/>
  <c r="AE352" i="5"/>
  <c r="AD352" i="5"/>
  <c r="Y352" i="5"/>
  <c r="Z352" i="5" s="1"/>
  <c r="AC352" i="5" s="1"/>
  <c r="X352" i="5"/>
  <c r="U352" i="5"/>
  <c r="S352" i="5"/>
  <c r="T352" i="5" s="1"/>
  <c r="R352" i="5"/>
  <c r="Q352" i="5"/>
  <c r="P352" i="5"/>
  <c r="O352" i="5"/>
  <c r="N352" i="5"/>
  <c r="M352" i="5"/>
  <c r="L352" i="5"/>
  <c r="K352" i="5"/>
  <c r="J352" i="5"/>
  <c r="I352" i="5"/>
  <c r="H352" i="5"/>
  <c r="G352" i="5"/>
  <c r="AA352" i="5" s="1"/>
  <c r="C352" i="5"/>
  <c r="AG351" i="5"/>
  <c r="AF351" i="5"/>
  <c r="AE351" i="5"/>
  <c r="AD351" i="5"/>
  <c r="Y351" i="5"/>
  <c r="Z351" i="5" s="1"/>
  <c r="AC351" i="5" s="1"/>
  <c r="X351" i="5"/>
  <c r="U351" i="5"/>
  <c r="S351" i="5"/>
  <c r="T351" i="5" s="1"/>
  <c r="R351" i="5"/>
  <c r="Q351" i="5"/>
  <c r="P351" i="5"/>
  <c r="O351" i="5"/>
  <c r="N351" i="5"/>
  <c r="M351" i="5"/>
  <c r="L351" i="5"/>
  <c r="K351" i="5"/>
  <c r="J351" i="5"/>
  <c r="I351" i="5"/>
  <c r="H351" i="5"/>
  <c r="G351" i="5"/>
  <c r="AA351" i="5" s="1"/>
  <c r="C351" i="5"/>
  <c r="AG350" i="5"/>
  <c r="AF350" i="5"/>
  <c r="AE350" i="5"/>
  <c r="AD350" i="5"/>
  <c r="Y350" i="5"/>
  <c r="Z350" i="5" s="1"/>
  <c r="AC350" i="5" s="1"/>
  <c r="X350" i="5"/>
  <c r="U350" i="5"/>
  <c r="S350" i="5"/>
  <c r="T350" i="5" s="1"/>
  <c r="R350" i="5"/>
  <c r="Q350" i="5"/>
  <c r="P350" i="5"/>
  <c r="O350" i="5"/>
  <c r="N350" i="5"/>
  <c r="M350" i="5"/>
  <c r="L350" i="5"/>
  <c r="K350" i="5"/>
  <c r="J350" i="5"/>
  <c r="I350" i="5"/>
  <c r="H350" i="5"/>
  <c r="G350" i="5"/>
  <c r="AA350" i="5" s="1"/>
  <c r="C350" i="5"/>
  <c r="AG349" i="5"/>
  <c r="AF349" i="5"/>
  <c r="AE349" i="5"/>
  <c r="AD349" i="5"/>
  <c r="Y349" i="5"/>
  <c r="Z349" i="5" s="1"/>
  <c r="AC349" i="5" s="1"/>
  <c r="X349" i="5"/>
  <c r="U349" i="5"/>
  <c r="S349" i="5"/>
  <c r="T349" i="5" s="1"/>
  <c r="R349" i="5"/>
  <c r="Q349" i="5"/>
  <c r="P349" i="5"/>
  <c r="O349" i="5"/>
  <c r="N349" i="5"/>
  <c r="M349" i="5"/>
  <c r="L349" i="5"/>
  <c r="K349" i="5"/>
  <c r="J349" i="5"/>
  <c r="I349" i="5"/>
  <c r="H349" i="5"/>
  <c r="G349" i="5"/>
  <c r="AA349" i="5" s="1"/>
  <c r="C349" i="5"/>
  <c r="AG348" i="5"/>
  <c r="AF348" i="5"/>
  <c r="AE348" i="5"/>
  <c r="AD348" i="5"/>
  <c r="AC348" i="5"/>
  <c r="Y348" i="5"/>
  <c r="Z348" i="5" s="1"/>
  <c r="X348" i="5"/>
  <c r="U348" i="5"/>
  <c r="S348" i="5"/>
  <c r="T348" i="5" s="1"/>
  <c r="R348" i="5"/>
  <c r="Q348" i="5"/>
  <c r="P348" i="5"/>
  <c r="O348" i="5"/>
  <c r="N348" i="5"/>
  <c r="M348" i="5"/>
  <c r="L348" i="5"/>
  <c r="K348" i="5"/>
  <c r="J348" i="5"/>
  <c r="I348" i="5"/>
  <c r="H348" i="5"/>
  <c r="G348" i="5"/>
  <c r="AA348" i="5" s="1"/>
  <c r="C348" i="5"/>
  <c r="AG347" i="5"/>
  <c r="AF347" i="5"/>
  <c r="AE347" i="5"/>
  <c r="AD347" i="5"/>
  <c r="Y347" i="5"/>
  <c r="Z347" i="5" s="1"/>
  <c r="X347" i="5"/>
  <c r="U347" i="5"/>
  <c r="S347" i="5"/>
  <c r="T347" i="5" s="1"/>
  <c r="R347" i="5"/>
  <c r="Q347" i="5"/>
  <c r="P347" i="5"/>
  <c r="O347" i="5"/>
  <c r="N347" i="5"/>
  <c r="M347" i="5"/>
  <c r="L347" i="5"/>
  <c r="K347" i="5"/>
  <c r="J347" i="5"/>
  <c r="I347" i="5"/>
  <c r="H347" i="5"/>
  <c r="G347" i="5"/>
  <c r="AA347" i="5" s="1"/>
  <c r="C347" i="5"/>
  <c r="AG346" i="5"/>
  <c r="AF346" i="5"/>
  <c r="AE346" i="5"/>
  <c r="AD346" i="5"/>
  <c r="Y346" i="5"/>
  <c r="Z346" i="5" s="1"/>
  <c r="AC346" i="5" s="1"/>
  <c r="X346" i="5"/>
  <c r="U346" i="5"/>
  <c r="S346" i="5"/>
  <c r="T346" i="5" s="1"/>
  <c r="R346" i="5"/>
  <c r="Q346" i="5"/>
  <c r="P346" i="5"/>
  <c r="O346" i="5"/>
  <c r="N346" i="5"/>
  <c r="M346" i="5"/>
  <c r="L346" i="5"/>
  <c r="K346" i="5"/>
  <c r="J346" i="5"/>
  <c r="I346" i="5"/>
  <c r="H346" i="5"/>
  <c r="G346" i="5"/>
  <c r="AA346" i="5" s="1"/>
  <c r="C346" i="5"/>
  <c r="AG345" i="5"/>
  <c r="AF345" i="5"/>
  <c r="AE345" i="5"/>
  <c r="AD345" i="5"/>
  <c r="Y345" i="5"/>
  <c r="Z345" i="5" s="1"/>
  <c r="AC345" i="5" s="1"/>
  <c r="X345" i="5"/>
  <c r="U345" i="5"/>
  <c r="S345" i="5"/>
  <c r="T345" i="5" s="1"/>
  <c r="R345" i="5"/>
  <c r="Q345" i="5"/>
  <c r="P345" i="5"/>
  <c r="O345" i="5"/>
  <c r="N345" i="5"/>
  <c r="M345" i="5"/>
  <c r="L345" i="5"/>
  <c r="K345" i="5"/>
  <c r="J345" i="5"/>
  <c r="I345" i="5"/>
  <c r="H345" i="5"/>
  <c r="G345" i="5"/>
  <c r="AA345" i="5" s="1"/>
  <c r="C345" i="5"/>
  <c r="AG344" i="5"/>
  <c r="AF344" i="5"/>
  <c r="AE344" i="5"/>
  <c r="AD344" i="5"/>
  <c r="Y344" i="5"/>
  <c r="Z344" i="5" s="1"/>
  <c r="X344" i="5"/>
  <c r="U344" i="5"/>
  <c r="S344" i="5"/>
  <c r="T344" i="5" s="1"/>
  <c r="R344" i="5"/>
  <c r="Q344" i="5"/>
  <c r="P344" i="5"/>
  <c r="O344" i="5"/>
  <c r="N344" i="5"/>
  <c r="M344" i="5"/>
  <c r="L344" i="5"/>
  <c r="K344" i="5"/>
  <c r="J344" i="5"/>
  <c r="I344" i="5"/>
  <c r="H344" i="5"/>
  <c r="G344" i="5"/>
  <c r="AA344" i="5" s="1"/>
  <c r="C344" i="5"/>
  <c r="AG343" i="5"/>
  <c r="AF343" i="5"/>
  <c r="AE343" i="5"/>
  <c r="AD343" i="5"/>
  <c r="AA343" i="5"/>
  <c r="Y343" i="5"/>
  <c r="Z343" i="5" s="1"/>
  <c r="AC343" i="5" s="1"/>
  <c r="X343" i="5"/>
  <c r="AB343" i="5" s="1"/>
  <c r="AK343" i="5" s="1"/>
  <c r="U343" i="5"/>
  <c r="S343" i="5"/>
  <c r="T343" i="5" s="1"/>
  <c r="R343" i="5"/>
  <c r="Q343" i="5"/>
  <c r="P343" i="5"/>
  <c r="O343" i="5"/>
  <c r="N343" i="5"/>
  <c r="M343" i="5"/>
  <c r="L343" i="5"/>
  <c r="K343" i="5"/>
  <c r="J343" i="5"/>
  <c r="I343" i="5"/>
  <c r="H343" i="5"/>
  <c r="G343" i="5"/>
  <c r="C343" i="5"/>
  <c r="AG342" i="5"/>
  <c r="AF342" i="5"/>
  <c r="AE342" i="5"/>
  <c r="AD342" i="5"/>
  <c r="AC342" i="5"/>
  <c r="Y342" i="5"/>
  <c r="Z342" i="5" s="1"/>
  <c r="X342" i="5"/>
  <c r="AB342" i="5" s="1"/>
  <c r="AO342" i="5" s="1"/>
  <c r="U342" i="5"/>
  <c r="S342" i="5"/>
  <c r="T342" i="5" s="1"/>
  <c r="R342" i="5"/>
  <c r="Q342" i="5"/>
  <c r="P342" i="5"/>
  <c r="O342" i="5"/>
  <c r="N342" i="5"/>
  <c r="M342" i="5"/>
  <c r="L342" i="5"/>
  <c r="K342" i="5"/>
  <c r="J342" i="5"/>
  <c r="I342" i="5"/>
  <c r="H342" i="5"/>
  <c r="G342" i="5"/>
  <c r="AA342" i="5" s="1"/>
  <c r="C342" i="5"/>
  <c r="AG341" i="5"/>
  <c r="AF341" i="5"/>
  <c r="AE341" i="5"/>
  <c r="AD341" i="5"/>
  <c r="Y341" i="5"/>
  <c r="Z341" i="5" s="1"/>
  <c r="AC341" i="5" s="1"/>
  <c r="X341" i="5"/>
  <c r="U341" i="5"/>
  <c r="S341" i="5"/>
  <c r="T341" i="5" s="1"/>
  <c r="R341" i="5"/>
  <c r="Q341" i="5"/>
  <c r="P341" i="5"/>
  <c r="O341" i="5"/>
  <c r="N341" i="5"/>
  <c r="M341" i="5"/>
  <c r="L341" i="5"/>
  <c r="K341" i="5"/>
  <c r="J341" i="5"/>
  <c r="I341" i="5"/>
  <c r="H341" i="5"/>
  <c r="G341" i="5"/>
  <c r="AA341" i="5" s="1"/>
  <c r="C341" i="5"/>
  <c r="AG340" i="5"/>
  <c r="AF340" i="5"/>
  <c r="AE340" i="5"/>
  <c r="AD340" i="5"/>
  <c r="Y340" i="5"/>
  <c r="Z340" i="5" s="1"/>
  <c r="AC340" i="5" s="1"/>
  <c r="X340" i="5"/>
  <c r="AB340" i="5" s="1"/>
  <c r="AH340" i="5" s="1"/>
  <c r="U340" i="5"/>
  <c r="S340" i="5"/>
  <c r="T340" i="5" s="1"/>
  <c r="R340" i="5"/>
  <c r="Q340" i="5"/>
  <c r="P340" i="5"/>
  <c r="O340" i="5"/>
  <c r="N340" i="5"/>
  <c r="M340" i="5"/>
  <c r="L340" i="5"/>
  <c r="K340" i="5"/>
  <c r="J340" i="5"/>
  <c r="I340" i="5"/>
  <c r="H340" i="5"/>
  <c r="G340" i="5"/>
  <c r="AA340" i="5" s="1"/>
  <c r="C340" i="5"/>
  <c r="AG339" i="5"/>
  <c r="AF339" i="5"/>
  <c r="AE339" i="5"/>
  <c r="AD339" i="5"/>
  <c r="Y339" i="5"/>
  <c r="Z339" i="5" s="1"/>
  <c r="AC339" i="5" s="1"/>
  <c r="X339" i="5"/>
  <c r="U339" i="5"/>
  <c r="S339" i="5"/>
  <c r="T339" i="5" s="1"/>
  <c r="R339" i="5"/>
  <c r="Q339" i="5"/>
  <c r="P339" i="5"/>
  <c r="O339" i="5"/>
  <c r="N339" i="5"/>
  <c r="M339" i="5"/>
  <c r="L339" i="5"/>
  <c r="K339" i="5"/>
  <c r="J339" i="5"/>
  <c r="I339" i="5"/>
  <c r="H339" i="5"/>
  <c r="G339" i="5"/>
  <c r="AA339" i="5" s="1"/>
  <c r="C339" i="5"/>
  <c r="AG338" i="5"/>
  <c r="AF338" i="5"/>
  <c r="AE338" i="5"/>
  <c r="AD338" i="5"/>
  <c r="Y338" i="5"/>
  <c r="Z338" i="5" s="1"/>
  <c r="X338" i="5"/>
  <c r="U338" i="5"/>
  <c r="T338" i="5"/>
  <c r="S338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AA338" i="5" s="1"/>
  <c r="C338" i="5"/>
  <c r="AG337" i="5"/>
  <c r="AF337" i="5"/>
  <c r="AE337" i="5"/>
  <c r="AD337" i="5"/>
  <c r="Y337" i="5"/>
  <c r="Z337" i="5" s="1"/>
  <c r="AC337" i="5" s="1"/>
  <c r="X337" i="5"/>
  <c r="U337" i="5"/>
  <c r="S337" i="5"/>
  <c r="T337" i="5" s="1"/>
  <c r="R337" i="5"/>
  <c r="Q337" i="5"/>
  <c r="P337" i="5"/>
  <c r="O337" i="5"/>
  <c r="N337" i="5"/>
  <c r="M337" i="5"/>
  <c r="L337" i="5"/>
  <c r="K337" i="5"/>
  <c r="J337" i="5"/>
  <c r="I337" i="5"/>
  <c r="H337" i="5"/>
  <c r="G337" i="5"/>
  <c r="AA337" i="5" s="1"/>
  <c r="C337" i="5"/>
  <c r="AG336" i="5"/>
  <c r="AF336" i="5"/>
  <c r="AE336" i="5"/>
  <c r="AD336" i="5"/>
  <c r="Y336" i="5"/>
  <c r="Z336" i="5" s="1"/>
  <c r="X336" i="5"/>
  <c r="U336" i="5"/>
  <c r="S336" i="5"/>
  <c r="T336" i="5" s="1"/>
  <c r="R336" i="5"/>
  <c r="Q336" i="5"/>
  <c r="P336" i="5"/>
  <c r="O336" i="5"/>
  <c r="N336" i="5"/>
  <c r="M336" i="5"/>
  <c r="L336" i="5"/>
  <c r="K336" i="5"/>
  <c r="J336" i="5"/>
  <c r="I336" i="5"/>
  <c r="H336" i="5"/>
  <c r="G336" i="5"/>
  <c r="AA336" i="5" s="1"/>
  <c r="C336" i="5"/>
  <c r="AG335" i="5"/>
  <c r="AF335" i="5"/>
  <c r="AE335" i="5"/>
  <c r="AD335" i="5"/>
  <c r="Y335" i="5"/>
  <c r="Z335" i="5" s="1"/>
  <c r="X335" i="5"/>
  <c r="U335" i="5"/>
  <c r="S335" i="5"/>
  <c r="T335" i="5" s="1"/>
  <c r="R335" i="5"/>
  <c r="Q335" i="5"/>
  <c r="P335" i="5"/>
  <c r="O335" i="5"/>
  <c r="N335" i="5"/>
  <c r="M335" i="5"/>
  <c r="L335" i="5"/>
  <c r="K335" i="5"/>
  <c r="J335" i="5"/>
  <c r="I335" i="5"/>
  <c r="H335" i="5"/>
  <c r="G335" i="5"/>
  <c r="AA335" i="5" s="1"/>
  <c r="C335" i="5"/>
  <c r="AG334" i="5"/>
  <c r="AF334" i="5"/>
  <c r="AE334" i="5"/>
  <c r="AD334" i="5"/>
  <c r="AK334" i="5" s="1"/>
  <c r="AC334" i="5"/>
  <c r="AO334" i="5" s="1"/>
  <c r="AA334" i="5"/>
  <c r="Z334" i="5"/>
  <c r="Y334" i="5"/>
  <c r="X334" i="5"/>
  <c r="AB334" i="5" s="1"/>
  <c r="U334" i="5"/>
  <c r="S334" i="5"/>
  <c r="T334" i="5" s="1"/>
  <c r="R334" i="5"/>
  <c r="Q334" i="5"/>
  <c r="P334" i="5"/>
  <c r="O334" i="5"/>
  <c r="N334" i="5"/>
  <c r="M334" i="5"/>
  <c r="L334" i="5"/>
  <c r="K334" i="5"/>
  <c r="J334" i="5"/>
  <c r="I334" i="5"/>
  <c r="H334" i="5"/>
  <c r="G334" i="5"/>
  <c r="C334" i="5"/>
  <c r="AG333" i="5"/>
  <c r="AF333" i="5"/>
  <c r="AE333" i="5"/>
  <c r="AD333" i="5"/>
  <c r="Y333" i="5"/>
  <c r="Z333" i="5" s="1"/>
  <c r="AB333" i="5" s="1"/>
  <c r="X333" i="5"/>
  <c r="U333" i="5"/>
  <c r="S333" i="5"/>
  <c r="T333" i="5" s="1"/>
  <c r="R333" i="5"/>
  <c r="Q333" i="5"/>
  <c r="P333" i="5"/>
  <c r="O333" i="5"/>
  <c r="N333" i="5"/>
  <c r="M333" i="5"/>
  <c r="L333" i="5"/>
  <c r="K333" i="5"/>
  <c r="J333" i="5"/>
  <c r="I333" i="5"/>
  <c r="H333" i="5"/>
  <c r="G333" i="5"/>
  <c r="AA333" i="5" s="1"/>
  <c r="C333" i="5"/>
  <c r="AG332" i="5"/>
  <c r="AF332" i="5"/>
  <c r="AE332" i="5"/>
  <c r="AD332" i="5"/>
  <c r="Y332" i="5"/>
  <c r="Z332" i="5" s="1"/>
  <c r="X332" i="5"/>
  <c r="U332" i="5"/>
  <c r="T332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AA332" i="5" s="1"/>
  <c r="C332" i="5"/>
  <c r="AG331" i="5"/>
  <c r="AF331" i="5"/>
  <c r="AE331" i="5"/>
  <c r="AD331" i="5"/>
  <c r="Y331" i="5"/>
  <c r="Z331" i="5" s="1"/>
  <c r="AC331" i="5" s="1"/>
  <c r="X331" i="5"/>
  <c r="AB331" i="5" s="1"/>
  <c r="U331" i="5"/>
  <c r="S331" i="5"/>
  <c r="T331" i="5" s="1"/>
  <c r="R331" i="5"/>
  <c r="Q331" i="5"/>
  <c r="P331" i="5"/>
  <c r="O331" i="5"/>
  <c r="N331" i="5"/>
  <c r="M331" i="5"/>
  <c r="L331" i="5"/>
  <c r="K331" i="5"/>
  <c r="J331" i="5"/>
  <c r="I331" i="5"/>
  <c r="H331" i="5"/>
  <c r="G331" i="5"/>
  <c r="AA331" i="5" s="1"/>
  <c r="C331" i="5"/>
  <c r="AG330" i="5"/>
  <c r="AF330" i="5"/>
  <c r="AE330" i="5"/>
  <c r="AD330" i="5"/>
  <c r="Y330" i="5"/>
  <c r="Z330" i="5" s="1"/>
  <c r="X330" i="5"/>
  <c r="U330" i="5"/>
  <c r="S330" i="5"/>
  <c r="T330" i="5" s="1"/>
  <c r="R330" i="5"/>
  <c r="Q330" i="5"/>
  <c r="P330" i="5"/>
  <c r="O330" i="5"/>
  <c r="N330" i="5"/>
  <c r="M330" i="5"/>
  <c r="L330" i="5"/>
  <c r="K330" i="5"/>
  <c r="J330" i="5"/>
  <c r="I330" i="5"/>
  <c r="H330" i="5"/>
  <c r="G330" i="5"/>
  <c r="AA330" i="5" s="1"/>
  <c r="C330" i="5"/>
  <c r="AG329" i="5"/>
  <c r="AF329" i="5"/>
  <c r="AE329" i="5"/>
  <c r="AD329" i="5"/>
  <c r="Y329" i="5"/>
  <c r="Z329" i="5" s="1"/>
  <c r="X329" i="5"/>
  <c r="U329" i="5"/>
  <c r="S329" i="5"/>
  <c r="T329" i="5" s="1"/>
  <c r="R329" i="5"/>
  <c r="Q329" i="5"/>
  <c r="P329" i="5"/>
  <c r="O329" i="5"/>
  <c r="N329" i="5"/>
  <c r="M329" i="5"/>
  <c r="L329" i="5"/>
  <c r="K329" i="5"/>
  <c r="J329" i="5"/>
  <c r="I329" i="5"/>
  <c r="H329" i="5"/>
  <c r="G329" i="5"/>
  <c r="AA329" i="5" s="1"/>
  <c r="C329" i="5"/>
  <c r="AG328" i="5"/>
  <c r="AF328" i="5"/>
  <c r="AE328" i="5"/>
  <c r="AD328" i="5"/>
  <c r="AC328" i="5"/>
  <c r="AA328" i="5"/>
  <c r="Z328" i="5"/>
  <c r="Y328" i="5"/>
  <c r="X328" i="5"/>
  <c r="AB328" i="5" s="1"/>
  <c r="U328" i="5"/>
  <c r="S328" i="5"/>
  <c r="T328" i="5" s="1"/>
  <c r="R328" i="5"/>
  <c r="Q328" i="5"/>
  <c r="P328" i="5"/>
  <c r="O328" i="5"/>
  <c r="N328" i="5"/>
  <c r="M328" i="5"/>
  <c r="L328" i="5"/>
  <c r="K328" i="5"/>
  <c r="J328" i="5"/>
  <c r="I328" i="5"/>
  <c r="H328" i="5"/>
  <c r="G328" i="5"/>
  <c r="C328" i="5"/>
  <c r="AG327" i="5"/>
  <c r="AF327" i="5"/>
  <c r="AE327" i="5"/>
  <c r="AN327" i="5" s="1"/>
  <c r="AD327" i="5"/>
  <c r="Y327" i="5"/>
  <c r="Z327" i="5" s="1"/>
  <c r="AB327" i="5" s="1"/>
  <c r="X327" i="5"/>
  <c r="AC327" i="5" s="1"/>
  <c r="U327" i="5"/>
  <c r="S327" i="5"/>
  <c r="T327" i="5" s="1"/>
  <c r="R327" i="5"/>
  <c r="Q327" i="5"/>
  <c r="P327" i="5"/>
  <c r="O327" i="5"/>
  <c r="N327" i="5"/>
  <c r="M327" i="5"/>
  <c r="L327" i="5"/>
  <c r="K327" i="5"/>
  <c r="J327" i="5"/>
  <c r="I327" i="5"/>
  <c r="H327" i="5"/>
  <c r="G327" i="5"/>
  <c r="AA327" i="5" s="1"/>
  <c r="C327" i="5"/>
  <c r="AG326" i="5"/>
  <c r="AF326" i="5"/>
  <c r="AE326" i="5"/>
  <c r="AD326" i="5"/>
  <c r="Y326" i="5"/>
  <c r="Z326" i="5" s="1"/>
  <c r="AC326" i="5" s="1"/>
  <c r="X326" i="5"/>
  <c r="AB326" i="5" s="1"/>
  <c r="U326" i="5"/>
  <c r="T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AA326" i="5" s="1"/>
  <c r="C326" i="5"/>
  <c r="AG325" i="5"/>
  <c r="AF325" i="5"/>
  <c r="AE325" i="5"/>
  <c r="AD325" i="5"/>
  <c r="Y325" i="5"/>
  <c r="Z325" i="5" s="1"/>
  <c r="AC325" i="5" s="1"/>
  <c r="X325" i="5"/>
  <c r="U325" i="5"/>
  <c r="S325" i="5"/>
  <c r="T325" i="5" s="1"/>
  <c r="R325" i="5"/>
  <c r="Q325" i="5"/>
  <c r="P325" i="5"/>
  <c r="O325" i="5"/>
  <c r="N325" i="5"/>
  <c r="M325" i="5"/>
  <c r="L325" i="5"/>
  <c r="K325" i="5"/>
  <c r="J325" i="5"/>
  <c r="I325" i="5"/>
  <c r="H325" i="5"/>
  <c r="G325" i="5"/>
  <c r="AA325" i="5" s="1"/>
  <c r="C325" i="5"/>
  <c r="AG324" i="5"/>
  <c r="AF324" i="5"/>
  <c r="AE324" i="5"/>
  <c r="AD324" i="5"/>
  <c r="Y324" i="5"/>
  <c r="Z324" i="5" s="1"/>
  <c r="X324" i="5"/>
  <c r="U324" i="5"/>
  <c r="S324" i="5"/>
  <c r="T324" i="5" s="1"/>
  <c r="R324" i="5"/>
  <c r="Q324" i="5"/>
  <c r="P324" i="5"/>
  <c r="O324" i="5"/>
  <c r="N324" i="5"/>
  <c r="M324" i="5"/>
  <c r="L324" i="5"/>
  <c r="K324" i="5"/>
  <c r="J324" i="5"/>
  <c r="I324" i="5"/>
  <c r="H324" i="5"/>
  <c r="G324" i="5"/>
  <c r="AA324" i="5" s="1"/>
  <c r="C324" i="5"/>
  <c r="AG323" i="5"/>
  <c r="AF323" i="5"/>
  <c r="AE323" i="5"/>
  <c r="AD323" i="5"/>
  <c r="Y323" i="5"/>
  <c r="Z323" i="5" s="1"/>
  <c r="X323" i="5"/>
  <c r="U323" i="5"/>
  <c r="S323" i="5"/>
  <c r="T323" i="5" s="1"/>
  <c r="R323" i="5"/>
  <c r="Q323" i="5"/>
  <c r="P323" i="5"/>
  <c r="O323" i="5"/>
  <c r="N323" i="5"/>
  <c r="M323" i="5"/>
  <c r="L323" i="5"/>
  <c r="K323" i="5"/>
  <c r="J323" i="5"/>
  <c r="I323" i="5"/>
  <c r="H323" i="5"/>
  <c r="G323" i="5"/>
  <c r="AA323" i="5" s="1"/>
  <c r="C323" i="5"/>
  <c r="AG322" i="5"/>
  <c r="AF322" i="5"/>
  <c r="AE322" i="5"/>
  <c r="AD322" i="5"/>
  <c r="AC322" i="5"/>
  <c r="AO322" i="5" s="1"/>
  <c r="AA322" i="5"/>
  <c r="Z322" i="5"/>
  <c r="Y322" i="5"/>
  <c r="X322" i="5"/>
  <c r="AB322" i="5" s="1"/>
  <c r="U322" i="5"/>
  <c r="S322" i="5"/>
  <c r="T322" i="5" s="1"/>
  <c r="R322" i="5"/>
  <c r="Q322" i="5"/>
  <c r="P322" i="5"/>
  <c r="O322" i="5"/>
  <c r="N322" i="5"/>
  <c r="M322" i="5"/>
  <c r="L322" i="5"/>
  <c r="K322" i="5"/>
  <c r="J322" i="5"/>
  <c r="I322" i="5"/>
  <c r="H322" i="5"/>
  <c r="G322" i="5"/>
  <c r="C322" i="5"/>
  <c r="AG321" i="5"/>
  <c r="AF321" i="5"/>
  <c r="AE321" i="5"/>
  <c r="AD321" i="5"/>
  <c r="Y321" i="5"/>
  <c r="Z321" i="5" s="1"/>
  <c r="AB321" i="5" s="1"/>
  <c r="X321" i="5"/>
  <c r="U321" i="5"/>
  <c r="S321" i="5"/>
  <c r="T321" i="5" s="1"/>
  <c r="R321" i="5"/>
  <c r="Q321" i="5"/>
  <c r="P321" i="5"/>
  <c r="O321" i="5"/>
  <c r="N321" i="5"/>
  <c r="M321" i="5"/>
  <c r="L321" i="5"/>
  <c r="K321" i="5"/>
  <c r="J321" i="5"/>
  <c r="I321" i="5"/>
  <c r="H321" i="5"/>
  <c r="G321" i="5"/>
  <c r="AA321" i="5" s="1"/>
  <c r="C321" i="5"/>
  <c r="AG320" i="5"/>
  <c r="AF320" i="5"/>
  <c r="AE320" i="5"/>
  <c r="AD320" i="5"/>
  <c r="Y320" i="5"/>
  <c r="Z320" i="5" s="1"/>
  <c r="AC320" i="5" s="1"/>
  <c r="X320" i="5"/>
  <c r="AB320" i="5" s="1"/>
  <c r="U320" i="5"/>
  <c r="T320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AA320" i="5" s="1"/>
  <c r="C320" i="5"/>
  <c r="AG319" i="5"/>
  <c r="AF319" i="5"/>
  <c r="AE319" i="5"/>
  <c r="AD319" i="5"/>
  <c r="Y319" i="5"/>
  <c r="Z319" i="5" s="1"/>
  <c r="AC319" i="5" s="1"/>
  <c r="X319" i="5"/>
  <c r="U319" i="5"/>
  <c r="S319" i="5"/>
  <c r="T319" i="5" s="1"/>
  <c r="R319" i="5"/>
  <c r="Q319" i="5"/>
  <c r="P319" i="5"/>
  <c r="O319" i="5"/>
  <c r="N319" i="5"/>
  <c r="M319" i="5"/>
  <c r="L319" i="5"/>
  <c r="K319" i="5"/>
  <c r="J319" i="5"/>
  <c r="I319" i="5"/>
  <c r="H319" i="5"/>
  <c r="G319" i="5"/>
  <c r="AA319" i="5" s="1"/>
  <c r="C319" i="5"/>
  <c r="AG318" i="5"/>
  <c r="AF318" i="5"/>
  <c r="AE318" i="5"/>
  <c r="AD318" i="5"/>
  <c r="Y318" i="5"/>
  <c r="Z318" i="5" s="1"/>
  <c r="X318" i="5"/>
  <c r="U318" i="5"/>
  <c r="S318" i="5"/>
  <c r="T318" i="5" s="1"/>
  <c r="R318" i="5"/>
  <c r="Q318" i="5"/>
  <c r="P318" i="5"/>
  <c r="O318" i="5"/>
  <c r="N318" i="5"/>
  <c r="M318" i="5"/>
  <c r="L318" i="5"/>
  <c r="K318" i="5"/>
  <c r="J318" i="5"/>
  <c r="I318" i="5"/>
  <c r="H318" i="5"/>
  <c r="G318" i="5"/>
  <c r="AA318" i="5" s="1"/>
  <c r="C318" i="5"/>
  <c r="AG317" i="5"/>
  <c r="AF317" i="5"/>
  <c r="AE317" i="5"/>
  <c r="AD317" i="5"/>
  <c r="Y317" i="5"/>
  <c r="Z317" i="5" s="1"/>
  <c r="X317" i="5"/>
  <c r="U317" i="5"/>
  <c r="S317" i="5"/>
  <c r="T317" i="5" s="1"/>
  <c r="R317" i="5"/>
  <c r="Q317" i="5"/>
  <c r="P317" i="5"/>
  <c r="O317" i="5"/>
  <c r="N317" i="5"/>
  <c r="M317" i="5"/>
  <c r="L317" i="5"/>
  <c r="K317" i="5"/>
  <c r="J317" i="5"/>
  <c r="I317" i="5"/>
  <c r="H317" i="5"/>
  <c r="G317" i="5"/>
  <c r="AA317" i="5" s="1"/>
  <c r="C317" i="5"/>
  <c r="AG316" i="5"/>
  <c r="AF316" i="5"/>
  <c r="AE316" i="5"/>
  <c r="AD316" i="5"/>
  <c r="AC316" i="5"/>
  <c r="AO316" i="5" s="1"/>
  <c r="AA316" i="5"/>
  <c r="Z316" i="5"/>
  <c r="Y316" i="5"/>
  <c r="X316" i="5"/>
  <c r="AB316" i="5" s="1"/>
  <c r="U316" i="5"/>
  <c r="S316" i="5"/>
  <c r="T316" i="5" s="1"/>
  <c r="R316" i="5"/>
  <c r="Q316" i="5"/>
  <c r="P316" i="5"/>
  <c r="O316" i="5"/>
  <c r="N316" i="5"/>
  <c r="M316" i="5"/>
  <c r="L316" i="5"/>
  <c r="K316" i="5"/>
  <c r="J316" i="5"/>
  <c r="I316" i="5"/>
  <c r="H316" i="5"/>
  <c r="G316" i="5"/>
  <c r="C316" i="5"/>
  <c r="AG315" i="5"/>
  <c r="AF315" i="5"/>
  <c r="AE315" i="5"/>
  <c r="AD315" i="5"/>
  <c r="Y315" i="5"/>
  <c r="Z315" i="5" s="1"/>
  <c r="AB315" i="5" s="1"/>
  <c r="X315" i="5"/>
  <c r="U315" i="5"/>
  <c r="S315" i="5"/>
  <c r="T315" i="5" s="1"/>
  <c r="R315" i="5"/>
  <c r="Q315" i="5"/>
  <c r="P315" i="5"/>
  <c r="O315" i="5"/>
  <c r="N315" i="5"/>
  <c r="M315" i="5"/>
  <c r="L315" i="5"/>
  <c r="K315" i="5"/>
  <c r="J315" i="5"/>
  <c r="I315" i="5"/>
  <c r="H315" i="5"/>
  <c r="G315" i="5"/>
  <c r="AA315" i="5" s="1"/>
  <c r="C315" i="5"/>
  <c r="AG314" i="5"/>
  <c r="AF314" i="5"/>
  <c r="AE314" i="5"/>
  <c r="AD314" i="5"/>
  <c r="Y314" i="5"/>
  <c r="Z314" i="5" s="1"/>
  <c r="X314" i="5"/>
  <c r="U314" i="5"/>
  <c r="S314" i="5"/>
  <c r="T314" i="5" s="1"/>
  <c r="R314" i="5"/>
  <c r="Q314" i="5"/>
  <c r="P314" i="5"/>
  <c r="O314" i="5"/>
  <c r="N314" i="5"/>
  <c r="M314" i="5"/>
  <c r="L314" i="5"/>
  <c r="K314" i="5"/>
  <c r="J314" i="5"/>
  <c r="I314" i="5"/>
  <c r="H314" i="5"/>
  <c r="G314" i="5"/>
  <c r="AA314" i="5" s="1"/>
  <c r="C314" i="5"/>
  <c r="AG313" i="5"/>
  <c r="AF313" i="5"/>
  <c r="AE313" i="5"/>
  <c r="AD313" i="5"/>
  <c r="AC313" i="5"/>
  <c r="Z313" i="5"/>
  <c r="Y313" i="5"/>
  <c r="X313" i="5"/>
  <c r="U313" i="5"/>
  <c r="S313" i="5"/>
  <c r="T313" i="5" s="1"/>
  <c r="R313" i="5"/>
  <c r="Q313" i="5"/>
  <c r="P313" i="5"/>
  <c r="O313" i="5"/>
  <c r="N313" i="5"/>
  <c r="M313" i="5"/>
  <c r="L313" i="5"/>
  <c r="K313" i="5"/>
  <c r="J313" i="5"/>
  <c r="I313" i="5"/>
  <c r="H313" i="5"/>
  <c r="G313" i="5"/>
  <c r="AA313" i="5" s="1"/>
  <c r="C313" i="5"/>
  <c r="AG312" i="5"/>
  <c r="AF312" i="5"/>
  <c r="AE312" i="5"/>
  <c r="AD312" i="5"/>
  <c r="Y312" i="5"/>
  <c r="Z312" i="5" s="1"/>
  <c r="X312" i="5"/>
  <c r="AC312" i="5" s="1"/>
  <c r="U312" i="5"/>
  <c r="S312" i="5"/>
  <c r="T312" i="5" s="1"/>
  <c r="R312" i="5"/>
  <c r="Q312" i="5"/>
  <c r="P312" i="5"/>
  <c r="O312" i="5"/>
  <c r="N312" i="5"/>
  <c r="M312" i="5"/>
  <c r="L312" i="5"/>
  <c r="K312" i="5"/>
  <c r="J312" i="5"/>
  <c r="I312" i="5"/>
  <c r="H312" i="5"/>
  <c r="G312" i="5"/>
  <c r="AA312" i="5" s="1"/>
  <c r="C312" i="5"/>
  <c r="AG311" i="5"/>
  <c r="AF311" i="5"/>
  <c r="AE311" i="5"/>
  <c r="AD311" i="5"/>
  <c r="Y311" i="5"/>
  <c r="Z311" i="5" s="1"/>
  <c r="AC311" i="5" s="1"/>
  <c r="X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AA311" i="5" s="1"/>
  <c r="C311" i="5"/>
  <c r="AG310" i="5"/>
  <c r="AF310" i="5"/>
  <c r="AE310" i="5"/>
  <c r="AD310" i="5"/>
  <c r="AA310" i="5"/>
  <c r="Y310" i="5"/>
  <c r="Z310" i="5" s="1"/>
  <c r="AC310" i="5" s="1"/>
  <c r="X310" i="5"/>
  <c r="AB310" i="5" s="1"/>
  <c r="U310" i="5"/>
  <c r="S310" i="5"/>
  <c r="T310" i="5" s="1"/>
  <c r="R310" i="5"/>
  <c r="Q310" i="5"/>
  <c r="P310" i="5"/>
  <c r="O310" i="5"/>
  <c r="N310" i="5"/>
  <c r="M310" i="5"/>
  <c r="L310" i="5"/>
  <c r="K310" i="5"/>
  <c r="J310" i="5"/>
  <c r="I310" i="5"/>
  <c r="H310" i="5"/>
  <c r="G310" i="5"/>
  <c r="C310" i="5"/>
  <c r="AG309" i="5"/>
  <c r="AF309" i="5"/>
  <c r="AE309" i="5"/>
  <c r="AD309" i="5"/>
  <c r="Y309" i="5"/>
  <c r="Z309" i="5" s="1"/>
  <c r="X309" i="5"/>
  <c r="U309" i="5"/>
  <c r="S309" i="5"/>
  <c r="T309" i="5" s="1"/>
  <c r="R309" i="5"/>
  <c r="Q309" i="5"/>
  <c r="P309" i="5"/>
  <c r="O309" i="5"/>
  <c r="N309" i="5"/>
  <c r="M309" i="5"/>
  <c r="L309" i="5"/>
  <c r="K309" i="5"/>
  <c r="J309" i="5"/>
  <c r="I309" i="5"/>
  <c r="H309" i="5"/>
  <c r="G309" i="5"/>
  <c r="AA309" i="5" s="1"/>
  <c r="C309" i="5"/>
  <c r="AG308" i="5"/>
  <c r="AF308" i="5"/>
  <c r="AE308" i="5"/>
  <c r="AD308" i="5"/>
  <c r="Y308" i="5"/>
  <c r="Z308" i="5" s="1"/>
  <c r="X308" i="5"/>
  <c r="U308" i="5"/>
  <c r="S308" i="5"/>
  <c r="T308" i="5" s="1"/>
  <c r="R308" i="5"/>
  <c r="Q308" i="5"/>
  <c r="P308" i="5"/>
  <c r="O308" i="5"/>
  <c r="N308" i="5"/>
  <c r="M308" i="5"/>
  <c r="L308" i="5"/>
  <c r="K308" i="5"/>
  <c r="J308" i="5"/>
  <c r="I308" i="5"/>
  <c r="H308" i="5"/>
  <c r="G308" i="5"/>
  <c r="AA308" i="5" s="1"/>
  <c r="C308" i="5"/>
  <c r="AG307" i="5"/>
  <c r="AF307" i="5"/>
  <c r="AE307" i="5"/>
  <c r="AD307" i="5"/>
  <c r="AC307" i="5"/>
  <c r="Z307" i="5"/>
  <c r="Y307" i="5"/>
  <c r="X307" i="5"/>
  <c r="U307" i="5"/>
  <c r="S307" i="5"/>
  <c r="T307" i="5" s="1"/>
  <c r="R307" i="5"/>
  <c r="Q307" i="5"/>
  <c r="P307" i="5"/>
  <c r="O307" i="5"/>
  <c r="N307" i="5"/>
  <c r="M307" i="5"/>
  <c r="L307" i="5"/>
  <c r="K307" i="5"/>
  <c r="J307" i="5"/>
  <c r="I307" i="5"/>
  <c r="H307" i="5"/>
  <c r="G307" i="5"/>
  <c r="AA307" i="5" s="1"/>
  <c r="C307" i="5"/>
  <c r="AG306" i="5"/>
  <c r="AF306" i="5"/>
  <c r="AE306" i="5"/>
  <c r="AD306" i="5"/>
  <c r="Y306" i="5"/>
  <c r="Z306" i="5" s="1"/>
  <c r="X306" i="5"/>
  <c r="AC306" i="5" s="1"/>
  <c r="U306" i="5"/>
  <c r="S306" i="5"/>
  <c r="T306" i="5" s="1"/>
  <c r="R306" i="5"/>
  <c r="Q306" i="5"/>
  <c r="P306" i="5"/>
  <c r="O306" i="5"/>
  <c r="N306" i="5"/>
  <c r="M306" i="5"/>
  <c r="L306" i="5"/>
  <c r="K306" i="5"/>
  <c r="J306" i="5"/>
  <c r="I306" i="5"/>
  <c r="H306" i="5"/>
  <c r="G306" i="5"/>
  <c r="AA306" i="5" s="1"/>
  <c r="C306" i="5"/>
  <c r="AG305" i="5"/>
  <c r="AF305" i="5"/>
  <c r="AE305" i="5"/>
  <c r="AD305" i="5"/>
  <c r="Y305" i="5"/>
  <c r="Z305" i="5" s="1"/>
  <c r="X305" i="5"/>
  <c r="U305" i="5"/>
  <c r="S305" i="5"/>
  <c r="T305" i="5" s="1"/>
  <c r="R305" i="5"/>
  <c r="Q305" i="5"/>
  <c r="P305" i="5"/>
  <c r="O305" i="5"/>
  <c r="N305" i="5"/>
  <c r="M305" i="5"/>
  <c r="L305" i="5"/>
  <c r="K305" i="5"/>
  <c r="J305" i="5"/>
  <c r="I305" i="5"/>
  <c r="H305" i="5"/>
  <c r="G305" i="5"/>
  <c r="AA305" i="5" s="1"/>
  <c r="C305" i="5"/>
  <c r="AG304" i="5"/>
  <c r="AF304" i="5"/>
  <c r="AE304" i="5"/>
  <c r="AD304" i="5"/>
  <c r="AA304" i="5"/>
  <c r="Y304" i="5"/>
  <c r="Z304" i="5" s="1"/>
  <c r="AC304" i="5" s="1"/>
  <c r="X304" i="5"/>
  <c r="AB304" i="5" s="1"/>
  <c r="U304" i="5"/>
  <c r="S304" i="5"/>
  <c r="T304" i="5" s="1"/>
  <c r="R304" i="5"/>
  <c r="Q304" i="5"/>
  <c r="P304" i="5"/>
  <c r="O304" i="5"/>
  <c r="N304" i="5"/>
  <c r="M304" i="5"/>
  <c r="L304" i="5"/>
  <c r="K304" i="5"/>
  <c r="J304" i="5"/>
  <c r="I304" i="5"/>
  <c r="H304" i="5"/>
  <c r="G304" i="5"/>
  <c r="C304" i="5"/>
  <c r="AG303" i="5"/>
  <c r="AF303" i="5"/>
  <c r="AE303" i="5"/>
  <c r="AD303" i="5"/>
  <c r="Y303" i="5"/>
  <c r="Z303" i="5" s="1"/>
  <c r="X303" i="5"/>
  <c r="AB303" i="5" s="1"/>
  <c r="U303" i="5"/>
  <c r="S303" i="5"/>
  <c r="T303" i="5" s="1"/>
  <c r="R303" i="5"/>
  <c r="Q303" i="5"/>
  <c r="P303" i="5"/>
  <c r="O303" i="5"/>
  <c r="N303" i="5"/>
  <c r="M303" i="5"/>
  <c r="L303" i="5"/>
  <c r="K303" i="5"/>
  <c r="J303" i="5"/>
  <c r="I303" i="5"/>
  <c r="H303" i="5"/>
  <c r="G303" i="5"/>
  <c r="AA303" i="5" s="1"/>
  <c r="C303" i="5"/>
  <c r="AG302" i="5"/>
  <c r="AF302" i="5"/>
  <c r="AE302" i="5"/>
  <c r="AK302" i="5" s="1"/>
  <c r="AD302" i="5"/>
  <c r="Y302" i="5"/>
  <c r="Z302" i="5" s="1"/>
  <c r="AC302" i="5" s="1"/>
  <c r="X302" i="5"/>
  <c r="AB302" i="5" s="1"/>
  <c r="U302" i="5"/>
  <c r="S302" i="5"/>
  <c r="T302" i="5" s="1"/>
  <c r="R302" i="5"/>
  <c r="Q302" i="5"/>
  <c r="P302" i="5"/>
  <c r="O302" i="5"/>
  <c r="N302" i="5"/>
  <c r="M302" i="5"/>
  <c r="L302" i="5"/>
  <c r="K302" i="5"/>
  <c r="J302" i="5"/>
  <c r="I302" i="5"/>
  <c r="H302" i="5"/>
  <c r="G302" i="5"/>
  <c r="AA302" i="5" s="1"/>
  <c r="C302" i="5"/>
  <c r="AG301" i="5"/>
  <c r="AF301" i="5"/>
  <c r="AE301" i="5"/>
  <c r="AD301" i="5"/>
  <c r="Y301" i="5"/>
  <c r="Z301" i="5" s="1"/>
  <c r="AC301" i="5" s="1"/>
  <c r="X301" i="5"/>
  <c r="AB301" i="5" s="1"/>
  <c r="U301" i="5"/>
  <c r="S301" i="5"/>
  <c r="T301" i="5" s="1"/>
  <c r="R301" i="5"/>
  <c r="Q301" i="5"/>
  <c r="P301" i="5"/>
  <c r="O301" i="5"/>
  <c r="N301" i="5"/>
  <c r="M301" i="5"/>
  <c r="L301" i="5"/>
  <c r="K301" i="5"/>
  <c r="J301" i="5"/>
  <c r="I301" i="5"/>
  <c r="H301" i="5"/>
  <c r="G301" i="5"/>
  <c r="AA301" i="5" s="1"/>
  <c r="C301" i="5"/>
  <c r="AG300" i="5"/>
  <c r="AF300" i="5"/>
  <c r="AE300" i="5"/>
  <c r="AD300" i="5"/>
  <c r="Y300" i="5"/>
  <c r="Z300" i="5" s="1"/>
  <c r="X300" i="5"/>
  <c r="AC300" i="5" s="1"/>
  <c r="U300" i="5"/>
  <c r="S300" i="5"/>
  <c r="T300" i="5" s="1"/>
  <c r="R300" i="5"/>
  <c r="Q300" i="5"/>
  <c r="P300" i="5"/>
  <c r="O300" i="5"/>
  <c r="N300" i="5"/>
  <c r="M300" i="5"/>
  <c r="L300" i="5"/>
  <c r="K300" i="5"/>
  <c r="J300" i="5"/>
  <c r="I300" i="5"/>
  <c r="H300" i="5"/>
  <c r="G300" i="5"/>
  <c r="AA300" i="5" s="1"/>
  <c r="C300" i="5"/>
  <c r="AG299" i="5"/>
  <c r="AF299" i="5"/>
  <c r="AE299" i="5"/>
  <c r="AD299" i="5"/>
  <c r="Y299" i="5"/>
  <c r="Z299" i="5" s="1"/>
  <c r="AC299" i="5" s="1"/>
  <c r="X299" i="5"/>
  <c r="AB299" i="5" s="1"/>
  <c r="U299" i="5"/>
  <c r="S299" i="5"/>
  <c r="T299" i="5" s="1"/>
  <c r="R299" i="5"/>
  <c r="Q299" i="5"/>
  <c r="P299" i="5"/>
  <c r="O299" i="5"/>
  <c r="N299" i="5"/>
  <c r="M299" i="5"/>
  <c r="L299" i="5"/>
  <c r="K299" i="5"/>
  <c r="J299" i="5"/>
  <c r="I299" i="5"/>
  <c r="H299" i="5"/>
  <c r="G299" i="5"/>
  <c r="AA299" i="5" s="1"/>
  <c r="C299" i="5"/>
  <c r="AG298" i="5"/>
  <c r="AF298" i="5"/>
  <c r="AE298" i="5"/>
  <c r="AN298" i="5" s="1"/>
  <c r="AD298" i="5"/>
  <c r="AA298" i="5"/>
  <c r="Y298" i="5"/>
  <c r="Z298" i="5" s="1"/>
  <c r="AC298" i="5" s="1"/>
  <c r="X298" i="5"/>
  <c r="AB298" i="5" s="1"/>
  <c r="U298" i="5"/>
  <c r="S298" i="5"/>
  <c r="T298" i="5" s="1"/>
  <c r="R298" i="5"/>
  <c r="Q298" i="5"/>
  <c r="P298" i="5"/>
  <c r="O298" i="5"/>
  <c r="N298" i="5"/>
  <c r="M298" i="5"/>
  <c r="L298" i="5"/>
  <c r="K298" i="5"/>
  <c r="J298" i="5"/>
  <c r="I298" i="5"/>
  <c r="H298" i="5"/>
  <c r="G298" i="5"/>
  <c r="C298" i="5"/>
  <c r="AG297" i="5"/>
  <c r="AF297" i="5"/>
  <c r="AE297" i="5"/>
  <c r="AD297" i="5"/>
  <c r="Y297" i="5"/>
  <c r="Z297" i="5" s="1"/>
  <c r="X297" i="5"/>
  <c r="U297" i="5"/>
  <c r="S297" i="5"/>
  <c r="T297" i="5" s="1"/>
  <c r="R297" i="5"/>
  <c r="Q297" i="5"/>
  <c r="P297" i="5"/>
  <c r="O297" i="5"/>
  <c r="N297" i="5"/>
  <c r="M297" i="5"/>
  <c r="L297" i="5"/>
  <c r="K297" i="5"/>
  <c r="J297" i="5"/>
  <c r="I297" i="5"/>
  <c r="H297" i="5"/>
  <c r="G297" i="5"/>
  <c r="AA297" i="5" s="1"/>
  <c r="C297" i="5"/>
  <c r="AG296" i="5"/>
  <c r="AF296" i="5"/>
  <c r="AE296" i="5"/>
  <c r="AD296" i="5"/>
  <c r="Y296" i="5"/>
  <c r="Z296" i="5" s="1"/>
  <c r="AC296" i="5" s="1"/>
  <c r="X296" i="5"/>
  <c r="U296" i="5"/>
  <c r="S296" i="5"/>
  <c r="T296" i="5" s="1"/>
  <c r="R296" i="5"/>
  <c r="Q296" i="5"/>
  <c r="P296" i="5"/>
  <c r="O296" i="5"/>
  <c r="N296" i="5"/>
  <c r="M296" i="5"/>
  <c r="L296" i="5"/>
  <c r="K296" i="5"/>
  <c r="J296" i="5"/>
  <c r="I296" i="5"/>
  <c r="H296" i="5"/>
  <c r="G296" i="5"/>
  <c r="AA296" i="5" s="1"/>
  <c r="C296" i="5"/>
  <c r="AG295" i="5"/>
  <c r="AF295" i="5"/>
  <c r="AE295" i="5"/>
  <c r="AD295" i="5"/>
  <c r="Y295" i="5"/>
  <c r="Z295" i="5" s="1"/>
  <c r="AC295" i="5" s="1"/>
  <c r="X295" i="5"/>
  <c r="U295" i="5"/>
  <c r="S295" i="5"/>
  <c r="T295" i="5" s="1"/>
  <c r="R295" i="5"/>
  <c r="Q295" i="5"/>
  <c r="P295" i="5"/>
  <c r="O295" i="5"/>
  <c r="N295" i="5"/>
  <c r="M295" i="5"/>
  <c r="L295" i="5"/>
  <c r="K295" i="5"/>
  <c r="J295" i="5"/>
  <c r="I295" i="5"/>
  <c r="H295" i="5"/>
  <c r="G295" i="5"/>
  <c r="AA295" i="5" s="1"/>
  <c r="C295" i="5"/>
  <c r="AG294" i="5"/>
  <c r="AF294" i="5"/>
  <c r="AE294" i="5"/>
  <c r="AD294" i="5"/>
  <c r="Y294" i="5"/>
  <c r="Z294" i="5" s="1"/>
  <c r="X294" i="5"/>
  <c r="U294" i="5"/>
  <c r="S294" i="5"/>
  <c r="T294" i="5" s="1"/>
  <c r="R294" i="5"/>
  <c r="Q294" i="5"/>
  <c r="P294" i="5"/>
  <c r="O294" i="5"/>
  <c r="N294" i="5"/>
  <c r="M294" i="5"/>
  <c r="L294" i="5"/>
  <c r="K294" i="5"/>
  <c r="J294" i="5"/>
  <c r="I294" i="5"/>
  <c r="H294" i="5"/>
  <c r="G294" i="5"/>
  <c r="AA294" i="5" s="1"/>
  <c r="C294" i="5"/>
  <c r="AG293" i="5"/>
  <c r="AF293" i="5"/>
  <c r="AE293" i="5"/>
  <c r="AD293" i="5"/>
  <c r="Y293" i="5"/>
  <c r="Z293" i="5" s="1"/>
  <c r="AC293" i="5" s="1"/>
  <c r="X293" i="5"/>
  <c r="U293" i="5"/>
  <c r="S293" i="5"/>
  <c r="T293" i="5" s="1"/>
  <c r="R293" i="5"/>
  <c r="Q293" i="5"/>
  <c r="P293" i="5"/>
  <c r="O293" i="5"/>
  <c r="N293" i="5"/>
  <c r="M293" i="5"/>
  <c r="L293" i="5"/>
  <c r="K293" i="5"/>
  <c r="J293" i="5"/>
  <c r="I293" i="5"/>
  <c r="H293" i="5"/>
  <c r="G293" i="5"/>
  <c r="AA293" i="5" s="1"/>
  <c r="C293" i="5"/>
  <c r="AG292" i="5"/>
  <c r="AF292" i="5"/>
  <c r="AE292" i="5"/>
  <c r="AD292" i="5"/>
  <c r="AA292" i="5"/>
  <c r="Y292" i="5"/>
  <c r="Z292" i="5" s="1"/>
  <c r="AC292" i="5" s="1"/>
  <c r="X292" i="5"/>
  <c r="U292" i="5"/>
  <c r="S292" i="5"/>
  <c r="T292" i="5" s="1"/>
  <c r="R292" i="5"/>
  <c r="Q292" i="5"/>
  <c r="P292" i="5"/>
  <c r="O292" i="5"/>
  <c r="N292" i="5"/>
  <c r="M292" i="5"/>
  <c r="L292" i="5"/>
  <c r="K292" i="5"/>
  <c r="J292" i="5"/>
  <c r="I292" i="5"/>
  <c r="H292" i="5"/>
  <c r="G292" i="5"/>
  <c r="C292" i="5"/>
  <c r="AG291" i="5"/>
  <c r="AF291" i="5"/>
  <c r="AE291" i="5"/>
  <c r="AD291" i="5"/>
  <c r="Y291" i="5"/>
  <c r="Z291" i="5" s="1"/>
  <c r="X291" i="5"/>
  <c r="U291" i="5"/>
  <c r="S291" i="5"/>
  <c r="T291" i="5" s="1"/>
  <c r="R291" i="5"/>
  <c r="Q291" i="5"/>
  <c r="P291" i="5"/>
  <c r="O291" i="5"/>
  <c r="N291" i="5"/>
  <c r="M291" i="5"/>
  <c r="L291" i="5"/>
  <c r="K291" i="5"/>
  <c r="J291" i="5"/>
  <c r="I291" i="5"/>
  <c r="H291" i="5"/>
  <c r="G291" i="5"/>
  <c r="AA291" i="5" s="1"/>
  <c r="C291" i="5"/>
  <c r="AG290" i="5"/>
  <c r="AF290" i="5"/>
  <c r="AE290" i="5"/>
  <c r="AD290" i="5"/>
  <c r="Y290" i="5"/>
  <c r="Z290" i="5" s="1"/>
  <c r="AC290" i="5" s="1"/>
  <c r="X290" i="5"/>
  <c r="U290" i="5"/>
  <c r="S290" i="5"/>
  <c r="T290" i="5" s="1"/>
  <c r="R290" i="5"/>
  <c r="Q290" i="5"/>
  <c r="P290" i="5"/>
  <c r="O290" i="5"/>
  <c r="N290" i="5"/>
  <c r="M290" i="5"/>
  <c r="L290" i="5"/>
  <c r="K290" i="5"/>
  <c r="J290" i="5"/>
  <c r="I290" i="5"/>
  <c r="H290" i="5"/>
  <c r="G290" i="5"/>
  <c r="AA290" i="5" s="1"/>
  <c r="C290" i="5"/>
  <c r="AG289" i="5"/>
  <c r="AF289" i="5"/>
  <c r="AE289" i="5"/>
  <c r="AD289" i="5"/>
  <c r="Y289" i="5"/>
  <c r="Z289" i="5" s="1"/>
  <c r="X289" i="5"/>
  <c r="U289" i="5"/>
  <c r="S289" i="5"/>
  <c r="T289" i="5" s="1"/>
  <c r="R289" i="5"/>
  <c r="Q289" i="5"/>
  <c r="P289" i="5"/>
  <c r="O289" i="5"/>
  <c r="N289" i="5"/>
  <c r="M289" i="5"/>
  <c r="L289" i="5"/>
  <c r="K289" i="5"/>
  <c r="J289" i="5"/>
  <c r="I289" i="5"/>
  <c r="H289" i="5"/>
  <c r="G289" i="5"/>
  <c r="AA289" i="5" s="1"/>
  <c r="C289" i="5"/>
  <c r="AG288" i="5"/>
  <c r="AF288" i="5"/>
  <c r="AE288" i="5"/>
  <c r="AD288" i="5"/>
  <c r="Y288" i="5"/>
  <c r="Z288" i="5" s="1"/>
  <c r="AC288" i="5" s="1"/>
  <c r="X288" i="5"/>
  <c r="U288" i="5"/>
  <c r="S288" i="5"/>
  <c r="T288" i="5" s="1"/>
  <c r="R288" i="5"/>
  <c r="Q288" i="5"/>
  <c r="P288" i="5"/>
  <c r="O288" i="5"/>
  <c r="N288" i="5"/>
  <c r="M288" i="5"/>
  <c r="L288" i="5"/>
  <c r="K288" i="5"/>
  <c r="J288" i="5"/>
  <c r="I288" i="5"/>
  <c r="H288" i="5"/>
  <c r="G288" i="5"/>
  <c r="AA288" i="5" s="1"/>
  <c r="C288" i="5"/>
  <c r="AG287" i="5"/>
  <c r="AF287" i="5"/>
  <c r="AE287" i="5"/>
  <c r="AD287" i="5"/>
  <c r="Y287" i="5"/>
  <c r="Z287" i="5" s="1"/>
  <c r="AC287" i="5" s="1"/>
  <c r="X287" i="5"/>
  <c r="U287" i="5"/>
  <c r="S287" i="5"/>
  <c r="T287" i="5" s="1"/>
  <c r="R287" i="5"/>
  <c r="Q287" i="5"/>
  <c r="P287" i="5"/>
  <c r="O287" i="5"/>
  <c r="N287" i="5"/>
  <c r="M287" i="5"/>
  <c r="L287" i="5"/>
  <c r="K287" i="5"/>
  <c r="J287" i="5"/>
  <c r="I287" i="5"/>
  <c r="H287" i="5"/>
  <c r="G287" i="5"/>
  <c r="AA287" i="5" s="1"/>
  <c r="C287" i="5"/>
  <c r="AG286" i="5"/>
  <c r="AF286" i="5"/>
  <c r="AE286" i="5"/>
  <c r="AD286" i="5"/>
  <c r="AC286" i="5"/>
  <c r="Y286" i="5"/>
  <c r="Z286" i="5" s="1"/>
  <c r="X286" i="5"/>
  <c r="U286" i="5"/>
  <c r="S286" i="5"/>
  <c r="T286" i="5" s="1"/>
  <c r="R286" i="5"/>
  <c r="Q286" i="5"/>
  <c r="P286" i="5"/>
  <c r="O286" i="5"/>
  <c r="N286" i="5"/>
  <c r="M286" i="5"/>
  <c r="L286" i="5"/>
  <c r="K286" i="5"/>
  <c r="J286" i="5"/>
  <c r="I286" i="5"/>
  <c r="H286" i="5"/>
  <c r="G286" i="5"/>
  <c r="AA286" i="5" s="1"/>
  <c r="C286" i="5"/>
  <c r="AG285" i="5"/>
  <c r="AF285" i="5"/>
  <c r="AE285" i="5"/>
  <c r="AD285" i="5"/>
  <c r="Y285" i="5"/>
  <c r="Z285" i="5" s="1"/>
  <c r="X285" i="5"/>
  <c r="U285" i="5"/>
  <c r="S285" i="5"/>
  <c r="T285" i="5" s="1"/>
  <c r="R285" i="5"/>
  <c r="Q285" i="5"/>
  <c r="P285" i="5"/>
  <c r="O285" i="5"/>
  <c r="N285" i="5"/>
  <c r="M285" i="5"/>
  <c r="L285" i="5"/>
  <c r="K285" i="5"/>
  <c r="J285" i="5"/>
  <c r="I285" i="5"/>
  <c r="H285" i="5"/>
  <c r="G285" i="5"/>
  <c r="AA285" i="5" s="1"/>
  <c r="C285" i="5"/>
  <c r="AG284" i="5"/>
  <c r="AF284" i="5"/>
  <c r="AE284" i="5"/>
  <c r="AD284" i="5"/>
  <c r="Y284" i="5"/>
  <c r="Z284" i="5" s="1"/>
  <c r="AC284" i="5" s="1"/>
  <c r="X284" i="5"/>
  <c r="U284" i="5"/>
  <c r="S284" i="5"/>
  <c r="T284" i="5" s="1"/>
  <c r="R284" i="5"/>
  <c r="Q284" i="5"/>
  <c r="P284" i="5"/>
  <c r="O284" i="5"/>
  <c r="N284" i="5"/>
  <c r="M284" i="5"/>
  <c r="L284" i="5"/>
  <c r="K284" i="5"/>
  <c r="J284" i="5"/>
  <c r="I284" i="5"/>
  <c r="H284" i="5"/>
  <c r="G284" i="5"/>
  <c r="AA284" i="5" s="1"/>
  <c r="C284" i="5"/>
  <c r="AG283" i="5"/>
  <c r="AF283" i="5"/>
  <c r="AE283" i="5"/>
  <c r="AD283" i="5"/>
  <c r="AC283" i="5"/>
  <c r="AA283" i="5"/>
  <c r="Y283" i="5"/>
  <c r="Z283" i="5" s="1"/>
  <c r="X283" i="5"/>
  <c r="U283" i="5"/>
  <c r="S283" i="5"/>
  <c r="T283" i="5" s="1"/>
  <c r="R283" i="5"/>
  <c r="Q283" i="5"/>
  <c r="P283" i="5"/>
  <c r="O283" i="5"/>
  <c r="N283" i="5"/>
  <c r="M283" i="5"/>
  <c r="L283" i="5"/>
  <c r="K283" i="5"/>
  <c r="J283" i="5"/>
  <c r="I283" i="5"/>
  <c r="H283" i="5"/>
  <c r="G283" i="5"/>
  <c r="C283" i="5"/>
  <c r="AG282" i="5"/>
  <c r="AF282" i="5"/>
  <c r="AE282" i="5"/>
  <c r="AD282" i="5"/>
  <c r="AA282" i="5"/>
  <c r="Y282" i="5"/>
  <c r="Z282" i="5" s="1"/>
  <c r="X282" i="5"/>
  <c r="AC282" i="5" s="1"/>
  <c r="U282" i="5"/>
  <c r="S282" i="5"/>
  <c r="T282" i="5" s="1"/>
  <c r="R282" i="5"/>
  <c r="Q282" i="5"/>
  <c r="P282" i="5"/>
  <c r="O282" i="5"/>
  <c r="N282" i="5"/>
  <c r="M282" i="5"/>
  <c r="L282" i="5"/>
  <c r="K282" i="5"/>
  <c r="J282" i="5"/>
  <c r="I282" i="5"/>
  <c r="H282" i="5"/>
  <c r="G282" i="5"/>
  <c r="C282" i="5"/>
  <c r="AG281" i="5"/>
  <c r="AF281" i="5"/>
  <c r="AE281" i="5"/>
  <c r="AD281" i="5"/>
  <c r="Y281" i="5"/>
  <c r="Z281" i="5" s="1"/>
  <c r="AC281" i="5" s="1"/>
  <c r="X281" i="5"/>
  <c r="U281" i="5"/>
  <c r="S281" i="5"/>
  <c r="T281" i="5" s="1"/>
  <c r="R281" i="5"/>
  <c r="Q281" i="5"/>
  <c r="P281" i="5"/>
  <c r="O281" i="5"/>
  <c r="N281" i="5"/>
  <c r="M281" i="5"/>
  <c r="L281" i="5"/>
  <c r="K281" i="5"/>
  <c r="J281" i="5"/>
  <c r="I281" i="5"/>
  <c r="H281" i="5"/>
  <c r="G281" i="5"/>
  <c r="AA281" i="5" s="1"/>
  <c r="C281" i="5"/>
  <c r="AG280" i="5"/>
  <c r="AF280" i="5"/>
  <c r="AE280" i="5"/>
  <c r="AD280" i="5"/>
  <c r="AC280" i="5"/>
  <c r="Z280" i="5"/>
  <c r="Y280" i="5"/>
  <c r="X280" i="5"/>
  <c r="U280" i="5"/>
  <c r="S280" i="5"/>
  <c r="T280" i="5" s="1"/>
  <c r="R280" i="5"/>
  <c r="Q280" i="5"/>
  <c r="P280" i="5"/>
  <c r="O280" i="5"/>
  <c r="N280" i="5"/>
  <c r="M280" i="5"/>
  <c r="L280" i="5"/>
  <c r="K280" i="5"/>
  <c r="J280" i="5"/>
  <c r="I280" i="5"/>
  <c r="H280" i="5"/>
  <c r="G280" i="5"/>
  <c r="AA280" i="5" s="1"/>
  <c r="C280" i="5"/>
  <c r="AG279" i="5"/>
  <c r="AF279" i="5"/>
  <c r="AE279" i="5"/>
  <c r="AD279" i="5"/>
  <c r="Y279" i="5"/>
  <c r="Z279" i="5" s="1"/>
  <c r="X279" i="5"/>
  <c r="U279" i="5"/>
  <c r="S279" i="5"/>
  <c r="T279" i="5" s="1"/>
  <c r="R279" i="5"/>
  <c r="Q279" i="5"/>
  <c r="P279" i="5"/>
  <c r="O279" i="5"/>
  <c r="N279" i="5"/>
  <c r="M279" i="5"/>
  <c r="L279" i="5"/>
  <c r="K279" i="5"/>
  <c r="J279" i="5"/>
  <c r="I279" i="5"/>
  <c r="H279" i="5"/>
  <c r="G279" i="5"/>
  <c r="AA279" i="5" s="1"/>
  <c r="C279" i="5"/>
  <c r="AG278" i="5"/>
  <c r="AF278" i="5"/>
  <c r="AE278" i="5"/>
  <c r="AD278" i="5"/>
  <c r="Y278" i="5"/>
  <c r="Z278" i="5" s="1"/>
  <c r="AC278" i="5" s="1"/>
  <c r="X278" i="5"/>
  <c r="U278" i="5"/>
  <c r="S278" i="5"/>
  <c r="T278" i="5" s="1"/>
  <c r="R278" i="5"/>
  <c r="Q278" i="5"/>
  <c r="P278" i="5"/>
  <c r="O278" i="5"/>
  <c r="N278" i="5"/>
  <c r="M278" i="5"/>
  <c r="L278" i="5"/>
  <c r="K278" i="5"/>
  <c r="J278" i="5"/>
  <c r="I278" i="5"/>
  <c r="H278" i="5"/>
  <c r="G278" i="5"/>
  <c r="AA278" i="5" s="1"/>
  <c r="C278" i="5"/>
  <c r="AG277" i="5"/>
  <c r="AF277" i="5"/>
  <c r="AE277" i="5"/>
  <c r="AD277" i="5"/>
  <c r="Y277" i="5"/>
  <c r="Z277" i="5" s="1"/>
  <c r="AB277" i="5" s="1"/>
  <c r="X277" i="5"/>
  <c r="U277" i="5"/>
  <c r="T277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AA277" i="5" s="1"/>
  <c r="C277" i="5"/>
  <c r="AG276" i="5"/>
  <c r="AF276" i="5"/>
  <c r="AE276" i="5"/>
  <c r="AD276" i="5"/>
  <c r="Z276" i="5"/>
  <c r="AC276" i="5" s="1"/>
  <c r="Y276" i="5"/>
  <c r="X276" i="5"/>
  <c r="U276" i="5"/>
  <c r="T276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AA276" i="5" s="1"/>
  <c r="C276" i="5"/>
  <c r="AG275" i="5"/>
  <c r="AF275" i="5"/>
  <c r="AE275" i="5"/>
  <c r="AD275" i="5"/>
  <c r="AA275" i="5"/>
  <c r="Z275" i="5"/>
  <c r="Y275" i="5"/>
  <c r="X275" i="5"/>
  <c r="AC275" i="5" s="1"/>
  <c r="U275" i="5"/>
  <c r="S275" i="5"/>
  <c r="T275" i="5" s="1"/>
  <c r="R275" i="5"/>
  <c r="Q275" i="5"/>
  <c r="P275" i="5"/>
  <c r="O275" i="5"/>
  <c r="N275" i="5"/>
  <c r="M275" i="5"/>
  <c r="L275" i="5"/>
  <c r="K275" i="5"/>
  <c r="J275" i="5"/>
  <c r="I275" i="5"/>
  <c r="H275" i="5"/>
  <c r="G275" i="5"/>
  <c r="C275" i="5"/>
  <c r="AG274" i="5"/>
  <c r="AF274" i="5"/>
  <c r="AE274" i="5"/>
  <c r="AD274" i="5"/>
  <c r="Y274" i="5"/>
  <c r="Z274" i="5" s="1"/>
  <c r="X274" i="5"/>
  <c r="AC274" i="5" s="1"/>
  <c r="U274" i="5"/>
  <c r="T274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AA274" i="5" s="1"/>
  <c r="C274" i="5"/>
  <c r="AG273" i="5"/>
  <c r="AF273" i="5"/>
  <c r="AE273" i="5"/>
  <c r="AD273" i="5"/>
  <c r="Z273" i="5"/>
  <c r="AC273" i="5" s="1"/>
  <c r="Y273" i="5"/>
  <c r="X273" i="5"/>
  <c r="U273" i="5"/>
  <c r="T273" i="5"/>
  <c r="S273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AA273" i="5" s="1"/>
  <c r="C273" i="5"/>
  <c r="AG272" i="5"/>
  <c r="AF272" i="5"/>
  <c r="AE272" i="5"/>
  <c r="AD272" i="5"/>
  <c r="Z272" i="5"/>
  <c r="Y272" i="5"/>
  <c r="X272" i="5"/>
  <c r="AC272" i="5" s="1"/>
  <c r="U272" i="5"/>
  <c r="S272" i="5"/>
  <c r="T272" i="5" s="1"/>
  <c r="R272" i="5"/>
  <c r="Q272" i="5"/>
  <c r="P272" i="5"/>
  <c r="O272" i="5"/>
  <c r="N272" i="5"/>
  <c r="M272" i="5"/>
  <c r="L272" i="5"/>
  <c r="K272" i="5"/>
  <c r="J272" i="5"/>
  <c r="I272" i="5"/>
  <c r="H272" i="5"/>
  <c r="G272" i="5"/>
  <c r="AA272" i="5" s="1"/>
  <c r="C272" i="5"/>
  <c r="AG271" i="5"/>
  <c r="AF271" i="5"/>
  <c r="AE271" i="5"/>
  <c r="AD271" i="5"/>
  <c r="AI271" i="5" s="1"/>
  <c r="Y271" i="5"/>
  <c r="Z271" i="5" s="1"/>
  <c r="AB271" i="5" s="1"/>
  <c r="X271" i="5"/>
  <c r="U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AA271" i="5" s="1"/>
  <c r="C271" i="5"/>
  <c r="AG270" i="5"/>
  <c r="AF270" i="5"/>
  <c r="AE270" i="5"/>
  <c r="AD270" i="5"/>
  <c r="Z270" i="5"/>
  <c r="AC270" i="5" s="1"/>
  <c r="Y270" i="5"/>
  <c r="X270" i="5"/>
  <c r="U270" i="5"/>
  <c r="T270" i="5"/>
  <c r="S270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AA270" i="5" s="1"/>
  <c r="C270" i="5"/>
  <c r="AG269" i="5"/>
  <c r="AF269" i="5"/>
  <c r="AE269" i="5"/>
  <c r="AD269" i="5"/>
  <c r="AA269" i="5"/>
  <c r="Z269" i="5"/>
  <c r="Y269" i="5"/>
  <c r="X269" i="5"/>
  <c r="AC269" i="5" s="1"/>
  <c r="U269" i="5"/>
  <c r="S269" i="5"/>
  <c r="T269" i="5" s="1"/>
  <c r="R269" i="5"/>
  <c r="Q269" i="5"/>
  <c r="P269" i="5"/>
  <c r="O269" i="5"/>
  <c r="N269" i="5"/>
  <c r="M269" i="5"/>
  <c r="L269" i="5"/>
  <c r="K269" i="5"/>
  <c r="J269" i="5"/>
  <c r="I269" i="5"/>
  <c r="H269" i="5"/>
  <c r="G269" i="5"/>
  <c r="C269" i="5"/>
  <c r="AG268" i="5"/>
  <c r="AF268" i="5"/>
  <c r="AE268" i="5"/>
  <c r="AD268" i="5"/>
  <c r="Y268" i="5"/>
  <c r="Z268" i="5" s="1"/>
  <c r="X268" i="5"/>
  <c r="AC268" i="5" s="1"/>
  <c r="U268" i="5"/>
  <c r="T268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AA268" i="5" s="1"/>
  <c r="C268" i="5"/>
  <c r="AG267" i="5"/>
  <c r="AF267" i="5"/>
  <c r="AE267" i="5"/>
  <c r="AD267" i="5"/>
  <c r="Z267" i="5"/>
  <c r="AC267" i="5" s="1"/>
  <c r="Y267" i="5"/>
  <c r="X267" i="5"/>
  <c r="U267" i="5"/>
  <c r="T267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AA267" i="5" s="1"/>
  <c r="C267" i="5"/>
  <c r="AG266" i="5"/>
  <c r="AF266" i="5"/>
  <c r="AE266" i="5"/>
  <c r="AD266" i="5"/>
  <c r="Z266" i="5"/>
  <c r="Y266" i="5"/>
  <c r="X266" i="5"/>
  <c r="AC266" i="5" s="1"/>
  <c r="U266" i="5"/>
  <c r="S266" i="5"/>
  <c r="T266" i="5" s="1"/>
  <c r="R266" i="5"/>
  <c r="Q266" i="5"/>
  <c r="P266" i="5"/>
  <c r="O266" i="5"/>
  <c r="N266" i="5"/>
  <c r="M266" i="5"/>
  <c r="L266" i="5"/>
  <c r="K266" i="5"/>
  <c r="J266" i="5"/>
  <c r="I266" i="5"/>
  <c r="H266" i="5"/>
  <c r="G266" i="5"/>
  <c r="AA266" i="5" s="1"/>
  <c r="C266" i="5"/>
  <c r="AG265" i="5"/>
  <c r="AF265" i="5"/>
  <c r="AE265" i="5"/>
  <c r="AD265" i="5"/>
  <c r="AI265" i="5" s="1"/>
  <c r="Y265" i="5"/>
  <c r="Z265" i="5" s="1"/>
  <c r="AB265" i="5" s="1"/>
  <c r="X265" i="5"/>
  <c r="U265" i="5"/>
  <c r="T265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AA265" i="5" s="1"/>
  <c r="C265" i="5"/>
  <c r="AG264" i="5"/>
  <c r="AF264" i="5"/>
  <c r="AE264" i="5"/>
  <c r="AD264" i="5"/>
  <c r="Z264" i="5"/>
  <c r="AC264" i="5" s="1"/>
  <c r="Y264" i="5"/>
  <c r="X264" i="5"/>
  <c r="U264" i="5"/>
  <c r="T264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AA264" i="5" s="1"/>
  <c r="C264" i="5"/>
  <c r="AG263" i="5"/>
  <c r="AF263" i="5"/>
  <c r="AE263" i="5"/>
  <c r="AD263" i="5"/>
  <c r="AA263" i="5"/>
  <c r="Z263" i="5"/>
  <c r="Y263" i="5"/>
  <c r="X263" i="5"/>
  <c r="AC263" i="5" s="1"/>
  <c r="U263" i="5"/>
  <c r="S263" i="5"/>
  <c r="T263" i="5" s="1"/>
  <c r="R263" i="5"/>
  <c r="Q263" i="5"/>
  <c r="P263" i="5"/>
  <c r="O263" i="5"/>
  <c r="N263" i="5"/>
  <c r="M263" i="5"/>
  <c r="L263" i="5"/>
  <c r="K263" i="5"/>
  <c r="J263" i="5"/>
  <c r="I263" i="5"/>
  <c r="H263" i="5"/>
  <c r="G263" i="5"/>
  <c r="C263" i="5"/>
  <c r="AG262" i="5"/>
  <c r="AF262" i="5"/>
  <c r="AE262" i="5"/>
  <c r="AD262" i="5"/>
  <c r="Y262" i="5"/>
  <c r="Z262" i="5" s="1"/>
  <c r="AB262" i="5" s="1"/>
  <c r="X262" i="5"/>
  <c r="U262" i="5"/>
  <c r="T262" i="5"/>
  <c r="S262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AA262" i="5" s="1"/>
  <c r="C262" i="5"/>
  <c r="AG261" i="5"/>
  <c r="AF261" i="5"/>
  <c r="AE261" i="5"/>
  <c r="AD261" i="5"/>
  <c r="Z261" i="5"/>
  <c r="AC261" i="5" s="1"/>
  <c r="Y261" i="5"/>
  <c r="X261" i="5"/>
  <c r="U261" i="5"/>
  <c r="T261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AA261" i="5" s="1"/>
  <c r="C261" i="5"/>
  <c r="AG260" i="5"/>
  <c r="AF260" i="5"/>
  <c r="AE260" i="5"/>
  <c r="AD260" i="5"/>
  <c r="Z260" i="5"/>
  <c r="Y260" i="5"/>
  <c r="X260" i="5"/>
  <c r="AC260" i="5" s="1"/>
  <c r="U260" i="5"/>
  <c r="S260" i="5"/>
  <c r="T260" i="5" s="1"/>
  <c r="R260" i="5"/>
  <c r="Q260" i="5"/>
  <c r="P260" i="5"/>
  <c r="O260" i="5"/>
  <c r="N260" i="5"/>
  <c r="M260" i="5"/>
  <c r="L260" i="5"/>
  <c r="K260" i="5"/>
  <c r="J260" i="5"/>
  <c r="I260" i="5"/>
  <c r="H260" i="5"/>
  <c r="G260" i="5"/>
  <c r="AA260" i="5" s="1"/>
  <c r="C260" i="5"/>
  <c r="AG259" i="5"/>
  <c r="AF259" i="5"/>
  <c r="AE259" i="5"/>
  <c r="AD259" i="5"/>
  <c r="Y259" i="5"/>
  <c r="Z259" i="5" s="1"/>
  <c r="AB259" i="5" s="1"/>
  <c r="X259" i="5"/>
  <c r="U259" i="5"/>
  <c r="T259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AA259" i="5" s="1"/>
  <c r="C259" i="5"/>
  <c r="AG258" i="5"/>
  <c r="AF258" i="5"/>
  <c r="AE258" i="5"/>
  <c r="AD258" i="5"/>
  <c r="Z258" i="5"/>
  <c r="AC258" i="5" s="1"/>
  <c r="Y258" i="5"/>
  <c r="X258" i="5"/>
  <c r="U258" i="5"/>
  <c r="T258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AA258" i="5" s="1"/>
  <c r="C258" i="5"/>
  <c r="AG257" i="5"/>
  <c r="AF257" i="5"/>
  <c r="AE257" i="5"/>
  <c r="AD257" i="5"/>
  <c r="AA257" i="5"/>
  <c r="Z257" i="5"/>
  <c r="Y257" i="5"/>
  <c r="X257" i="5"/>
  <c r="AC257" i="5" s="1"/>
  <c r="U257" i="5"/>
  <c r="S257" i="5"/>
  <c r="T257" i="5" s="1"/>
  <c r="R257" i="5"/>
  <c r="Q257" i="5"/>
  <c r="P257" i="5"/>
  <c r="O257" i="5"/>
  <c r="N257" i="5"/>
  <c r="M257" i="5"/>
  <c r="L257" i="5"/>
  <c r="K257" i="5"/>
  <c r="J257" i="5"/>
  <c r="I257" i="5"/>
  <c r="H257" i="5"/>
  <c r="G257" i="5"/>
  <c r="C257" i="5"/>
  <c r="AG256" i="5"/>
  <c r="AF256" i="5"/>
  <c r="AE256" i="5"/>
  <c r="AD256" i="5"/>
  <c r="Y256" i="5"/>
  <c r="Z256" i="5" s="1"/>
  <c r="AB256" i="5" s="1"/>
  <c r="X256" i="5"/>
  <c r="U256" i="5"/>
  <c r="T256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AA256" i="5" s="1"/>
  <c r="C256" i="5"/>
  <c r="AG255" i="5"/>
  <c r="AF255" i="5"/>
  <c r="AE255" i="5"/>
  <c r="AD255" i="5"/>
  <c r="Z255" i="5"/>
  <c r="AC255" i="5" s="1"/>
  <c r="Y255" i="5"/>
  <c r="X255" i="5"/>
  <c r="U255" i="5"/>
  <c r="T255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AA255" i="5" s="1"/>
  <c r="C255" i="5"/>
  <c r="AG254" i="5"/>
  <c r="AF254" i="5"/>
  <c r="AE254" i="5"/>
  <c r="AD254" i="5"/>
  <c r="Z254" i="5"/>
  <c r="Y254" i="5"/>
  <c r="X254" i="5"/>
  <c r="AC254" i="5" s="1"/>
  <c r="U254" i="5"/>
  <c r="S254" i="5"/>
  <c r="T254" i="5" s="1"/>
  <c r="R254" i="5"/>
  <c r="Q254" i="5"/>
  <c r="P254" i="5"/>
  <c r="O254" i="5"/>
  <c r="N254" i="5"/>
  <c r="M254" i="5"/>
  <c r="L254" i="5"/>
  <c r="K254" i="5"/>
  <c r="J254" i="5"/>
  <c r="I254" i="5"/>
  <c r="H254" i="5"/>
  <c r="G254" i="5"/>
  <c r="AA254" i="5" s="1"/>
  <c r="C254" i="5"/>
  <c r="AG253" i="5"/>
  <c r="AF253" i="5"/>
  <c r="AE253" i="5"/>
  <c r="AD253" i="5"/>
  <c r="Y253" i="5"/>
  <c r="Z253" i="5" s="1"/>
  <c r="AB253" i="5" s="1"/>
  <c r="X253" i="5"/>
  <c r="U253" i="5"/>
  <c r="T253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AA253" i="5" s="1"/>
  <c r="C253" i="5"/>
  <c r="AG252" i="5"/>
  <c r="AF252" i="5"/>
  <c r="AE252" i="5"/>
  <c r="AD252" i="5"/>
  <c r="Z252" i="5"/>
  <c r="AC252" i="5" s="1"/>
  <c r="Y252" i="5"/>
  <c r="X252" i="5"/>
  <c r="U252" i="5"/>
  <c r="T252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AA252" i="5" s="1"/>
  <c r="C252" i="5"/>
  <c r="AG251" i="5"/>
  <c r="AF251" i="5"/>
  <c r="AE251" i="5"/>
  <c r="AD251" i="5"/>
  <c r="Z251" i="5"/>
  <c r="Y251" i="5"/>
  <c r="X251" i="5"/>
  <c r="AC251" i="5" s="1"/>
  <c r="U251" i="5"/>
  <c r="S251" i="5"/>
  <c r="T251" i="5" s="1"/>
  <c r="R251" i="5"/>
  <c r="Q251" i="5"/>
  <c r="P251" i="5"/>
  <c r="O251" i="5"/>
  <c r="N251" i="5"/>
  <c r="M251" i="5"/>
  <c r="L251" i="5"/>
  <c r="K251" i="5"/>
  <c r="J251" i="5"/>
  <c r="I251" i="5"/>
  <c r="H251" i="5"/>
  <c r="G251" i="5"/>
  <c r="AA251" i="5" s="1"/>
  <c r="C251" i="5"/>
  <c r="AG250" i="5"/>
  <c r="AF250" i="5"/>
  <c r="AE250" i="5"/>
  <c r="AD250" i="5"/>
  <c r="Y250" i="5"/>
  <c r="Z250" i="5" s="1"/>
  <c r="X250" i="5"/>
  <c r="AC250" i="5" s="1"/>
  <c r="U250" i="5"/>
  <c r="T250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AA250" i="5" s="1"/>
  <c r="C250" i="5"/>
  <c r="AG249" i="5"/>
  <c r="AF249" i="5"/>
  <c r="AE249" i="5"/>
  <c r="AD249" i="5"/>
  <c r="Z249" i="5"/>
  <c r="AC249" i="5" s="1"/>
  <c r="Y249" i="5"/>
  <c r="X249" i="5"/>
  <c r="U249" i="5"/>
  <c r="T249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AA249" i="5" s="1"/>
  <c r="C249" i="5"/>
  <c r="AG248" i="5"/>
  <c r="AF248" i="5"/>
  <c r="AE248" i="5"/>
  <c r="AD248" i="5"/>
  <c r="Z248" i="5"/>
  <c r="Y248" i="5"/>
  <c r="X248" i="5"/>
  <c r="AC248" i="5" s="1"/>
  <c r="U248" i="5"/>
  <c r="S248" i="5"/>
  <c r="T248" i="5" s="1"/>
  <c r="R248" i="5"/>
  <c r="Q248" i="5"/>
  <c r="P248" i="5"/>
  <c r="O248" i="5"/>
  <c r="N248" i="5"/>
  <c r="M248" i="5"/>
  <c r="L248" i="5"/>
  <c r="K248" i="5"/>
  <c r="J248" i="5"/>
  <c r="I248" i="5"/>
  <c r="H248" i="5"/>
  <c r="G248" i="5"/>
  <c r="AA248" i="5" s="1"/>
  <c r="C248" i="5"/>
  <c r="AG247" i="5"/>
  <c r="AF247" i="5"/>
  <c r="AE247" i="5"/>
  <c r="AD247" i="5"/>
  <c r="Y247" i="5"/>
  <c r="Z247" i="5" s="1"/>
  <c r="AB247" i="5" s="1"/>
  <c r="X247" i="5"/>
  <c r="U247" i="5"/>
  <c r="T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AA247" i="5" s="1"/>
  <c r="C247" i="5"/>
  <c r="AG246" i="5"/>
  <c r="AF246" i="5"/>
  <c r="AE246" i="5"/>
  <c r="AD246" i="5"/>
  <c r="Z246" i="5"/>
  <c r="AC246" i="5" s="1"/>
  <c r="Y246" i="5"/>
  <c r="X246" i="5"/>
  <c r="U246" i="5"/>
  <c r="T246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AA246" i="5" s="1"/>
  <c r="C246" i="5"/>
  <c r="AG245" i="5"/>
  <c r="AF245" i="5"/>
  <c r="AE245" i="5"/>
  <c r="AD245" i="5"/>
  <c r="Z245" i="5"/>
  <c r="Y245" i="5"/>
  <c r="X245" i="5"/>
  <c r="AC245" i="5" s="1"/>
  <c r="U245" i="5"/>
  <c r="S245" i="5"/>
  <c r="T245" i="5" s="1"/>
  <c r="R245" i="5"/>
  <c r="Q245" i="5"/>
  <c r="P245" i="5"/>
  <c r="O245" i="5"/>
  <c r="N245" i="5"/>
  <c r="M245" i="5"/>
  <c r="L245" i="5"/>
  <c r="K245" i="5"/>
  <c r="J245" i="5"/>
  <c r="I245" i="5"/>
  <c r="H245" i="5"/>
  <c r="G245" i="5"/>
  <c r="AA245" i="5" s="1"/>
  <c r="C245" i="5"/>
  <c r="AG244" i="5"/>
  <c r="AF244" i="5"/>
  <c r="AE244" i="5"/>
  <c r="AD244" i="5"/>
  <c r="Y244" i="5"/>
  <c r="Z244" i="5" s="1"/>
  <c r="AB244" i="5" s="1"/>
  <c r="X244" i="5"/>
  <c r="U244" i="5"/>
  <c r="T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AA244" i="5" s="1"/>
  <c r="C244" i="5"/>
  <c r="AG243" i="5"/>
  <c r="AF243" i="5"/>
  <c r="AE243" i="5"/>
  <c r="AD243" i="5"/>
  <c r="Z243" i="5"/>
  <c r="AC243" i="5" s="1"/>
  <c r="Y243" i="5"/>
  <c r="X243" i="5"/>
  <c r="U243" i="5"/>
  <c r="T243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AA243" i="5" s="1"/>
  <c r="C243" i="5"/>
  <c r="AG242" i="5"/>
  <c r="AF242" i="5"/>
  <c r="AE242" i="5"/>
  <c r="AD242" i="5"/>
  <c r="Z242" i="5"/>
  <c r="Y242" i="5"/>
  <c r="X242" i="5"/>
  <c r="AC242" i="5" s="1"/>
  <c r="U242" i="5"/>
  <c r="S242" i="5"/>
  <c r="T242" i="5" s="1"/>
  <c r="R242" i="5"/>
  <c r="Q242" i="5"/>
  <c r="P242" i="5"/>
  <c r="O242" i="5"/>
  <c r="N242" i="5"/>
  <c r="M242" i="5"/>
  <c r="L242" i="5"/>
  <c r="K242" i="5"/>
  <c r="J242" i="5"/>
  <c r="I242" i="5"/>
  <c r="H242" i="5"/>
  <c r="G242" i="5"/>
  <c r="AA242" i="5" s="1"/>
  <c r="C242" i="5"/>
  <c r="AG241" i="5"/>
  <c r="AF241" i="5"/>
  <c r="AE241" i="5"/>
  <c r="AD241" i="5"/>
  <c r="Y241" i="5"/>
  <c r="Z241" i="5" s="1"/>
  <c r="X241" i="5"/>
  <c r="AC241" i="5" s="1"/>
  <c r="U241" i="5"/>
  <c r="T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AA241" i="5" s="1"/>
  <c r="C241" i="5"/>
  <c r="AG240" i="5"/>
  <c r="AF240" i="5"/>
  <c r="AE240" i="5"/>
  <c r="AO240" i="5" s="1"/>
  <c r="AD240" i="5"/>
  <c r="Z240" i="5"/>
  <c r="AB240" i="5" s="1"/>
  <c r="AH240" i="5" s="1"/>
  <c r="Y240" i="5"/>
  <c r="X240" i="5"/>
  <c r="AC240" i="5" s="1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AA240" i="5" s="1"/>
  <c r="C240" i="5"/>
  <c r="AG239" i="5"/>
  <c r="AF239" i="5"/>
  <c r="AE239" i="5"/>
  <c r="AD239" i="5"/>
  <c r="Z239" i="5"/>
  <c r="Y239" i="5"/>
  <c r="X239" i="5"/>
  <c r="AC239" i="5" s="1"/>
  <c r="U239" i="5"/>
  <c r="S239" i="5"/>
  <c r="T239" i="5" s="1"/>
  <c r="R239" i="5"/>
  <c r="Q239" i="5"/>
  <c r="P239" i="5"/>
  <c r="O239" i="5"/>
  <c r="N239" i="5"/>
  <c r="M239" i="5"/>
  <c r="L239" i="5"/>
  <c r="K239" i="5"/>
  <c r="J239" i="5"/>
  <c r="I239" i="5"/>
  <c r="H239" i="5"/>
  <c r="G239" i="5"/>
  <c r="AA239" i="5" s="1"/>
  <c r="C239" i="5"/>
  <c r="AG238" i="5"/>
  <c r="AF238" i="5"/>
  <c r="AE238" i="5"/>
  <c r="AD238" i="5"/>
  <c r="Y238" i="5"/>
  <c r="Z238" i="5" s="1"/>
  <c r="X238" i="5"/>
  <c r="AC238" i="5" s="1"/>
  <c r="U238" i="5"/>
  <c r="T238" i="5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AA238" i="5" s="1"/>
  <c r="C238" i="5"/>
  <c r="AG237" i="5"/>
  <c r="AF237" i="5"/>
  <c r="AE237" i="5"/>
  <c r="AD237" i="5"/>
  <c r="Z237" i="5"/>
  <c r="Y237" i="5"/>
  <c r="X237" i="5"/>
  <c r="AC237" i="5" s="1"/>
  <c r="U237" i="5"/>
  <c r="T237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AA237" i="5" s="1"/>
  <c r="C237" i="5"/>
  <c r="AG236" i="5"/>
  <c r="AF236" i="5"/>
  <c r="AE236" i="5"/>
  <c r="AD236" i="5"/>
  <c r="Z236" i="5"/>
  <c r="Y236" i="5"/>
  <c r="X236" i="5"/>
  <c r="AC236" i="5" s="1"/>
  <c r="U236" i="5"/>
  <c r="S236" i="5"/>
  <c r="T236" i="5" s="1"/>
  <c r="R236" i="5"/>
  <c r="Q236" i="5"/>
  <c r="P236" i="5"/>
  <c r="O236" i="5"/>
  <c r="N236" i="5"/>
  <c r="M236" i="5"/>
  <c r="L236" i="5"/>
  <c r="K236" i="5"/>
  <c r="J236" i="5"/>
  <c r="I236" i="5"/>
  <c r="H236" i="5"/>
  <c r="G236" i="5"/>
  <c r="AA236" i="5" s="1"/>
  <c r="AB236" i="5" s="1"/>
  <c r="C236" i="5"/>
  <c r="AG235" i="5"/>
  <c r="AF235" i="5"/>
  <c r="AE235" i="5"/>
  <c r="AD235" i="5"/>
  <c r="Z235" i="5"/>
  <c r="Y235" i="5"/>
  <c r="X235" i="5"/>
  <c r="U235" i="5"/>
  <c r="T235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AA235" i="5" s="1"/>
  <c r="C235" i="5"/>
  <c r="AG234" i="5"/>
  <c r="AF234" i="5"/>
  <c r="AE234" i="5"/>
  <c r="AD234" i="5"/>
  <c r="Z234" i="5"/>
  <c r="Y234" i="5"/>
  <c r="X234" i="5"/>
  <c r="U234" i="5"/>
  <c r="T234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AA234" i="5" s="1"/>
  <c r="C234" i="5"/>
  <c r="AG233" i="5"/>
  <c r="AF233" i="5"/>
  <c r="AE233" i="5"/>
  <c r="AD233" i="5"/>
  <c r="Z233" i="5"/>
  <c r="Y233" i="5"/>
  <c r="X233" i="5"/>
  <c r="AC233" i="5" s="1"/>
  <c r="U233" i="5"/>
  <c r="T233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AA233" i="5" s="1"/>
  <c r="C233" i="5"/>
  <c r="AG232" i="5"/>
  <c r="AF232" i="5"/>
  <c r="AE232" i="5"/>
  <c r="AD232" i="5"/>
  <c r="AM232" i="5" s="1"/>
  <c r="Z232" i="5"/>
  <c r="Y232" i="5"/>
  <c r="X232" i="5"/>
  <c r="AC232" i="5" s="1"/>
  <c r="U232" i="5"/>
  <c r="T232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AA232" i="5" s="1"/>
  <c r="AB232" i="5" s="1"/>
  <c r="AH232" i="5" s="1"/>
  <c r="C232" i="5"/>
  <c r="AG231" i="5"/>
  <c r="AF231" i="5"/>
  <c r="AE231" i="5"/>
  <c r="AD231" i="5"/>
  <c r="Z231" i="5"/>
  <c r="Y231" i="5"/>
  <c r="X231" i="5"/>
  <c r="AC231" i="5" s="1"/>
  <c r="U231" i="5"/>
  <c r="T231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AA231" i="5" s="1"/>
  <c r="C231" i="5"/>
  <c r="AN230" i="5"/>
  <c r="AG230" i="5"/>
  <c r="AF230" i="5"/>
  <c r="AE230" i="5"/>
  <c r="AK230" i="5" s="1"/>
  <c r="AD230" i="5"/>
  <c r="AM230" i="5" s="1"/>
  <c r="AB230" i="5"/>
  <c r="Z230" i="5"/>
  <c r="Y230" i="5"/>
  <c r="X230" i="5"/>
  <c r="AC230" i="5" s="1"/>
  <c r="U230" i="5"/>
  <c r="T230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AA230" i="5" s="1"/>
  <c r="C230" i="5"/>
  <c r="AG229" i="5"/>
  <c r="AF229" i="5"/>
  <c r="AE229" i="5"/>
  <c r="AK229" i="5" s="1"/>
  <c r="AD229" i="5"/>
  <c r="Z229" i="5"/>
  <c r="AB229" i="5" s="1"/>
  <c r="Y229" i="5"/>
  <c r="X229" i="5"/>
  <c r="U229" i="5"/>
  <c r="T229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AA229" i="5" s="1"/>
  <c r="C229" i="5"/>
  <c r="AG228" i="5"/>
  <c r="AF228" i="5"/>
  <c r="AE228" i="5"/>
  <c r="AD228" i="5"/>
  <c r="Z228" i="5"/>
  <c r="Y228" i="5"/>
  <c r="X228" i="5"/>
  <c r="U228" i="5"/>
  <c r="T228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AA228" i="5" s="1"/>
  <c r="C228" i="5"/>
  <c r="AG227" i="5"/>
  <c r="AF227" i="5"/>
  <c r="AE227" i="5"/>
  <c r="AD227" i="5"/>
  <c r="Y227" i="5"/>
  <c r="Z227" i="5" s="1"/>
  <c r="X227" i="5"/>
  <c r="U227" i="5"/>
  <c r="T227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AA227" i="5" s="1"/>
  <c r="C227" i="5"/>
  <c r="AG226" i="5"/>
  <c r="AF226" i="5"/>
  <c r="AE226" i="5"/>
  <c r="AD226" i="5"/>
  <c r="AM226" i="5" s="1"/>
  <c r="Z226" i="5"/>
  <c r="Y226" i="5"/>
  <c r="X226" i="5"/>
  <c r="AC226" i="5" s="1"/>
  <c r="AL226" i="5" s="1"/>
  <c r="U226" i="5"/>
  <c r="T226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AA226" i="5" s="1"/>
  <c r="AB226" i="5" s="1"/>
  <c r="AH226" i="5" s="1"/>
  <c r="C226" i="5"/>
  <c r="AG225" i="5"/>
  <c r="AF225" i="5"/>
  <c r="AE225" i="5"/>
  <c r="AD225" i="5"/>
  <c r="Y225" i="5"/>
  <c r="Z225" i="5" s="1"/>
  <c r="X225" i="5"/>
  <c r="U225" i="5"/>
  <c r="S225" i="5"/>
  <c r="T225" i="5" s="1"/>
  <c r="R225" i="5"/>
  <c r="Q225" i="5"/>
  <c r="P225" i="5"/>
  <c r="O225" i="5"/>
  <c r="N225" i="5"/>
  <c r="M225" i="5"/>
  <c r="L225" i="5"/>
  <c r="K225" i="5"/>
  <c r="J225" i="5"/>
  <c r="I225" i="5"/>
  <c r="H225" i="5"/>
  <c r="G225" i="5"/>
  <c r="AA225" i="5" s="1"/>
  <c r="C225" i="5"/>
  <c r="AG224" i="5"/>
  <c r="AF224" i="5"/>
  <c r="AE224" i="5"/>
  <c r="AD224" i="5"/>
  <c r="Y224" i="5"/>
  <c r="Z224" i="5" s="1"/>
  <c r="AB224" i="5" s="1"/>
  <c r="AH224" i="5" s="1"/>
  <c r="X224" i="5"/>
  <c r="AC224" i="5" s="1"/>
  <c r="AN224" i="5" s="1"/>
  <c r="U224" i="5"/>
  <c r="S224" i="5"/>
  <c r="T224" i="5" s="1"/>
  <c r="R224" i="5"/>
  <c r="Q224" i="5"/>
  <c r="P224" i="5"/>
  <c r="O224" i="5"/>
  <c r="N224" i="5"/>
  <c r="M224" i="5"/>
  <c r="L224" i="5"/>
  <c r="K224" i="5"/>
  <c r="J224" i="5"/>
  <c r="I224" i="5"/>
  <c r="H224" i="5"/>
  <c r="G224" i="5"/>
  <c r="AA224" i="5" s="1"/>
  <c r="C224" i="5"/>
  <c r="AG223" i="5"/>
  <c r="AF223" i="5"/>
  <c r="AE223" i="5"/>
  <c r="AD223" i="5"/>
  <c r="Z223" i="5"/>
  <c r="AC223" i="5" s="1"/>
  <c r="Y223" i="5"/>
  <c r="X223" i="5"/>
  <c r="U223" i="5"/>
  <c r="S223" i="5"/>
  <c r="T223" i="5" s="1"/>
  <c r="R223" i="5"/>
  <c r="Q223" i="5"/>
  <c r="P223" i="5"/>
  <c r="O223" i="5"/>
  <c r="N223" i="5"/>
  <c r="M223" i="5"/>
  <c r="L223" i="5"/>
  <c r="K223" i="5"/>
  <c r="J223" i="5"/>
  <c r="I223" i="5"/>
  <c r="H223" i="5"/>
  <c r="G223" i="5"/>
  <c r="AA223" i="5" s="1"/>
  <c r="C223" i="5"/>
  <c r="AG222" i="5"/>
  <c r="AF222" i="5"/>
  <c r="AE222" i="5"/>
  <c r="AD222" i="5"/>
  <c r="Y222" i="5"/>
  <c r="Z222" i="5" s="1"/>
  <c r="X222" i="5"/>
  <c r="U222" i="5"/>
  <c r="S222" i="5"/>
  <c r="T222" i="5" s="1"/>
  <c r="R222" i="5"/>
  <c r="Q222" i="5"/>
  <c r="P222" i="5"/>
  <c r="O222" i="5"/>
  <c r="N222" i="5"/>
  <c r="M222" i="5"/>
  <c r="L222" i="5"/>
  <c r="K222" i="5"/>
  <c r="J222" i="5"/>
  <c r="I222" i="5"/>
  <c r="H222" i="5"/>
  <c r="G222" i="5"/>
  <c r="AA222" i="5" s="1"/>
  <c r="C222" i="5"/>
  <c r="AG221" i="5"/>
  <c r="AF221" i="5"/>
  <c r="AE221" i="5"/>
  <c r="AD221" i="5"/>
  <c r="Y221" i="5"/>
  <c r="Z221" i="5" s="1"/>
  <c r="X221" i="5"/>
  <c r="U221" i="5"/>
  <c r="T221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AA221" i="5" s="1"/>
  <c r="C221" i="5"/>
  <c r="AG220" i="5"/>
  <c r="AF220" i="5"/>
  <c r="AE220" i="5"/>
  <c r="AD220" i="5"/>
  <c r="Z220" i="5"/>
  <c r="AC220" i="5" s="1"/>
  <c r="Y220" i="5"/>
  <c r="X220" i="5"/>
  <c r="U220" i="5"/>
  <c r="S220" i="5"/>
  <c r="T220" i="5" s="1"/>
  <c r="R220" i="5"/>
  <c r="Q220" i="5"/>
  <c r="P220" i="5"/>
  <c r="O220" i="5"/>
  <c r="N220" i="5"/>
  <c r="M220" i="5"/>
  <c r="L220" i="5"/>
  <c r="K220" i="5"/>
  <c r="J220" i="5"/>
  <c r="I220" i="5"/>
  <c r="H220" i="5"/>
  <c r="G220" i="5"/>
  <c r="AA220" i="5" s="1"/>
  <c r="C220" i="5"/>
  <c r="AG219" i="5"/>
  <c r="AF219" i="5"/>
  <c r="AE219" i="5"/>
  <c r="AD219" i="5"/>
  <c r="Y219" i="5"/>
  <c r="Z219" i="5" s="1"/>
  <c r="X219" i="5"/>
  <c r="AC219" i="5" s="1"/>
  <c r="U219" i="5"/>
  <c r="S219" i="5"/>
  <c r="T219" i="5" s="1"/>
  <c r="R219" i="5"/>
  <c r="Q219" i="5"/>
  <c r="P219" i="5"/>
  <c r="O219" i="5"/>
  <c r="N219" i="5"/>
  <c r="M219" i="5"/>
  <c r="L219" i="5"/>
  <c r="K219" i="5"/>
  <c r="J219" i="5"/>
  <c r="I219" i="5"/>
  <c r="H219" i="5"/>
  <c r="G219" i="5"/>
  <c r="AA219" i="5" s="1"/>
  <c r="C219" i="5"/>
  <c r="AN218" i="5"/>
  <c r="AG218" i="5"/>
  <c r="AF218" i="5"/>
  <c r="AE218" i="5"/>
  <c r="AD218" i="5"/>
  <c r="AB218" i="5"/>
  <c r="Y218" i="5"/>
  <c r="Z218" i="5" s="1"/>
  <c r="AC218" i="5" s="1"/>
  <c r="X218" i="5"/>
  <c r="U218" i="5"/>
  <c r="T218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AA218" i="5" s="1"/>
  <c r="C218" i="5"/>
  <c r="AG217" i="5"/>
  <c r="AF217" i="5"/>
  <c r="AE217" i="5"/>
  <c r="AD217" i="5"/>
  <c r="Z217" i="5"/>
  <c r="AC217" i="5" s="1"/>
  <c r="Y217" i="5"/>
  <c r="X217" i="5"/>
  <c r="U217" i="5"/>
  <c r="S217" i="5"/>
  <c r="T217" i="5" s="1"/>
  <c r="R217" i="5"/>
  <c r="Q217" i="5"/>
  <c r="P217" i="5"/>
  <c r="O217" i="5"/>
  <c r="N217" i="5"/>
  <c r="M217" i="5"/>
  <c r="L217" i="5"/>
  <c r="K217" i="5"/>
  <c r="J217" i="5"/>
  <c r="I217" i="5"/>
  <c r="H217" i="5"/>
  <c r="G217" i="5"/>
  <c r="AA217" i="5" s="1"/>
  <c r="C217" i="5"/>
  <c r="AG216" i="5"/>
  <c r="AF216" i="5"/>
  <c r="AE216" i="5"/>
  <c r="AD216" i="5"/>
  <c r="Y216" i="5"/>
  <c r="Z216" i="5" s="1"/>
  <c r="X216" i="5"/>
  <c r="U216" i="5"/>
  <c r="S216" i="5"/>
  <c r="T216" i="5" s="1"/>
  <c r="R216" i="5"/>
  <c r="Q216" i="5"/>
  <c r="P216" i="5"/>
  <c r="O216" i="5"/>
  <c r="N216" i="5"/>
  <c r="M216" i="5"/>
  <c r="L216" i="5"/>
  <c r="K216" i="5"/>
  <c r="J216" i="5"/>
  <c r="I216" i="5"/>
  <c r="H216" i="5"/>
  <c r="G216" i="5"/>
  <c r="AA216" i="5" s="1"/>
  <c r="C216" i="5"/>
  <c r="AG215" i="5"/>
  <c r="AF215" i="5"/>
  <c r="AE215" i="5"/>
  <c r="AD215" i="5"/>
  <c r="Y215" i="5"/>
  <c r="Z215" i="5" s="1"/>
  <c r="AC215" i="5" s="1"/>
  <c r="X215" i="5"/>
  <c r="U215" i="5"/>
  <c r="T215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AA215" i="5" s="1"/>
  <c r="C215" i="5"/>
  <c r="AG214" i="5"/>
  <c r="AF214" i="5"/>
  <c r="AE214" i="5"/>
  <c r="AD214" i="5"/>
  <c r="Z214" i="5"/>
  <c r="Y214" i="5"/>
  <c r="X214" i="5"/>
  <c r="U214" i="5"/>
  <c r="S214" i="5"/>
  <c r="T214" i="5" s="1"/>
  <c r="R214" i="5"/>
  <c r="Q214" i="5"/>
  <c r="P214" i="5"/>
  <c r="O214" i="5"/>
  <c r="N214" i="5"/>
  <c r="M214" i="5"/>
  <c r="L214" i="5"/>
  <c r="K214" i="5"/>
  <c r="J214" i="5"/>
  <c r="I214" i="5"/>
  <c r="H214" i="5"/>
  <c r="G214" i="5"/>
  <c r="AA214" i="5" s="1"/>
  <c r="C214" i="5"/>
  <c r="AG213" i="5"/>
  <c r="AF213" i="5"/>
  <c r="AE213" i="5"/>
  <c r="AD213" i="5"/>
  <c r="AC213" i="5"/>
  <c r="AA213" i="5"/>
  <c r="Y213" i="5"/>
  <c r="Z213" i="5" s="1"/>
  <c r="X213" i="5"/>
  <c r="U213" i="5"/>
  <c r="S213" i="5"/>
  <c r="T213" i="5" s="1"/>
  <c r="R213" i="5"/>
  <c r="Q213" i="5"/>
  <c r="P213" i="5"/>
  <c r="O213" i="5"/>
  <c r="N213" i="5"/>
  <c r="M213" i="5"/>
  <c r="L213" i="5"/>
  <c r="K213" i="5"/>
  <c r="J213" i="5"/>
  <c r="I213" i="5"/>
  <c r="H213" i="5"/>
  <c r="G213" i="5"/>
  <c r="C213" i="5"/>
  <c r="AG212" i="5"/>
  <c r="AF212" i="5"/>
  <c r="AE212" i="5"/>
  <c r="AD212" i="5"/>
  <c r="Y212" i="5"/>
  <c r="Z212" i="5" s="1"/>
  <c r="AB212" i="5" s="1"/>
  <c r="X212" i="5"/>
  <c r="U212" i="5"/>
  <c r="T212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AA212" i="5" s="1"/>
  <c r="C212" i="5"/>
  <c r="AG211" i="5"/>
  <c r="AF211" i="5"/>
  <c r="AE211" i="5"/>
  <c r="AD211" i="5"/>
  <c r="Z211" i="5"/>
  <c r="Y211" i="5"/>
  <c r="X211" i="5"/>
  <c r="AC211" i="5" s="1"/>
  <c r="U211" i="5"/>
  <c r="T211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AA211" i="5" s="1"/>
  <c r="AB211" i="5" s="1"/>
  <c r="AN211" i="5" s="1"/>
  <c r="C211" i="5"/>
  <c r="AG210" i="5"/>
  <c r="AF210" i="5"/>
  <c r="AE210" i="5"/>
  <c r="AD210" i="5"/>
  <c r="Z210" i="5"/>
  <c r="Y210" i="5"/>
  <c r="X210" i="5"/>
  <c r="U210" i="5"/>
  <c r="S210" i="5"/>
  <c r="T210" i="5" s="1"/>
  <c r="R210" i="5"/>
  <c r="Q210" i="5"/>
  <c r="P210" i="5"/>
  <c r="O210" i="5"/>
  <c r="N210" i="5"/>
  <c r="M210" i="5"/>
  <c r="L210" i="5"/>
  <c r="K210" i="5"/>
  <c r="J210" i="5"/>
  <c r="I210" i="5"/>
  <c r="H210" i="5"/>
  <c r="G210" i="5"/>
  <c r="AA210" i="5" s="1"/>
  <c r="C210" i="5"/>
  <c r="AG209" i="5"/>
  <c r="AF209" i="5"/>
  <c r="AE209" i="5"/>
  <c r="AD209" i="5"/>
  <c r="AA209" i="5"/>
  <c r="Z209" i="5"/>
  <c r="Y209" i="5"/>
  <c r="X209" i="5"/>
  <c r="U209" i="5"/>
  <c r="T209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C209" i="5"/>
  <c r="AH208" i="5"/>
  <c r="AG208" i="5"/>
  <c r="AF208" i="5"/>
  <c r="AO208" i="5" s="1"/>
  <c r="AE208" i="5"/>
  <c r="AD208" i="5"/>
  <c r="AI208" i="5" s="1"/>
  <c r="AC208" i="5"/>
  <c r="AM208" i="5" s="1"/>
  <c r="AB208" i="5"/>
  <c r="AA208" i="5"/>
  <c r="Z208" i="5"/>
  <c r="Y208" i="5"/>
  <c r="X208" i="5"/>
  <c r="U208" i="5"/>
  <c r="T208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C208" i="5"/>
  <c r="AG207" i="5"/>
  <c r="AF207" i="5"/>
  <c r="AE207" i="5"/>
  <c r="AD207" i="5"/>
  <c r="AA207" i="5"/>
  <c r="Z207" i="5"/>
  <c r="Y207" i="5"/>
  <c r="X207" i="5"/>
  <c r="AC207" i="5" s="1"/>
  <c r="U207" i="5"/>
  <c r="T207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C207" i="5"/>
  <c r="AG206" i="5"/>
  <c r="AF206" i="5"/>
  <c r="AE206" i="5"/>
  <c r="AD206" i="5"/>
  <c r="Y206" i="5"/>
  <c r="Z206" i="5" s="1"/>
  <c r="X206" i="5"/>
  <c r="U206" i="5"/>
  <c r="T206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AA206" i="5" s="1"/>
  <c r="C206" i="5"/>
  <c r="AG205" i="5"/>
  <c r="AF205" i="5"/>
  <c r="AE205" i="5"/>
  <c r="AK205" i="5" s="1"/>
  <c r="AD205" i="5"/>
  <c r="AM205" i="5" s="1"/>
  <c r="AB205" i="5"/>
  <c r="Z205" i="5"/>
  <c r="Y205" i="5"/>
  <c r="X205" i="5"/>
  <c r="AC205" i="5" s="1"/>
  <c r="AL205" i="5" s="1"/>
  <c r="U205" i="5"/>
  <c r="T205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AA205" i="5" s="1"/>
  <c r="C205" i="5"/>
  <c r="AG204" i="5"/>
  <c r="AF204" i="5"/>
  <c r="AE204" i="5"/>
  <c r="AD204" i="5"/>
  <c r="Z204" i="5"/>
  <c r="Y204" i="5"/>
  <c r="X204" i="5"/>
  <c r="AC204" i="5" s="1"/>
  <c r="U204" i="5"/>
  <c r="S204" i="5"/>
  <c r="T204" i="5" s="1"/>
  <c r="R204" i="5"/>
  <c r="Q204" i="5"/>
  <c r="P204" i="5"/>
  <c r="O204" i="5"/>
  <c r="N204" i="5"/>
  <c r="M204" i="5"/>
  <c r="L204" i="5"/>
  <c r="K204" i="5"/>
  <c r="J204" i="5"/>
  <c r="I204" i="5"/>
  <c r="H204" i="5"/>
  <c r="G204" i="5"/>
  <c r="AA204" i="5" s="1"/>
  <c r="C204" i="5"/>
  <c r="AG203" i="5"/>
  <c r="AF203" i="5"/>
  <c r="AE203" i="5"/>
  <c r="AD203" i="5"/>
  <c r="AA203" i="5"/>
  <c r="Z203" i="5"/>
  <c r="Y203" i="5"/>
  <c r="X203" i="5"/>
  <c r="U203" i="5"/>
  <c r="T203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C203" i="5"/>
  <c r="AH202" i="5"/>
  <c r="AG202" i="5"/>
  <c r="AF202" i="5"/>
  <c r="AO202" i="5" s="1"/>
  <c r="AE202" i="5"/>
  <c r="AD202" i="5"/>
  <c r="AM202" i="5" s="1"/>
  <c r="AC202" i="5"/>
  <c r="AL202" i="5" s="1"/>
  <c r="AB202" i="5"/>
  <c r="AA202" i="5"/>
  <c r="Z202" i="5"/>
  <c r="Y202" i="5"/>
  <c r="X202" i="5"/>
  <c r="U202" i="5"/>
  <c r="T202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C202" i="5"/>
  <c r="AG201" i="5"/>
  <c r="AF201" i="5"/>
  <c r="AE201" i="5"/>
  <c r="AD201" i="5"/>
  <c r="AA201" i="5"/>
  <c r="Z201" i="5"/>
  <c r="Y201" i="5"/>
  <c r="X201" i="5"/>
  <c r="AC201" i="5" s="1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C201" i="5"/>
  <c r="AG200" i="5"/>
  <c r="AF200" i="5"/>
  <c r="AE200" i="5"/>
  <c r="AD200" i="5"/>
  <c r="Y200" i="5"/>
  <c r="Z200" i="5" s="1"/>
  <c r="AB200" i="5" s="1"/>
  <c r="X200" i="5"/>
  <c r="AC200" i="5" s="1"/>
  <c r="U200" i="5"/>
  <c r="T200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AA200" i="5" s="1"/>
  <c r="C200" i="5"/>
  <c r="AG199" i="5"/>
  <c r="AF199" i="5"/>
  <c r="AE199" i="5"/>
  <c r="AD199" i="5"/>
  <c r="Z199" i="5"/>
  <c r="Y199" i="5"/>
  <c r="X199" i="5"/>
  <c r="AC199" i="5" s="1"/>
  <c r="U199" i="5"/>
  <c r="T199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AA199" i="5" s="1"/>
  <c r="AB199" i="5" s="1"/>
  <c r="C199" i="5"/>
  <c r="AG198" i="5"/>
  <c r="AF198" i="5"/>
  <c r="AE198" i="5"/>
  <c r="AD198" i="5"/>
  <c r="Z198" i="5"/>
  <c r="Y198" i="5"/>
  <c r="X198" i="5"/>
  <c r="AC198" i="5" s="1"/>
  <c r="U198" i="5"/>
  <c r="S198" i="5"/>
  <c r="T198" i="5" s="1"/>
  <c r="R198" i="5"/>
  <c r="Q198" i="5"/>
  <c r="P198" i="5"/>
  <c r="O198" i="5"/>
  <c r="N198" i="5"/>
  <c r="M198" i="5"/>
  <c r="L198" i="5"/>
  <c r="K198" i="5"/>
  <c r="J198" i="5"/>
  <c r="I198" i="5"/>
  <c r="H198" i="5"/>
  <c r="G198" i="5"/>
  <c r="AA198" i="5" s="1"/>
  <c r="C198" i="5"/>
  <c r="AG197" i="5"/>
  <c r="AF197" i="5"/>
  <c r="AE197" i="5"/>
  <c r="AD197" i="5"/>
  <c r="AA197" i="5"/>
  <c r="Z197" i="5"/>
  <c r="Y197" i="5"/>
  <c r="X197" i="5"/>
  <c r="U197" i="5"/>
  <c r="T197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C197" i="5"/>
  <c r="AH196" i="5"/>
  <c r="AG196" i="5"/>
  <c r="AF196" i="5"/>
  <c r="AO196" i="5" s="1"/>
  <c r="AE196" i="5"/>
  <c r="AD196" i="5"/>
  <c r="AM196" i="5" s="1"/>
  <c r="AC196" i="5"/>
  <c r="AL196" i="5" s="1"/>
  <c r="AB196" i="5"/>
  <c r="AA196" i="5"/>
  <c r="Z196" i="5"/>
  <c r="Y196" i="5"/>
  <c r="X196" i="5"/>
  <c r="U196" i="5"/>
  <c r="T196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C196" i="5"/>
  <c r="AG195" i="5"/>
  <c r="AF195" i="5"/>
  <c r="AE195" i="5"/>
  <c r="AD195" i="5"/>
  <c r="AA195" i="5"/>
  <c r="Z195" i="5"/>
  <c r="Y195" i="5"/>
  <c r="X195" i="5"/>
  <c r="AC195" i="5" s="1"/>
  <c r="U195" i="5"/>
  <c r="T195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C195" i="5"/>
  <c r="AG194" i="5"/>
  <c r="AF194" i="5"/>
  <c r="AE194" i="5"/>
  <c r="AD194" i="5"/>
  <c r="Y194" i="5"/>
  <c r="Z194" i="5" s="1"/>
  <c r="AB194" i="5" s="1"/>
  <c r="X194" i="5"/>
  <c r="U194" i="5"/>
  <c r="T194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AA194" i="5" s="1"/>
  <c r="C194" i="5"/>
  <c r="AG193" i="5"/>
  <c r="AF193" i="5"/>
  <c r="AE193" i="5"/>
  <c r="AD193" i="5"/>
  <c r="Z193" i="5"/>
  <c r="Y193" i="5"/>
  <c r="X193" i="5"/>
  <c r="AC193" i="5" s="1"/>
  <c r="U193" i="5"/>
  <c r="T193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AA193" i="5" s="1"/>
  <c r="AB193" i="5" s="1"/>
  <c r="C193" i="5"/>
  <c r="AG192" i="5"/>
  <c r="AF192" i="5"/>
  <c r="AE192" i="5"/>
  <c r="AD192" i="5"/>
  <c r="Z192" i="5"/>
  <c r="Y192" i="5"/>
  <c r="X192" i="5"/>
  <c r="U192" i="5"/>
  <c r="S192" i="5"/>
  <c r="T192" i="5" s="1"/>
  <c r="R192" i="5"/>
  <c r="Q192" i="5"/>
  <c r="P192" i="5"/>
  <c r="O192" i="5"/>
  <c r="N192" i="5"/>
  <c r="M192" i="5"/>
  <c r="L192" i="5"/>
  <c r="K192" i="5"/>
  <c r="J192" i="5"/>
  <c r="I192" i="5"/>
  <c r="H192" i="5"/>
  <c r="G192" i="5"/>
  <c r="AA192" i="5" s="1"/>
  <c r="C192" i="5"/>
  <c r="AG191" i="5"/>
  <c r="AF191" i="5"/>
  <c r="AE191" i="5"/>
  <c r="AD191" i="5"/>
  <c r="AA191" i="5"/>
  <c r="Z191" i="5"/>
  <c r="Y191" i="5"/>
  <c r="X191" i="5"/>
  <c r="U191" i="5"/>
  <c r="T191" i="5"/>
  <c r="S191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C191" i="5"/>
  <c r="AH190" i="5"/>
  <c r="AG190" i="5"/>
  <c r="AF190" i="5"/>
  <c r="AO190" i="5" s="1"/>
  <c r="AE190" i="5"/>
  <c r="AD190" i="5"/>
  <c r="AM190" i="5" s="1"/>
  <c r="AC190" i="5"/>
  <c r="AL190" i="5" s="1"/>
  <c r="AB190" i="5"/>
  <c r="AA190" i="5"/>
  <c r="Z190" i="5"/>
  <c r="Y190" i="5"/>
  <c r="X190" i="5"/>
  <c r="U190" i="5"/>
  <c r="T190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C190" i="5"/>
  <c r="AG189" i="5"/>
  <c r="AF189" i="5"/>
  <c r="AE189" i="5"/>
  <c r="AD189" i="5"/>
  <c r="AA189" i="5"/>
  <c r="Z189" i="5"/>
  <c r="Y189" i="5"/>
  <c r="X189" i="5"/>
  <c r="AC189" i="5" s="1"/>
  <c r="U189" i="5"/>
  <c r="T189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C189" i="5"/>
  <c r="AG188" i="5"/>
  <c r="AF188" i="5"/>
  <c r="AE188" i="5"/>
  <c r="AD188" i="5"/>
  <c r="Y188" i="5"/>
  <c r="Z188" i="5" s="1"/>
  <c r="X188" i="5"/>
  <c r="AC188" i="5" s="1"/>
  <c r="U188" i="5"/>
  <c r="T188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AA188" i="5" s="1"/>
  <c r="C188" i="5"/>
  <c r="AG187" i="5"/>
  <c r="AF187" i="5"/>
  <c r="AE187" i="5"/>
  <c r="AD187" i="5"/>
  <c r="AM187" i="5" s="1"/>
  <c r="Z187" i="5"/>
  <c r="Y187" i="5"/>
  <c r="X187" i="5"/>
  <c r="AC187" i="5" s="1"/>
  <c r="U187" i="5"/>
  <c r="T187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AA187" i="5" s="1"/>
  <c r="AB187" i="5" s="1"/>
  <c r="C187" i="5"/>
  <c r="AG186" i="5"/>
  <c r="AF186" i="5"/>
  <c r="AE186" i="5"/>
  <c r="AD186" i="5"/>
  <c r="Z186" i="5"/>
  <c r="Y186" i="5"/>
  <c r="X186" i="5"/>
  <c r="AC186" i="5" s="1"/>
  <c r="U186" i="5"/>
  <c r="S186" i="5"/>
  <c r="T186" i="5" s="1"/>
  <c r="R186" i="5"/>
  <c r="Q186" i="5"/>
  <c r="P186" i="5"/>
  <c r="O186" i="5"/>
  <c r="N186" i="5"/>
  <c r="M186" i="5"/>
  <c r="L186" i="5"/>
  <c r="K186" i="5"/>
  <c r="J186" i="5"/>
  <c r="I186" i="5"/>
  <c r="H186" i="5"/>
  <c r="G186" i="5"/>
  <c r="AA186" i="5" s="1"/>
  <c r="C186" i="5"/>
  <c r="AG185" i="5"/>
  <c r="AF185" i="5"/>
  <c r="AE185" i="5"/>
  <c r="AD185" i="5"/>
  <c r="AA185" i="5"/>
  <c r="Z185" i="5"/>
  <c r="Y185" i="5"/>
  <c r="X185" i="5"/>
  <c r="U185" i="5"/>
  <c r="T185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C185" i="5"/>
  <c r="AH184" i="5"/>
  <c r="AG184" i="5"/>
  <c r="AF184" i="5"/>
  <c r="AO184" i="5" s="1"/>
  <c r="AE184" i="5"/>
  <c r="AD184" i="5"/>
  <c r="AC184" i="5"/>
  <c r="Z184" i="5"/>
  <c r="Y184" i="5"/>
  <c r="X184" i="5"/>
  <c r="U184" i="5"/>
  <c r="T184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AA184" i="5" s="1"/>
  <c r="AB184" i="5" s="1"/>
  <c r="C184" i="5"/>
  <c r="AG183" i="5"/>
  <c r="AF183" i="5"/>
  <c r="AE183" i="5"/>
  <c r="AD183" i="5"/>
  <c r="AA183" i="5"/>
  <c r="Z183" i="5"/>
  <c r="Y183" i="5"/>
  <c r="X183" i="5"/>
  <c r="AC183" i="5" s="1"/>
  <c r="U183" i="5"/>
  <c r="T183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C183" i="5"/>
  <c r="AG182" i="5"/>
  <c r="AF182" i="5"/>
  <c r="AE182" i="5"/>
  <c r="AD182" i="5"/>
  <c r="Y182" i="5"/>
  <c r="Z182" i="5" s="1"/>
  <c r="X182" i="5"/>
  <c r="AC182" i="5" s="1"/>
  <c r="U182" i="5"/>
  <c r="T182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AA182" i="5" s="1"/>
  <c r="C182" i="5"/>
  <c r="AG181" i="5"/>
  <c r="AF181" i="5"/>
  <c r="AE181" i="5"/>
  <c r="AD181" i="5"/>
  <c r="AM181" i="5" s="1"/>
  <c r="Z181" i="5"/>
  <c r="Y181" i="5"/>
  <c r="X181" i="5"/>
  <c r="AC181" i="5" s="1"/>
  <c r="AN181" i="5" s="1"/>
  <c r="U181" i="5"/>
  <c r="T181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AA181" i="5" s="1"/>
  <c r="AB181" i="5" s="1"/>
  <c r="C181" i="5"/>
  <c r="AG180" i="5"/>
  <c r="AF180" i="5"/>
  <c r="AE180" i="5"/>
  <c r="AD180" i="5"/>
  <c r="Z180" i="5"/>
  <c r="Y180" i="5"/>
  <c r="X180" i="5"/>
  <c r="AC180" i="5" s="1"/>
  <c r="U180" i="5"/>
  <c r="S180" i="5"/>
  <c r="T180" i="5" s="1"/>
  <c r="R180" i="5"/>
  <c r="Q180" i="5"/>
  <c r="P180" i="5"/>
  <c r="O180" i="5"/>
  <c r="N180" i="5"/>
  <c r="M180" i="5"/>
  <c r="L180" i="5"/>
  <c r="K180" i="5"/>
  <c r="J180" i="5"/>
  <c r="I180" i="5"/>
  <c r="H180" i="5"/>
  <c r="G180" i="5"/>
  <c r="AA180" i="5" s="1"/>
  <c r="C180" i="5"/>
  <c r="AG179" i="5"/>
  <c r="AF179" i="5"/>
  <c r="AE179" i="5"/>
  <c r="AD179" i="5"/>
  <c r="AA179" i="5"/>
  <c r="Z179" i="5"/>
  <c r="Y179" i="5"/>
  <c r="X179" i="5"/>
  <c r="U179" i="5"/>
  <c r="T179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C179" i="5"/>
  <c r="AH178" i="5"/>
  <c r="AG178" i="5"/>
  <c r="AF178" i="5"/>
  <c r="AO178" i="5" s="1"/>
  <c r="AE178" i="5"/>
  <c r="AD178" i="5"/>
  <c r="AC178" i="5"/>
  <c r="Z178" i="5"/>
  <c r="Y178" i="5"/>
  <c r="X178" i="5"/>
  <c r="U178" i="5"/>
  <c r="T178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AA178" i="5" s="1"/>
  <c r="AB178" i="5" s="1"/>
  <c r="C178" i="5"/>
  <c r="AG177" i="5"/>
  <c r="AF177" i="5"/>
  <c r="AE177" i="5"/>
  <c r="AD177" i="5"/>
  <c r="AA177" i="5"/>
  <c r="Z177" i="5"/>
  <c r="Y177" i="5"/>
  <c r="X177" i="5"/>
  <c r="AC177" i="5" s="1"/>
  <c r="U177" i="5"/>
  <c r="T177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C177" i="5"/>
  <c r="AG176" i="5"/>
  <c r="AF176" i="5"/>
  <c r="AE176" i="5"/>
  <c r="AD176" i="5"/>
  <c r="Y176" i="5"/>
  <c r="Z176" i="5" s="1"/>
  <c r="X176" i="5"/>
  <c r="AC176" i="5" s="1"/>
  <c r="U176" i="5"/>
  <c r="T176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AA176" i="5" s="1"/>
  <c r="C176" i="5"/>
  <c r="AG175" i="5"/>
  <c r="AF175" i="5"/>
  <c r="AE175" i="5"/>
  <c r="AD175" i="5"/>
  <c r="AM175" i="5" s="1"/>
  <c r="Z175" i="5"/>
  <c r="Y175" i="5"/>
  <c r="X175" i="5"/>
  <c r="AC175" i="5" s="1"/>
  <c r="AN175" i="5" s="1"/>
  <c r="U175" i="5"/>
  <c r="T175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AA175" i="5" s="1"/>
  <c r="AB175" i="5" s="1"/>
  <c r="C175" i="5"/>
  <c r="AG174" i="5"/>
  <c r="AF174" i="5"/>
  <c r="AE174" i="5"/>
  <c r="AD174" i="5"/>
  <c r="Z174" i="5"/>
  <c r="Y174" i="5"/>
  <c r="X174" i="5"/>
  <c r="AC174" i="5" s="1"/>
  <c r="U174" i="5"/>
  <c r="S174" i="5"/>
  <c r="T174" i="5" s="1"/>
  <c r="R174" i="5"/>
  <c r="Q174" i="5"/>
  <c r="P174" i="5"/>
  <c r="O174" i="5"/>
  <c r="N174" i="5"/>
  <c r="M174" i="5"/>
  <c r="L174" i="5"/>
  <c r="K174" i="5"/>
  <c r="J174" i="5"/>
  <c r="I174" i="5"/>
  <c r="H174" i="5"/>
  <c r="G174" i="5"/>
  <c r="AA174" i="5" s="1"/>
  <c r="C174" i="5"/>
  <c r="AG173" i="5"/>
  <c r="AF173" i="5"/>
  <c r="AE173" i="5"/>
  <c r="AD173" i="5"/>
  <c r="AA173" i="5"/>
  <c r="Z173" i="5"/>
  <c r="Y173" i="5"/>
  <c r="X173" i="5"/>
  <c r="U173" i="5"/>
  <c r="T173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C173" i="5"/>
  <c r="AG172" i="5"/>
  <c r="AF172" i="5"/>
  <c r="AE172" i="5"/>
  <c r="AD172" i="5"/>
  <c r="AC172" i="5"/>
  <c r="Z172" i="5"/>
  <c r="Y172" i="5"/>
  <c r="X172" i="5"/>
  <c r="U172" i="5"/>
  <c r="T172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AA172" i="5" s="1"/>
  <c r="AB172" i="5" s="1"/>
  <c r="AH172" i="5" s="1"/>
  <c r="C172" i="5"/>
  <c r="AG171" i="5"/>
  <c r="AF171" i="5"/>
  <c r="AE171" i="5"/>
  <c r="AD171" i="5"/>
  <c r="AA171" i="5"/>
  <c r="Z171" i="5"/>
  <c r="Y171" i="5"/>
  <c r="X171" i="5"/>
  <c r="AC171" i="5" s="1"/>
  <c r="U171" i="5"/>
  <c r="T171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C171" i="5"/>
  <c r="AG170" i="5"/>
  <c r="AF170" i="5"/>
  <c r="AE170" i="5"/>
  <c r="AD170" i="5"/>
  <c r="Y170" i="5"/>
  <c r="Z170" i="5" s="1"/>
  <c r="AB170" i="5" s="1"/>
  <c r="X170" i="5"/>
  <c r="U170" i="5"/>
  <c r="T170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AA170" i="5" s="1"/>
  <c r="C170" i="5"/>
  <c r="AG169" i="5"/>
  <c r="AF169" i="5"/>
  <c r="AE169" i="5"/>
  <c r="AD169" i="5"/>
  <c r="Z169" i="5"/>
  <c r="Y169" i="5"/>
  <c r="X169" i="5"/>
  <c r="U169" i="5"/>
  <c r="T169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AA169" i="5" s="1"/>
  <c r="AB169" i="5" s="1"/>
  <c r="C169" i="5"/>
  <c r="AG168" i="5"/>
  <c r="AF168" i="5"/>
  <c r="AE168" i="5"/>
  <c r="AD168" i="5"/>
  <c r="Z168" i="5"/>
  <c r="Y168" i="5"/>
  <c r="X168" i="5"/>
  <c r="U168" i="5"/>
  <c r="S168" i="5"/>
  <c r="T168" i="5" s="1"/>
  <c r="R168" i="5"/>
  <c r="Q168" i="5"/>
  <c r="P168" i="5"/>
  <c r="O168" i="5"/>
  <c r="N168" i="5"/>
  <c r="M168" i="5"/>
  <c r="L168" i="5"/>
  <c r="K168" i="5"/>
  <c r="J168" i="5"/>
  <c r="I168" i="5"/>
  <c r="H168" i="5"/>
  <c r="G168" i="5"/>
  <c r="AA168" i="5" s="1"/>
  <c r="C168" i="5"/>
  <c r="AG167" i="5"/>
  <c r="AF167" i="5"/>
  <c r="AE167" i="5"/>
  <c r="AD167" i="5"/>
  <c r="AA167" i="5"/>
  <c r="Z167" i="5"/>
  <c r="Y167" i="5"/>
  <c r="X167" i="5"/>
  <c r="U167" i="5"/>
  <c r="T167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C167" i="5"/>
  <c r="AH166" i="5"/>
  <c r="AG166" i="5"/>
  <c r="AF166" i="5"/>
  <c r="AE166" i="5"/>
  <c r="AD166" i="5"/>
  <c r="AM166" i="5" s="1"/>
  <c r="AC166" i="5"/>
  <c r="AL166" i="5" s="1"/>
  <c r="AB166" i="5"/>
  <c r="AA166" i="5"/>
  <c r="Z166" i="5"/>
  <c r="Y166" i="5"/>
  <c r="X166" i="5"/>
  <c r="U166" i="5"/>
  <c r="T166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C166" i="5"/>
  <c r="AG165" i="5"/>
  <c r="AF165" i="5"/>
  <c r="AE165" i="5"/>
  <c r="AD165" i="5"/>
  <c r="AA165" i="5"/>
  <c r="Z165" i="5"/>
  <c r="Y165" i="5"/>
  <c r="X165" i="5"/>
  <c r="AC165" i="5" s="1"/>
  <c r="U165" i="5"/>
  <c r="T165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C165" i="5"/>
  <c r="AG164" i="5"/>
  <c r="AF164" i="5"/>
  <c r="AE164" i="5"/>
  <c r="AD164" i="5"/>
  <c r="Y164" i="5"/>
  <c r="Z164" i="5" s="1"/>
  <c r="AB164" i="5" s="1"/>
  <c r="X164" i="5"/>
  <c r="U164" i="5"/>
  <c r="T164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AA164" i="5" s="1"/>
  <c r="C164" i="5"/>
  <c r="AG163" i="5"/>
  <c r="AF163" i="5"/>
  <c r="AE163" i="5"/>
  <c r="AD163" i="5"/>
  <c r="AB163" i="5"/>
  <c r="Z163" i="5"/>
  <c r="Y163" i="5"/>
  <c r="X163" i="5"/>
  <c r="U163" i="5"/>
  <c r="T163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AA163" i="5" s="1"/>
  <c r="C163" i="5"/>
  <c r="AG162" i="5"/>
  <c r="AF162" i="5"/>
  <c r="AE162" i="5"/>
  <c r="AD162" i="5"/>
  <c r="Z162" i="5"/>
  <c r="Y162" i="5"/>
  <c r="X162" i="5"/>
  <c r="U162" i="5"/>
  <c r="S162" i="5"/>
  <c r="T162" i="5" s="1"/>
  <c r="R162" i="5"/>
  <c r="Q162" i="5"/>
  <c r="P162" i="5"/>
  <c r="O162" i="5"/>
  <c r="N162" i="5"/>
  <c r="M162" i="5"/>
  <c r="L162" i="5"/>
  <c r="K162" i="5"/>
  <c r="J162" i="5"/>
  <c r="I162" i="5"/>
  <c r="H162" i="5"/>
  <c r="G162" i="5"/>
  <c r="AA162" i="5" s="1"/>
  <c r="C162" i="5"/>
  <c r="AG161" i="5"/>
  <c r="AF161" i="5"/>
  <c r="AE161" i="5"/>
  <c r="AD161" i="5"/>
  <c r="AA161" i="5"/>
  <c r="Z161" i="5"/>
  <c r="Y161" i="5"/>
  <c r="X161" i="5"/>
  <c r="U161" i="5"/>
  <c r="T161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C161" i="5"/>
  <c r="AH160" i="5"/>
  <c r="AG160" i="5"/>
  <c r="AF160" i="5"/>
  <c r="AE160" i="5"/>
  <c r="AD160" i="5"/>
  <c r="AM160" i="5" s="1"/>
  <c r="AC160" i="5"/>
  <c r="AL160" i="5" s="1"/>
  <c r="AB160" i="5"/>
  <c r="AA160" i="5"/>
  <c r="Z160" i="5"/>
  <c r="Y160" i="5"/>
  <c r="X160" i="5"/>
  <c r="U160" i="5"/>
  <c r="T160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C160" i="5"/>
  <c r="AG159" i="5"/>
  <c r="AF159" i="5"/>
  <c r="AE159" i="5"/>
  <c r="AD159" i="5"/>
  <c r="AA159" i="5"/>
  <c r="Z159" i="5"/>
  <c r="Y159" i="5"/>
  <c r="X159" i="5"/>
  <c r="AC159" i="5" s="1"/>
  <c r="U159" i="5"/>
  <c r="T159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C159" i="5"/>
  <c r="AG158" i="5"/>
  <c r="AF158" i="5"/>
  <c r="AE158" i="5"/>
  <c r="AD158" i="5"/>
  <c r="Y158" i="5"/>
  <c r="Z158" i="5" s="1"/>
  <c r="AB158" i="5" s="1"/>
  <c r="X158" i="5"/>
  <c r="U158" i="5"/>
  <c r="T158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AA158" i="5" s="1"/>
  <c r="C158" i="5"/>
  <c r="AG157" i="5"/>
  <c r="AF157" i="5"/>
  <c r="AE157" i="5"/>
  <c r="AK157" i="5" s="1"/>
  <c r="AD157" i="5"/>
  <c r="AB157" i="5"/>
  <c r="Z157" i="5"/>
  <c r="Y157" i="5"/>
  <c r="X157" i="5"/>
  <c r="AC157" i="5" s="1"/>
  <c r="AL157" i="5" s="1"/>
  <c r="U157" i="5"/>
  <c r="T157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AA157" i="5" s="1"/>
  <c r="C157" i="5"/>
  <c r="AG156" i="5"/>
  <c r="AF156" i="5"/>
  <c r="AE156" i="5"/>
  <c r="AD156" i="5"/>
  <c r="Z156" i="5"/>
  <c r="Y156" i="5"/>
  <c r="X156" i="5"/>
  <c r="U156" i="5"/>
  <c r="S156" i="5"/>
  <c r="T156" i="5" s="1"/>
  <c r="R156" i="5"/>
  <c r="Q156" i="5"/>
  <c r="P156" i="5"/>
  <c r="O156" i="5"/>
  <c r="N156" i="5"/>
  <c r="M156" i="5"/>
  <c r="L156" i="5"/>
  <c r="K156" i="5"/>
  <c r="J156" i="5"/>
  <c r="I156" i="5"/>
  <c r="H156" i="5"/>
  <c r="G156" i="5"/>
  <c r="AA156" i="5" s="1"/>
  <c r="C156" i="5"/>
  <c r="AG155" i="5"/>
  <c r="AF155" i="5"/>
  <c r="AE155" i="5"/>
  <c r="AD155" i="5"/>
  <c r="AA155" i="5"/>
  <c r="Z155" i="5"/>
  <c r="Y155" i="5"/>
  <c r="X155" i="5"/>
  <c r="U155" i="5"/>
  <c r="T155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C155" i="5"/>
  <c r="AH154" i="5"/>
  <c r="AG154" i="5"/>
  <c r="AF154" i="5"/>
  <c r="AE154" i="5"/>
  <c r="AD154" i="5"/>
  <c r="AM154" i="5" s="1"/>
  <c r="AC154" i="5"/>
  <c r="AL154" i="5" s="1"/>
  <c r="AB154" i="5"/>
  <c r="AA154" i="5"/>
  <c r="Z154" i="5"/>
  <c r="Y154" i="5"/>
  <c r="X154" i="5"/>
  <c r="U154" i="5"/>
  <c r="T154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C154" i="5"/>
  <c r="AG153" i="5"/>
  <c r="AF153" i="5"/>
  <c r="AE153" i="5"/>
  <c r="AD153" i="5"/>
  <c r="AA153" i="5"/>
  <c r="Z153" i="5"/>
  <c r="Y153" i="5"/>
  <c r="X153" i="5"/>
  <c r="AC153" i="5" s="1"/>
  <c r="U153" i="5"/>
  <c r="T153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C153" i="5"/>
  <c r="AG152" i="5"/>
  <c r="AF152" i="5"/>
  <c r="AE152" i="5"/>
  <c r="AD152" i="5"/>
  <c r="Y152" i="5"/>
  <c r="Z152" i="5" s="1"/>
  <c r="X152" i="5"/>
  <c r="U152" i="5"/>
  <c r="T152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AA152" i="5" s="1"/>
  <c r="AB152" i="5" s="1"/>
  <c r="C152" i="5"/>
  <c r="AG151" i="5"/>
  <c r="AF151" i="5"/>
  <c r="AE151" i="5"/>
  <c r="AK151" i="5" s="1"/>
  <c r="AD151" i="5"/>
  <c r="Z151" i="5"/>
  <c r="Y151" i="5"/>
  <c r="X151" i="5"/>
  <c r="AC151" i="5" s="1"/>
  <c r="AN151" i="5" s="1"/>
  <c r="U151" i="5"/>
  <c r="T151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AA151" i="5" s="1"/>
  <c r="AB151" i="5" s="1"/>
  <c r="C151" i="5"/>
  <c r="AG150" i="5"/>
  <c r="AF150" i="5"/>
  <c r="AE150" i="5"/>
  <c r="AD150" i="5"/>
  <c r="Z150" i="5"/>
  <c r="Y150" i="5"/>
  <c r="X150" i="5"/>
  <c r="U150" i="5"/>
  <c r="S150" i="5"/>
  <c r="T150" i="5" s="1"/>
  <c r="R150" i="5"/>
  <c r="Q150" i="5"/>
  <c r="P150" i="5"/>
  <c r="O150" i="5"/>
  <c r="N150" i="5"/>
  <c r="M150" i="5"/>
  <c r="L150" i="5"/>
  <c r="K150" i="5"/>
  <c r="J150" i="5"/>
  <c r="I150" i="5"/>
  <c r="H150" i="5"/>
  <c r="G150" i="5"/>
  <c r="AA150" i="5" s="1"/>
  <c r="C150" i="5"/>
  <c r="AG149" i="5"/>
  <c r="AF149" i="5"/>
  <c r="AE149" i="5"/>
  <c r="AD149" i="5"/>
  <c r="AA149" i="5"/>
  <c r="Z149" i="5"/>
  <c r="Y149" i="5"/>
  <c r="X149" i="5"/>
  <c r="U149" i="5"/>
  <c r="T149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C149" i="5"/>
  <c r="AH148" i="5"/>
  <c r="AG148" i="5"/>
  <c r="AF148" i="5"/>
  <c r="AE148" i="5"/>
  <c r="AD148" i="5"/>
  <c r="AM148" i="5" s="1"/>
  <c r="AC148" i="5"/>
  <c r="AL148" i="5" s="1"/>
  <c r="AB148" i="5"/>
  <c r="AA148" i="5"/>
  <c r="Z148" i="5"/>
  <c r="Y148" i="5"/>
  <c r="X148" i="5"/>
  <c r="U148" i="5"/>
  <c r="T148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C148" i="5"/>
  <c r="AG147" i="5"/>
  <c r="AF147" i="5"/>
  <c r="AE147" i="5"/>
  <c r="AD147" i="5"/>
  <c r="AA147" i="5"/>
  <c r="Z147" i="5"/>
  <c r="Y147" i="5"/>
  <c r="X147" i="5"/>
  <c r="AC147" i="5" s="1"/>
  <c r="U147" i="5"/>
  <c r="T147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C147" i="5"/>
  <c r="AG146" i="5"/>
  <c r="AF146" i="5"/>
  <c r="AE146" i="5"/>
  <c r="AD146" i="5"/>
  <c r="Y146" i="5"/>
  <c r="Z146" i="5" s="1"/>
  <c r="AB146" i="5" s="1"/>
  <c r="X146" i="5"/>
  <c r="U146" i="5"/>
  <c r="T146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AA146" i="5" s="1"/>
  <c r="C146" i="5"/>
  <c r="AG145" i="5"/>
  <c r="AF145" i="5"/>
  <c r="AE145" i="5"/>
  <c r="AD145" i="5"/>
  <c r="Z145" i="5"/>
  <c r="AB145" i="5" s="1"/>
  <c r="Y145" i="5"/>
  <c r="X145" i="5"/>
  <c r="U145" i="5"/>
  <c r="T145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AA145" i="5" s="1"/>
  <c r="C145" i="5"/>
  <c r="AG144" i="5"/>
  <c r="AF144" i="5"/>
  <c r="AE144" i="5"/>
  <c r="AD144" i="5"/>
  <c r="Z144" i="5"/>
  <c r="Y144" i="5"/>
  <c r="X144" i="5"/>
  <c r="U144" i="5"/>
  <c r="S144" i="5"/>
  <c r="T144" i="5" s="1"/>
  <c r="R144" i="5"/>
  <c r="Q144" i="5"/>
  <c r="P144" i="5"/>
  <c r="O144" i="5"/>
  <c r="N144" i="5"/>
  <c r="M144" i="5"/>
  <c r="L144" i="5"/>
  <c r="K144" i="5"/>
  <c r="J144" i="5"/>
  <c r="I144" i="5"/>
  <c r="H144" i="5"/>
  <c r="G144" i="5"/>
  <c r="AA144" i="5" s="1"/>
  <c r="C144" i="5"/>
  <c r="AG143" i="5"/>
  <c r="AF143" i="5"/>
  <c r="AE143" i="5"/>
  <c r="AD143" i="5"/>
  <c r="AA143" i="5"/>
  <c r="Z143" i="5"/>
  <c r="Y143" i="5"/>
  <c r="X143" i="5"/>
  <c r="U143" i="5"/>
  <c r="T143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C143" i="5"/>
  <c r="AH142" i="5"/>
  <c r="AG142" i="5"/>
  <c r="AF142" i="5"/>
  <c r="AE142" i="5"/>
  <c r="AD142" i="5"/>
  <c r="AM142" i="5" s="1"/>
  <c r="AC142" i="5"/>
  <c r="AB142" i="5"/>
  <c r="AA142" i="5"/>
  <c r="Z142" i="5"/>
  <c r="Y142" i="5"/>
  <c r="X142" i="5"/>
  <c r="U142" i="5"/>
  <c r="T142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C142" i="5"/>
  <c r="AG141" i="5"/>
  <c r="AF141" i="5"/>
  <c r="AE141" i="5"/>
  <c r="AD141" i="5"/>
  <c r="AA141" i="5"/>
  <c r="Z141" i="5"/>
  <c r="Y141" i="5"/>
  <c r="X141" i="5"/>
  <c r="U141" i="5"/>
  <c r="T141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C141" i="5"/>
  <c r="AG140" i="5"/>
  <c r="AF140" i="5"/>
  <c r="AE140" i="5"/>
  <c r="AD140" i="5"/>
  <c r="Y140" i="5"/>
  <c r="Z140" i="5" s="1"/>
  <c r="X140" i="5"/>
  <c r="AC140" i="5" s="1"/>
  <c r="U140" i="5"/>
  <c r="T140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AA140" i="5" s="1"/>
  <c r="AB140" i="5" s="1"/>
  <c r="C140" i="5"/>
  <c r="AG139" i="5"/>
  <c r="AF139" i="5"/>
  <c r="AE139" i="5"/>
  <c r="AK139" i="5" s="1"/>
  <c r="AD139" i="5"/>
  <c r="AB139" i="5"/>
  <c r="AI139" i="5" s="1"/>
  <c r="Z139" i="5"/>
  <c r="Y139" i="5"/>
  <c r="X139" i="5"/>
  <c r="AC139" i="5" s="1"/>
  <c r="U139" i="5"/>
  <c r="T139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AA139" i="5" s="1"/>
  <c r="C139" i="5"/>
  <c r="AG138" i="5"/>
  <c r="AF138" i="5"/>
  <c r="AE138" i="5"/>
  <c r="AD138" i="5"/>
  <c r="Z138" i="5"/>
  <c r="Y138" i="5"/>
  <c r="X138" i="5"/>
  <c r="U138" i="5"/>
  <c r="S138" i="5"/>
  <c r="T138" i="5" s="1"/>
  <c r="R138" i="5"/>
  <c r="Q138" i="5"/>
  <c r="P138" i="5"/>
  <c r="O138" i="5"/>
  <c r="N138" i="5"/>
  <c r="M138" i="5"/>
  <c r="L138" i="5"/>
  <c r="K138" i="5"/>
  <c r="J138" i="5"/>
  <c r="I138" i="5"/>
  <c r="H138" i="5"/>
  <c r="G138" i="5"/>
  <c r="AA138" i="5" s="1"/>
  <c r="C138" i="5"/>
  <c r="AG137" i="5"/>
  <c r="AF137" i="5"/>
  <c r="AE137" i="5"/>
  <c r="AD137" i="5"/>
  <c r="AA137" i="5"/>
  <c r="Z137" i="5"/>
  <c r="Y137" i="5"/>
  <c r="X137" i="5"/>
  <c r="U137" i="5"/>
  <c r="T137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C137" i="5"/>
  <c r="AG136" i="5"/>
  <c r="AF136" i="5"/>
  <c r="AE136" i="5"/>
  <c r="AD136" i="5"/>
  <c r="AC136" i="5"/>
  <c r="Z136" i="5"/>
  <c r="Y136" i="5"/>
  <c r="X136" i="5"/>
  <c r="U136" i="5"/>
  <c r="T136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AA136" i="5" s="1"/>
  <c r="AB136" i="5" s="1"/>
  <c r="AH136" i="5" s="1"/>
  <c r="C136" i="5"/>
  <c r="AG135" i="5"/>
  <c r="AF135" i="5"/>
  <c r="AE135" i="5"/>
  <c r="AD135" i="5"/>
  <c r="AA135" i="5"/>
  <c r="Z135" i="5"/>
  <c r="Y135" i="5"/>
  <c r="X135" i="5"/>
  <c r="U135" i="5"/>
  <c r="T135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C135" i="5"/>
  <c r="AG134" i="5"/>
  <c r="AF134" i="5"/>
  <c r="AE134" i="5"/>
  <c r="AD134" i="5"/>
  <c r="Y134" i="5"/>
  <c r="Z134" i="5" s="1"/>
  <c r="AB134" i="5" s="1"/>
  <c r="X134" i="5"/>
  <c r="U134" i="5"/>
  <c r="T134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AA134" i="5" s="1"/>
  <c r="C134" i="5"/>
  <c r="AG133" i="5"/>
  <c r="AF133" i="5"/>
  <c r="AE133" i="5"/>
  <c r="AD133" i="5"/>
  <c r="Z133" i="5"/>
  <c r="AB133" i="5" s="1"/>
  <c r="Y133" i="5"/>
  <c r="X133" i="5"/>
  <c r="U133" i="5"/>
  <c r="T133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AA133" i="5" s="1"/>
  <c r="C133" i="5"/>
  <c r="AG132" i="5"/>
  <c r="AF132" i="5"/>
  <c r="AE132" i="5"/>
  <c r="AD132" i="5"/>
  <c r="Z132" i="5"/>
  <c r="Y132" i="5"/>
  <c r="X132" i="5"/>
  <c r="U132" i="5"/>
  <c r="S132" i="5"/>
  <c r="T132" i="5" s="1"/>
  <c r="R132" i="5"/>
  <c r="Q132" i="5"/>
  <c r="P132" i="5"/>
  <c r="O132" i="5"/>
  <c r="N132" i="5"/>
  <c r="M132" i="5"/>
  <c r="L132" i="5"/>
  <c r="K132" i="5"/>
  <c r="J132" i="5"/>
  <c r="I132" i="5"/>
  <c r="H132" i="5"/>
  <c r="G132" i="5"/>
  <c r="AA132" i="5" s="1"/>
  <c r="C132" i="5"/>
  <c r="AG131" i="5"/>
  <c r="AF131" i="5"/>
  <c r="AE131" i="5"/>
  <c r="AD131" i="5"/>
  <c r="AA131" i="5"/>
  <c r="Z131" i="5"/>
  <c r="Y131" i="5"/>
  <c r="X131" i="5"/>
  <c r="AC131" i="5" s="1"/>
  <c r="U131" i="5"/>
  <c r="T131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C131" i="5"/>
  <c r="AN130" i="5"/>
  <c r="AL130" i="5"/>
  <c r="AG130" i="5"/>
  <c r="AF130" i="5"/>
  <c r="AE130" i="5"/>
  <c r="AD130" i="5"/>
  <c r="AM130" i="5" s="1"/>
  <c r="AC130" i="5"/>
  <c r="AO130" i="5" s="1"/>
  <c r="AB130" i="5"/>
  <c r="AH130" i="5" s="1"/>
  <c r="Z130" i="5"/>
  <c r="Y130" i="5"/>
  <c r="X130" i="5"/>
  <c r="U130" i="5"/>
  <c r="T130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AA130" i="5" s="1"/>
  <c r="C130" i="5"/>
  <c r="AG129" i="5"/>
  <c r="AF129" i="5"/>
  <c r="AE129" i="5"/>
  <c r="AD129" i="5"/>
  <c r="AA129" i="5"/>
  <c r="Z129" i="5"/>
  <c r="Y129" i="5"/>
  <c r="X129" i="5"/>
  <c r="U129" i="5"/>
  <c r="T129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C129" i="5"/>
  <c r="AG128" i="5"/>
  <c r="AF128" i="5"/>
  <c r="AE128" i="5"/>
  <c r="AD128" i="5"/>
  <c r="Y128" i="5"/>
  <c r="Z128" i="5" s="1"/>
  <c r="X128" i="5"/>
  <c r="AC128" i="5" s="1"/>
  <c r="U128" i="5"/>
  <c r="T128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AA128" i="5" s="1"/>
  <c r="C128" i="5"/>
  <c r="AG127" i="5"/>
  <c r="AF127" i="5"/>
  <c r="AE127" i="5"/>
  <c r="AD127" i="5"/>
  <c r="Z127" i="5"/>
  <c r="Y127" i="5"/>
  <c r="X127" i="5"/>
  <c r="U127" i="5"/>
  <c r="T127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AA127" i="5" s="1"/>
  <c r="AB127" i="5" s="1"/>
  <c r="AH127" i="5" s="1"/>
  <c r="C127" i="5"/>
  <c r="AG126" i="5"/>
  <c r="AF126" i="5"/>
  <c r="AE126" i="5"/>
  <c r="AD126" i="5"/>
  <c r="Z126" i="5"/>
  <c r="Y126" i="5"/>
  <c r="X126" i="5"/>
  <c r="U126" i="5"/>
  <c r="S126" i="5"/>
  <c r="T126" i="5" s="1"/>
  <c r="R126" i="5"/>
  <c r="Q126" i="5"/>
  <c r="P126" i="5"/>
  <c r="O126" i="5"/>
  <c r="N126" i="5"/>
  <c r="M126" i="5"/>
  <c r="L126" i="5"/>
  <c r="K126" i="5"/>
  <c r="J126" i="5"/>
  <c r="I126" i="5"/>
  <c r="H126" i="5"/>
  <c r="G126" i="5"/>
  <c r="AA126" i="5" s="1"/>
  <c r="C126" i="5"/>
  <c r="AG125" i="5"/>
  <c r="AF125" i="5"/>
  <c r="AE125" i="5"/>
  <c r="AD125" i="5"/>
  <c r="AA125" i="5"/>
  <c r="Z125" i="5"/>
  <c r="Y125" i="5"/>
  <c r="X125" i="5"/>
  <c r="U125" i="5"/>
  <c r="T125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C125" i="5"/>
  <c r="AG124" i="5"/>
  <c r="AF124" i="5"/>
  <c r="AE124" i="5"/>
  <c r="AD124" i="5"/>
  <c r="Z124" i="5"/>
  <c r="AB124" i="5" s="1"/>
  <c r="AH124" i="5" s="1"/>
  <c r="Y124" i="5"/>
  <c r="X124" i="5"/>
  <c r="U124" i="5"/>
  <c r="T124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AA124" i="5" s="1"/>
  <c r="C124" i="5"/>
  <c r="AG123" i="5"/>
  <c r="AF123" i="5"/>
  <c r="AE123" i="5"/>
  <c r="AD123" i="5"/>
  <c r="AA123" i="5"/>
  <c r="Z123" i="5"/>
  <c r="Y123" i="5"/>
  <c r="X123" i="5"/>
  <c r="U123" i="5"/>
  <c r="T123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C123" i="5"/>
  <c r="AG122" i="5"/>
  <c r="AF122" i="5"/>
  <c r="AE122" i="5"/>
  <c r="AD122" i="5"/>
  <c r="Y122" i="5"/>
  <c r="Z122" i="5" s="1"/>
  <c r="AB122" i="5" s="1"/>
  <c r="AH122" i="5" s="1"/>
  <c r="X122" i="5"/>
  <c r="U122" i="5"/>
  <c r="T122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AA122" i="5" s="1"/>
  <c r="C122" i="5"/>
  <c r="AG121" i="5"/>
  <c r="AF121" i="5"/>
  <c r="AE121" i="5"/>
  <c r="AD121" i="5"/>
  <c r="Z121" i="5"/>
  <c r="AB121" i="5" s="1"/>
  <c r="Y121" i="5"/>
  <c r="X121" i="5"/>
  <c r="U121" i="5"/>
  <c r="T121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AA121" i="5" s="1"/>
  <c r="C121" i="5"/>
  <c r="AG120" i="5"/>
  <c r="AF120" i="5"/>
  <c r="AE120" i="5"/>
  <c r="AD120" i="5"/>
  <c r="Z120" i="5"/>
  <c r="Y120" i="5"/>
  <c r="X120" i="5"/>
  <c r="AC120" i="5" s="1"/>
  <c r="U120" i="5"/>
  <c r="S120" i="5"/>
  <c r="T120" i="5" s="1"/>
  <c r="R120" i="5"/>
  <c r="Q120" i="5"/>
  <c r="P120" i="5"/>
  <c r="O120" i="5"/>
  <c r="N120" i="5"/>
  <c r="M120" i="5"/>
  <c r="L120" i="5"/>
  <c r="K120" i="5"/>
  <c r="J120" i="5"/>
  <c r="I120" i="5"/>
  <c r="H120" i="5"/>
  <c r="G120" i="5"/>
  <c r="AA120" i="5" s="1"/>
  <c r="C120" i="5"/>
  <c r="AG119" i="5"/>
  <c r="AF119" i="5"/>
  <c r="AE119" i="5"/>
  <c r="AD119" i="5"/>
  <c r="AA119" i="5"/>
  <c r="Z119" i="5"/>
  <c r="Y119" i="5"/>
  <c r="X119" i="5"/>
  <c r="U119" i="5"/>
  <c r="T119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C119" i="5"/>
  <c r="AG118" i="5"/>
  <c r="AF118" i="5"/>
  <c r="AE118" i="5"/>
  <c r="AD118" i="5"/>
  <c r="Z118" i="5"/>
  <c r="Y118" i="5"/>
  <c r="X118" i="5"/>
  <c r="AC118" i="5" s="1"/>
  <c r="U118" i="5"/>
  <c r="T118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AA118" i="5" s="1"/>
  <c r="C118" i="5"/>
  <c r="AG117" i="5"/>
  <c r="AF117" i="5"/>
  <c r="AE117" i="5"/>
  <c r="AD117" i="5"/>
  <c r="AA117" i="5"/>
  <c r="Z117" i="5"/>
  <c r="Y117" i="5"/>
  <c r="X117" i="5"/>
  <c r="AB117" i="5" s="1"/>
  <c r="AH117" i="5" s="1"/>
  <c r="U117" i="5"/>
  <c r="T117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C117" i="5"/>
  <c r="AG116" i="5"/>
  <c r="AF116" i="5"/>
  <c r="AE116" i="5"/>
  <c r="AD116" i="5"/>
  <c r="Z116" i="5"/>
  <c r="Y116" i="5"/>
  <c r="X116" i="5"/>
  <c r="U116" i="5"/>
  <c r="T116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AA116" i="5" s="1"/>
  <c r="C116" i="5"/>
  <c r="AG115" i="5"/>
  <c r="AF115" i="5"/>
  <c r="AE115" i="5"/>
  <c r="AD115" i="5"/>
  <c r="Z115" i="5"/>
  <c r="Y115" i="5"/>
  <c r="X115" i="5"/>
  <c r="U115" i="5"/>
  <c r="T115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AA115" i="5" s="1"/>
  <c r="C115" i="5"/>
  <c r="AG114" i="5"/>
  <c r="AF114" i="5"/>
  <c r="AE114" i="5"/>
  <c r="AD114" i="5"/>
  <c r="Z114" i="5"/>
  <c r="Y114" i="5"/>
  <c r="X114" i="5"/>
  <c r="AC114" i="5" s="1"/>
  <c r="U114" i="5"/>
  <c r="S114" i="5"/>
  <c r="T114" i="5" s="1"/>
  <c r="R114" i="5"/>
  <c r="Q114" i="5"/>
  <c r="P114" i="5"/>
  <c r="O114" i="5"/>
  <c r="N114" i="5"/>
  <c r="M114" i="5"/>
  <c r="L114" i="5"/>
  <c r="K114" i="5"/>
  <c r="J114" i="5"/>
  <c r="I114" i="5"/>
  <c r="H114" i="5"/>
  <c r="G114" i="5"/>
  <c r="AA114" i="5" s="1"/>
  <c r="C114" i="5"/>
  <c r="AG113" i="5"/>
  <c r="AF113" i="5"/>
  <c r="AE113" i="5"/>
  <c r="AD113" i="5"/>
  <c r="AA113" i="5"/>
  <c r="Z113" i="5"/>
  <c r="Y113" i="5"/>
  <c r="X113" i="5"/>
  <c r="U113" i="5"/>
  <c r="T113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C113" i="5"/>
  <c r="AG112" i="5"/>
  <c r="AF112" i="5"/>
  <c r="AE112" i="5"/>
  <c r="AD112" i="5"/>
  <c r="Z112" i="5"/>
  <c r="Y112" i="5"/>
  <c r="X112" i="5"/>
  <c r="AC112" i="5" s="1"/>
  <c r="U112" i="5"/>
  <c r="T112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AA112" i="5" s="1"/>
  <c r="C112" i="5"/>
  <c r="AG111" i="5"/>
  <c r="AF111" i="5"/>
  <c r="AE111" i="5"/>
  <c r="AD111" i="5"/>
  <c r="AA111" i="5"/>
  <c r="Z111" i="5"/>
  <c r="Y111" i="5"/>
  <c r="X111" i="5"/>
  <c r="U111" i="5"/>
  <c r="T111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C111" i="5"/>
  <c r="AG110" i="5"/>
  <c r="AF110" i="5"/>
  <c r="AE110" i="5"/>
  <c r="AD110" i="5"/>
  <c r="Z110" i="5"/>
  <c r="Y110" i="5"/>
  <c r="X110" i="5"/>
  <c r="U110" i="5"/>
  <c r="T110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AA110" i="5" s="1"/>
  <c r="C110" i="5"/>
  <c r="AG109" i="5"/>
  <c r="AF109" i="5"/>
  <c r="AE109" i="5"/>
  <c r="AD109" i="5"/>
  <c r="Z109" i="5"/>
  <c r="Y109" i="5"/>
  <c r="X109" i="5"/>
  <c r="U109" i="5"/>
  <c r="T109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AA109" i="5" s="1"/>
  <c r="C109" i="5"/>
  <c r="AG108" i="5"/>
  <c r="AF108" i="5"/>
  <c r="AE108" i="5"/>
  <c r="AD108" i="5"/>
  <c r="Z108" i="5"/>
  <c r="Y108" i="5"/>
  <c r="X108" i="5"/>
  <c r="AC108" i="5" s="1"/>
  <c r="U108" i="5"/>
  <c r="S108" i="5"/>
  <c r="T108" i="5" s="1"/>
  <c r="R108" i="5"/>
  <c r="Q108" i="5"/>
  <c r="P108" i="5"/>
  <c r="O108" i="5"/>
  <c r="N108" i="5"/>
  <c r="M108" i="5"/>
  <c r="L108" i="5"/>
  <c r="K108" i="5"/>
  <c r="J108" i="5"/>
  <c r="I108" i="5"/>
  <c r="H108" i="5"/>
  <c r="G108" i="5"/>
  <c r="AA108" i="5" s="1"/>
  <c r="C108" i="5"/>
  <c r="AG107" i="5"/>
  <c r="AF107" i="5"/>
  <c r="AE107" i="5"/>
  <c r="AD107" i="5"/>
  <c r="AA107" i="5"/>
  <c r="Z107" i="5"/>
  <c r="Y107" i="5"/>
  <c r="X107" i="5"/>
  <c r="U107" i="5"/>
  <c r="T107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C107" i="5"/>
  <c r="AG106" i="5"/>
  <c r="AF106" i="5"/>
  <c r="AE106" i="5"/>
  <c r="AD106" i="5"/>
  <c r="Z106" i="5"/>
  <c r="AB106" i="5" s="1"/>
  <c r="AH106" i="5" s="1"/>
  <c r="Y106" i="5"/>
  <c r="X106" i="5"/>
  <c r="AC106" i="5" s="1"/>
  <c r="U106" i="5"/>
  <c r="T106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AA106" i="5" s="1"/>
  <c r="C106" i="5"/>
  <c r="AG105" i="5"/>
  <c r="AF105" i="5"/>
  <c r="AE105" i="5"/>
  <c r="AD105" i="5"/>
  <c r="AA105" i="5"/>
  <c r="Z105" i="5"/>
  <c r="Y105" i="5"/>
  <c r="X105" i="5"/>
  <c r="AB105" i="5" s="1"/>
  <c r="U105" i="5"/>
  <c r="T105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C105" i="5"/>
  <c r="AG104" i="5"/>
  <c r="AF104" i="5"/>
  <c r="AE104" i="5"/>
  <c r="AD104" i="5"/>
  <c r="Y104" i="5"/>
  <c r="Z104" i="5" s="1"/>
  <c r="X104" i="5"/>
  <c r="U104" i="5"/>
  <c r="T104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AA104" i="5" s="1"/>
  <c r="C104" i="5"/>
  <c r="AG103" i="5"/>
  <c r="AF103" i="5"/>
  <c r="AE103" i="5"/>
  <c r="AD103" i="5"/>
  <c r="AA103" i="5"/>
  <c r="Z103" i="5"/>
  <c r="Y103" i="5"/>
  <c r="X103" i="5"/>
  <c r="AC103" i="5" s="1"/>
  <c r="U103" i="5"/>
  <c r="T103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C103" i="5"/>
  <c r="AG102" i="5"/>
  <c r="AF102" i="5"/>
  <c r="AE102" i="5"/>
  <c r="AD102" i="5"/>
  <c r="Z102" i="5"/>
  <c r="AC102" i="5" s="1"/>
  <c r="Y102" i="5"/>
  <c r="X102" i="5"/>
  <c r="U102" i="5"/>
  <c r="S102" i="5"/>
  <c r="T102" i="5" s="1"/>
  <c r="R102" i="5"/>
  <c r="Q102" i="5"/>
  <c r="P102" i="5"/>
  <c r="O102" i="5"/>
  <c r="N102" i="5"/>
  <c r="M102" i="5"/>
  <c r="L102" i="5"/>
  <c r="K102" i="5"/>
  <c r="J102" i="5"/>
  <c r="I102" i="5"/>
  <c r="H102" i="5"/>
  <c r="G102" i="5"/>
  <c r="AA102" i="5" s="1"/>
  <c r="C102" i="5"/>
  <c r="AG101" i="5"/>
  <c r="AF101" i="5"/>
  <c r="AE101" i="5"/>
  <c r="AD101" i="5"/>
  <c r="AA101" i="5"/>
  <c r="Y101" i="5"/>
  <c r="Z101" i="5" s="1"/>
  <c r="X101" i="5"/>
  <c r="U101" i="5"/>
  <c r="T101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C101" i="5"/>
  <c r="AG100" i="5"/>
  <c r="AF100" i="5"/>
  <c r="AE100" i="5"/>
  <c r="AD100" i="5"/>
  <c r="AA100" i="5"/>
  <c r="Y100" i="5"/>
  <c r="Z100" i="5" s="1"/>
  <c r="X100" i="5"/>
  <c r="U100" i="5"/>
  <c r="T100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C100" i="5"/>
  <c r="AG99" i="5"/>
  <c r="AF99" i="5"/>
  <c r="AE99" i="5"/>
  <c r="AD99" i="5"/>
  <c r="AA99" i="5"/>
  <c r="Z99" i="5"/>
  <c r="AB99" i="5" s="1"/>
  <c r="Y99" i="5"/>
  <c r="X99" i="5"/>
  <c r="AC99" i="5" s="1"/>
  <c r="U99" i="5"/>
  <c r="S99" i="5"/>
  <c r="T99" i="5" s="1"/>
  <c r="R99" i="5"/>
  <c r="Q99" i="5"/>
  <c r="P99" i="5"/>
  <c r="O99" i="5"/>
  <c r="N99" i="5"/>
  <c r="M99" i="5"/>
  <c r="L99" i="5"/>
  <c r="K99" i="5"/>
  <c r="J99" i="5"/>
  <c r="I99" i="5"/>
  <c r="H99" i="5"/>
  <c r="G99" i="5"/>
  <c r="C99" i="5"/>
  <c r="AG98" i="5"/>
  <c r="AF98" i="5"/>
  <c r="AE98" i="5"/>
  <c r="AD98" i="5"/>
  <c r="Y98" i="5"/>
  <c r="Z98" i="5" s="1"/>
  <c r="X98" i="5"/>
  <c r="AC98" i="5" s="1"/>
  <c r="U98" i="5"/>
  <c r="S98" i="5"/>
  <c r="T98" i="5" s="1"/>
  <c r="R98" i="5"/>
  <c r="Q98" i="5"/>
  <c r="P98" i="5"/>
  <c r="O98" i="5"/>
  <c r="N98" i="5"/>
  <c r="M98" i="5"/>
  <c r="L98" i="5"/>
  <c r="K98" i="5"/>
  <c r="J98" i="5"/>
  <c r="I98" i="5"/>
  <c r="H98" i="5"/>
  <c r="G98" i="5"/>
  <c r="AA98" i="5" s="1"/>
  <c r="C98" i="5"/>
  <c r="AG97" i="5"/>
  <c r="AF97" i="5"/>
  <c r="AE97" i="5"/>
  <c r="AD97" i="5"/>
  <c r="AC97" i="5"/>
  <c r="AB97" i="5"/>
  <c r="Z97" i="5"/>
  <c r="Y97" i="5"/>
  <c r="X97" i="5"/>
  <c r="U97" i="5"/>
  <c r="T97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AA97" i="5" s="1"/>
  <c r="C97" i="5"/>
  <c r="AG96" i="5"/>
  <c r="AF96" i="5"/>
  <c r="AE96" i="5"/>
  <c r="AD96" i="5"/>
  <c r="Z96" i="5"/>
  <c r="AC96" i="5" s="1"/>
  <c r="Y96" i="5"/>
  <c r="X96" i="5"/>
  <c r="AB96" i="5" s="1"/>
  <c r="AH96" i="5" s="1"/>
  <c r="U96" i="5"/>
  <c r="S96" i="5"/>
  <c r="T96" i="5" s="1"/>
  <c r="R96" i="5"/>
  <c r="Q96" i="5"/>
  <c r="P96" i="5"/>
  <c r="O96" i="5"/>
  <c r="N96" i="5"/>
  <c r="M96" i="5"/>
  <c r="L96" i="5"/>
  <c r="K96" i="5"/>
  <c r="J96" i="5"/>
  <c r="I96" i="5"/>
  <c r="H96" i="5"/>
  <c r="G96" i="5"/>
  <c r="AA96" i="5" s="1"/>
  <c r="C96" i="5"/>
  <c r="AG95" i="5"/>
  <c r="AF95" i="5"/>
  <c r="AE95" i="5"/>
  <c r="AD95" i="5"/>
  <c r="AA95" i="5"/>
  <c r="Y95" i="5"/>
  <c r="Z95" i="5" s="1"/>
  <c r="X95" i="5"/>
  <c r="U95" i="5"/>
  <c r="T95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C95" i="5"/>
  <c r="AG94" i="5"/>
  <c r="AF94" i="5"/>
  <c r="AE94" i="5"/>
  <c r="AD94" i="5"/>
  <c r="AA94" i="5"/>
  <c r="Y94" i="5"/>
  <c r="Z94" i="5" s="1"/>
  <c r="X94" i="5"/>
  <c r="U94" i="5"/>
  <c r="T94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C94" i="5"/>
  <c r="AG93" i="5"/>
  <c r="AF93" i="5"/>
  <c r="AE93" i="5"/>
  <c r="AD93" i="5"/>
  <c r="AA93" i="5"/>
  <c r="Z93" i="5"/>
  <c r="AB93" i="5" s="1"/>
  <c r="Y93" i="5"/>
  <c r="X93" i="5"/>
  <c r="AC93" i="5" s="1"/>
  <c r="U93" i="5"/>
  <c r="S93" i="5"/>
  <c r="T93" i="5" s="1"/>
  <c r="R93" i="5"/>
  <c r="Q93" i="5"/>
  <c r="P93" i="5"/>
  <c r="O93" i="5"/>
  <c r="N93" i="5"/>
  <c r="M93" i="5"/>
  <c r="L93" i="5"/>
  <c r="K93" i="5"/>
  <c r="J93" i="5"/>
  <c r="I93" i="5"/>
  <c r="H93" i="5"/>
  <c r="G93" i="5"/>
  <c r="C93" i="5"/>
  <c r="AG92" i="5"/>
  <c r="AF92" i="5"/>
  <c r="AE92" i="5"/>
  <c r="AD92" i="5"/>
  <c r="Y92" i="5"/>
  <c r="Z92" i="5" s="1"/>
  <c r="X92" i="5"/>
  <c r="AC92" i="5" s="1"/>
  <c r="U92" i="5"/>
  <c r="S92" i="5"/>
  <c r="T92" i="5" s="1"/>
  <c r="R92" i="5"/>
  <c r="Q92" i="5"/>
  <c r="P92" i="5"/>
  <c r="O92" i="5"/>
  <c r="N92" i="5"/>
  <c r="M92" i="5"/>
  <c r="L92" i="5"/>
  <c r="K92" i="5"/>
  <c r="J92" i="5"/>
  <c r="I92" i="5"/>
  <c r="H92" i="5"/>
  <c r="G92" i="5"/>
  <c r="AA92" i="5" s="1"/>
  <c r="C92" i="5"/>
  <c r="AG91" i="5"/>
  <c r="AF91" i="5"/>
  <c r="AE91" i="5"/>
  <c r="AD91" i="5"/>
  <c r="AC91" i="5"/>
  <c r="Z91" i="5"/>
  <c r="Y91" i="5"/>
  <c r="X91" i="5"/>
  <c r="U91" i="5"/>
  <c r="T91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AA91" i="5" s="1"/>
  <c r="AB91" i="5" s="1"/>
  <c r="C91" i="5"/>
  <c r="AG90" i="5"/>
  <c r="AF90" i="5"/>
  <c r="AO90" i="5" s="1"/>
  <c r="AE90" i="5"/>
  <c r="AD90" i="5"/>
  <c r="Z90" i="5"/>
  <c r="AC90" i="5" s="1"/>
  <c r="Y90" i="5"/>
  <c r="X90" i="5"/>
  <c r="AB90" i="5" s="1"/>
  <c r="AH90" i="5" s="1"/>
  <c r="U90" i="5"/>
  <c r="S90" i="5"/>
  <c r="T90" i="5" s="1"/>
  <c r="R90" i="5"/>
  <c r="Q90" i="5"/>
  <c r="P90" i="5"/>
  <c r="O90" i="5"/>
  <c r="N90" i="5"/>
  <c r="M90" i="5"/>
  <c r="L90" i="5"/>
  <c r="K90" i="5"/>
  <c r="J90" i="5"/>
  <c r="I90" i="5"/>
  <c r="H90" i="5"/>
  <c r="G90" i="5"/>
  <c r="AA90" i="5" s="1"/>
  <c r="C90" i="5"/>
  <c r="AG89" i="5"/>
  <c r="AF89" i="5"/>
  <c r="AE89" i="5"/>
  <c r="AD89" i="5"/>
  <c r="AA89" i="5"/>
  <c r="Y89" i="5"/>
  <c r="Z89" i="5" s="1"/>
  <c r="X89" i="5"/>
  <c r="U89" i="5"/>
  <c r="T89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C89" i="5"/>
  <c r="AG88" i="5"/>
  <c r="AF88" i="5"/>
  <c r="AE88" i="5"/>
  <c r="AD88" i="5"/>
  <c r="AA88" i="5"/>
  <c r="Y88" i="5"/>
  <c r="Z88" i="5" s="1"/>
  <c r="X88" i="5"/>
  <c r="U88" i="5"/>
  <c r="T88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C88" i="5"/>
  <c r="AG87" i="5"/>
  <c r="AF87" i="5"/>
  <c r="AE87" i="5"/>
  <c r="AD87" i="5"/>
  <c r="AA87" i="5"/>
  <c r="Z87" i="5"/>
  <c r="AB87" i="5" s="1"/>
  <c r="Y87" i="5"/>
  <c r="X87" i="5"/>
  <c r="AC87" i="5" s="1"/>
  <c r="U87" i="5"/>
  <c r="S87" i="5"/>
  <c r="T87" i="5" s="1"/>
  <c r="R87" i="5"/>
  <c r="Q87" i="5"/>
  <c r="P87" i="5"/>
  <c r="O87" i="5"/>
  <c r="N87" i="5"/>
  <c r="M87" i="5"/>
  <c r="L87" i="5"/>
  <c r="K87" i="5"/>
  <c r="J87" i="5"/>
  <c r="I87" i="5"/>
  <c r="H87" i="5"/>
  <c r="G87" i="5"/>
  <c r="C87" i="5"/>
  <c r="AG86" i="5"/>
  <c r="AF86" i="5"/>
  <c r="AE86" i="5"/>
  <c r="AD86" i="5"/>
  <c r="Y86" i="5"/>
  <c r="Z86" i="5" s="1"/>
  <c r="X86" i="5"/>
  <c r="U86" i="5"/>
  <c r="S86" i="5"/>
  <c r="T86" i="5" s="1"/>
  <c r="R86" i="5"/>
  <c r="Q86" i="5"/>
  <c r="P86" i="5"/>
  <c r="O86" i="5"/>
  <c r="N86" i="5"/>
  <c r="M86" i="5"/>
  <c r="L86" i="5"/>
  <c r="K86" i="5"/>
  <c r="J86" i="5"/>
  <c r="I86" i="5"/>
  <c r="H86" i="5"/>
  <c r="G86" i="5"/>
  <c r="AA86" i="5" s="1"/>
  <c r="C86" i="5"/>
  <c r="AG85" i="5"/>
  <c r="AF85" i="5"/>
  <c r="AE85" i="5"/>
  <c r="AD85" i="5"/>
  <c r="AC85" i="5"/>
  <c r="Z85" i="5"/>
  <c r="Y85" i="5"/>
  <c r="X85" i="5"/>
  <c r="U85" i="5"/>
  <c r="T85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AA85" i="5" s="1"/>
  <c r="AB85" i="5" s="1"/>
  <c r="C85" i="5"/>
  <c r="AG84" i="5"/>
  <c r="AF84" i="5"/>
  <c r="AE84" i="5"/>
  <c r="AD84" i="5"/>
  <c r="Z84" i="5"/>
  <c r="AC84" i="5" s="1"/>
  <c r="Y84" i="5"/>
  <c r="X84" i="5"/>
  <c r="U84" i="5"/>
  <c r="S84" i="5"/>
  <c r="T84" i="5" s="1"/>
  <c r="R84" i="5"/>
  <c r="Q84" i="5"/>
  <c r="P84" i="5"/>
  <c r="O84" i="5"/>
  <c r="N84" i="5"/>
  <c r="M84" i="5"/>
  <c r="L84" i="5"/>
  <c r="K84" i="5"/>
  <c r="J84" i="5"/>
  <c r="I84" i="5"/>
  <c r="H84" i="5"/>
  <c r="G84" i="5"/>
  <c r="AA84" i="5" s="1"/>
  <c r="C84" i="5"/>
  <c r="AG83" i="5"/>
  <c r="AF83" i="5"/>
  <c r="AE83" i="5"/>
  <c r="AD83" i="5"/>
  <c r="AA83" i="5"/>
  <c r="Y83" i="5"/>
  <c r="Z83" i="5" s="1"/>
  <c r="X83" i="5"/>
  <c r="U83" i="5"/>
  <c r="T83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C83" i="5"/>
  <c r="AG82" i="5"/>
  <c r="AF82" i="5"/>
  <c r="AE82" i="5"/>
  <c r="AD82" i="5"/>
  <c r="AA82" i="5"/>
  <c r="Y82" i="5"/>
  <c r="Z82" i="5" s="1"/>
  <c r="X82" i="5"/>
  <c r="U82" i="5"/>
  <c r="T82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C82" i="5"/>
  <c r="AG81" i="5"/>
  <c r="AF81" i="5"/>
  <c r="AE81" i="5"/>
  <c r="AO81" i="5" s="1"/>
  <c r="AD81" i="5"/>
  <c r="AA81" i="5"/>
  <c r="Z81" i="5"/>
  <c r="AB81" i="5" s="1"/>
  <c r="Y81" i="5"/>
  <c r="X81" i="5"/>
  <c r="AC81" i="5" s="1"/>
  <c r="U81" i="5"/>
  <c r="S81" i="5"/>
  <c r="T81" i="5" s="1"/>
  <c r="R81" i="5"/>
  <c r="Q81" i="5"/>
  <c r="P81" i="5"/>
  <c r="O81" i="5"/>
  <c r="N81" i="5"/>
  <c r="M81" i="5"/>
  <c r="L81" i="5"/>
  <c r="K81" i="5"/>
  <c r="J81" i="5"/>
  <c r="I81" i="5"/>
  <c r="H81" i="5"/>
  <c r="G81" i="5"/>
  <c r="C81" i="5"/>
  <c r="AG80" i="5"/>
  <c r="AF80" i="5"/>
  <c r="AE80" i="5"/>
  <c r="AD80" i="5"/>
  <c r="Y80" i="5"/>
  <c r="Z80" i="5" s="1"/>
  <c r="X80" i="5"/>
  <c r="U80" i="5"/>
  <c r="S80" i="5"/>
  <c r="T80" i="5" s="1"/>
  <c r="R80" i="5"/>
  <c r="Q80" i="5"/>
  <c r="P80" i="5"/>
  <c r="O80" i="5"/>
  <c r="N80" i="5"/>
  <c r="M80" i="5"/>
  <c r="L80" i="5"/>
  <c r="K80" i="5"/>
  <c r="J80" i="5"/>
  <c r="I80" i="5"/>
  <c r="H80" i="5"/>
  <c r="G80" i="5"/>
  <c r="AA80" i="5" s="1"/>
  <c r="C80" i="5"/>
  <c r="AG79" i="5"/>
  <c r="AF79" i="5"/>
  <c r="AE79" i="5"/>
  <c r="AD79" i="5"/>
  <c r="AC79" i="5"/>
  <c r="AB79" i="5"/>
  <c r="Z79" i="5"/>
  <c r="Y79" i="5"/>
  <c r="X79" i="5"/>
  <c r="U79" i="5"/>
  <c r="T79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AA79" i="5" s="1"/>
  <c r="C79" i="5"/>
  <c r="AG78" i="5"/>
  <c r="AF78" i="5"/>
  <c r="AE78" i="5"/>
  <c r="AD78" i="5"/>
  <c r="Z78" i="5"/>
  <c r="AC78" i="5" s="1"/>
  <c r="Y78" i="5"/>
  <c r="X78" i="5"/>
  <c r="U78" i="5"/>
  <c r="S78" i="5"/>
  <c r="T78" i="5" s="1"/>
  <c r="R78" i="5"/>
  <c r="Q78" i="5"/>
  <c r="P78" i="5"/>
  <c r="O78" i="5"/>
  <c r="N78" i="5"/>
  <c r="M78" i="5"/>
  <c r="L78" i="5"/>
  <c r="K78" i="5"/>
  <c r="J78" i="5"/>
  <c r="I78" i="5"/>
  <c r="H78" i="5"/>
  <c r="G78" i="5"/>
  <c r="AA78" i="5" s="1"/>
  <c r="C78" i="5"/>
  <c r="AG77" i="5"/>
  <c r="AF77" i="5"/>
  <c r="AE77" i="5"/>
  <c r="AD77" i="5"/>
  <c r="AA77" i="5"/>
  <c r="Y77" i="5"/>
  <c r="Z77" i="5" s="1"/>
  <c r="X77" i="5"/>
  <c r="U77" i="5"/>
  <c r="T77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C77" i="5"/>
  <c r="AG76" i="5"/>
  <c r="AF76" i="5"/>
  <c r="AE76" i="5"/>
  <c r="AD76" i="5"/>
  <c r="Y76" i="5"/>
  <c r="Z76" i="5" s="1"/>
  <c r="X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AA76" i="5" s="1"/>
  <c r="C76" i="5"/>
  <c r="AG75" i="5"/>
  <c r="AF75" i="5"/>
  <c r="AE75" i="5"/>
  <c r="AD75" i="5"/>
  <c r="AA75" i="5"/>
  <c r="Z75" i="5"/>
  <c r="AB75" i="5" s="1"/>
  <c r="Y75" i="5"/>
  <c r="X75" i="5"/>
  <c r="AC75" i="5" s="1"/>
  <c r="U75" i="5"/>
  <c r="S75" i="5"/>
  <c r="T75" i="5" s="1"/>
  <c r="R75" i="5"/>
  <c r="Q75" i="5"/>
  <c r="P75" i="5"/>
  <c r="O75" i="5"/>
  <c r="N75" i="5"/>
  <c r="M75" i="5"/>
  <c r="L75" i="5"/>
  <c r="K75" i="5"/>
  <c r="J75" i="5"/>
  <c r="I75" i="5"/>
  <c r="H75" i="5"/>
  <c r="G75" i="5"/>
  <c r="C75" i="5"/>
  <c r="AG74" i="5"/>
  <c r="AF74" i="5"/>
  <c r="AE74" i="5"/>
  <c r="AD74" i="5"/>
  <c r="Y74" i="5"/>
  <c r="Z74" i="5" s="1"/>
  <c r="X74" i="5"/>
  <c r="U74" i="5"/>
  <c r="S74" i="5"/>
  <c r="T74" i="5" s="1"/>
  <c r="R74" i="5"/>
  <c r="Q74" i="5"/>
  <c r="P74" i="5"/>
  <c r="O74" i="5"/>
  <c r="N74" i="5"/>
  <c r="M74" i="5"/>
  <c r="L74" i="5"/>
  <c r="K74" i="5"/>
  <c r="J74" i="5"/>
  <c r="I74" i="5"/>
  <c r="H74" i="5"/>
  <c r="G74" i="5"/>
  <c r="AA74" i="5" s="1"/>
  <c r="C74" i="5"/>
  <c r="AG73" i="5"/>
  <c r="AF73" i="5"/>
  <c r="AE73" i="5"/>
  <c r="AD73" i="5"/>
  <c r="AC73" i="5"/>
  <c r="AB73" i="5"/>
  <c r="Z73" i="5"/>
  <c r="Y73" i="5"/>
  <c r="X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AA73" i="5" s="1"/>
  <c r="C73" i="5"/>
  <c r="AG72" i="5"/>
  <c r="AF72" i="5"/>
  <c r="AE72" i="5"/>
  <c r="AD72" i="5"/>
  <c r="Z72" i="5"/>
  <c r="AC72" i="5" s="1"/>
  <c r="Y72" i="5"/>
  <c r="X72" i="5"/>
  <c r="U72" i="5"/>
  <c r="S72" i="5"/>
  <c r="T72" i="5" s="1"/>
  <c r="R72" i="5"/>
  <c r="Q72" i="5"/>
  <c r="P72" i="5"/>
  <c r="O72" i="5"/>
  <c r="N72" i="5"/>
  <c r="M72" i="5"/>
  <c r="L72" i="5"/>
  <c r="K72" i="5"/>
  <c r="J72" i="5"/>
  <c r="I72" i="5"/>
  <c r="H72" i="5"/>
  <c r="G72" i="5"/>
  <c r="AA72" i="5" s="1"/>
  <c r="C72" i="5"/>
  <c r="AG71" i="5"/>
  <c r="AF71" i="5"/>
  <c r="AE71" i="5"/>
  <c r="AD71" i="5"/>
  <c r="AA71" i="5"/>
  <c r="Y71" i="5"/>
  <c r="Z71" i="5" s="1"/>
  <c r="X71" i="5"/>
  <c r="U71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C71" i="5"/>
  <c r="AG70" i="5"/>
  <c r="AF70" i="5"/>
  <c r="AE70" i="5"/>
  <c r="AD70" i="5"/>
  <c r="Y70" i="5"/>
  <c r="Z70" i="5" s="1"/>
  <c r="X70" i="5"/>
  <c r="U70" i="5"/>
  <c r="T70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AA70" i="5" s="1"/>
  <c r="C70" i="5"/>
  <c r="AG69" i="5"/>
  <c r="AF69" i="5"/>
  <c r="AE69" i="5"/>
  <c r="AO69" i="5" s="1"/>
  <c r="AD69" i="5"/>
  <c r="AA69" i="5"/>
  <c r="Z69" i="5"/>
  <c r="AB69" i="5" s="1"/>
  <c r="Y69" i="5"/>
  <c r="X69" i="5"/>
  <c r="AC69" i="5" s="1"/>
  <c r="U69" i="5"/>
  <c r="S69" i="5"/>
  <c r="T69" i="5" s="1"/>
  <c r="R69" i="5"/>
  <c r="Q69" i="5"/>
  <c r="P69" i="5"/>
  <c r="O69" i="5"/>
  <c r="N69" i="5"/>
  <c r="M69" i="5"/>
  <c r="L69" i="5"/>
  <c r="K69" i="5"/>
  <c r="J69" i="5"/>
  <c r="I69" i="5"/>
  <c r="H69" i="5"/>
  <c r="G69" i="5"/>
  <c r="C69" i="5"/>
  <c r="AG68" i="5"/>
  <c r="AF68" i="5"/>
  <c r="AE68" i="5"/>
  <c r="AD68" i="5"/>
  <c r="Y68" i="5"/>
  <c r="Z68" i="5" s="1"/>
  <c r="X68" i="5"/>
  <c r="U68" i="5"/>
  <c r="S68" i="5"/>
  <c r="T68" i="5" s="1"/>
  <c r="R68" i="5"/>
  <c r="Q68" i="5"/>
  <c r="P68" i="5"/>
  <c r="O68" i="5"/>
  <c r="N68" i="5"/>
  <c r="M68" i="5"/>
  <c r="L68" i="5"/>
  <c r="K68" i="5"/>
  <c r="J68" i="5"/>
  <c r="I68" i="5"/>
  <c r="H68" i="5"/>
  <c r="G68" i="5"/>
  <c r="AA68" i="5" s="1"/>
  <c r="C68" i="5"/>
  <c r="AG67" i="5"/>
  <c r="AF67" i="5"/>
  <c r="AE67" i="5"/>
  <c r="AD67" i="5"/>
  <c r="AC67" i="5"/>
  <c r="AB67" i="5"/>
  <c r="AN67" i="5" s="1"/>
  <c r="AA67" i="5"/>
  <c r="Z67" i="5"/>
  <c r="Y67" i="5"/>
  <c r="X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C67" i="5"/>
  <c r="AG66" i="5"/>
  <c r="AF66" i="5"/>
  <c r="AE66" i="5"/>
  <c r="AJ66" i="5" s="1"/>
  <c r="AD66" i="5"/>
  <c r="Z66" i="5"/>
  <c r="AC66" i="5" s="1"/>
  <c r="Y66" i="5"/>
  <c r="X66" i="5"/>
  <c r="AB66" i="5" s="1"/>
  <c r="AL66" i="5" s="1"/>
  <c r="U66" i="5"/>
  <c r="S66" i="5"/>
  <c r="T66" i="5" s="1"/>
  <c r="R66" i="5"/>
  <c r="Q66" i="5"/>
  <c r="P66" i="5"/>
  <c r="O66" i="5"/>
  <c r="N66" i="5"/>
  <c r="M66" i="5"/>
  <c r="L66" i="5"/>
  <c r="K66" i="5"/>
  <c r="J66" i="5"/>
  <c r="I66" i="5"/>
  <c r="H66" i="5"/>
  <c r="G66" i="5"/>
  <c r="AA66" i="5" s="1"/>
  <c r="C66" i="5"/>
  <c r="AG65" i="5"/>
  <c r="AF65" i="5"/>
  <c r="AE65" i="5"/>
  <c r="AD65" i="5"/>
  <c r="AA65" i="5"/>
  <c r="Y65" i="5"/>
  <c r="Z65" i="5" s="1"/>
  <c r="X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C65" i="5"/>
  <c r="AG64" i="5"/>
  <c r="AF64" i="5"/>
  <c r="AE64" i="5"/>
  <c r="AD64" i="5"/>
  <c r="Y64" i="5"/>
  <c r="Z64" i="5" s="1"/>
  <c r="X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AA64" i="5" s="1"/>
  <c r="C64" i="5"/>
  <c r="AG63" i="5"/>
  <c r="AF63" i="5"/>
  <c r="AE63" i="5"/>
  <c r="AD63" i="5"/>
  <c r="AA63" i="5"/>
  <c r="Z63" i="5"/>
  <c r="AC63" i="5" s="1"/>
  <c r="Y63" i="5"/>
  <c r="X63" i="5"/>
  <c r="U63" i="5"/>
  <c r="S63" i="5"/>
  <c r="T63" i="5" s="1"/>
  <c r="R63" i="5"/>
  <c r="Q63" i="5"/>
  <c r="P63" i="5"/>
  <c r="O63" i="5"/>
  <c r="N63" i="5"/>
  <c r="M63" i="5"/>
  <c r="L63" i="5"/>
  <c r="K63" i="5"/>
  <c r="J63" i="5"/>
  <c r="I63" i="5"/>
  <c r="H63" i="5"/>
  <c r="G63" i="5"/>
  <c r="C63" i="5"/>
  <c r="AG62" i="5"/>
  <c r="AF62" i="5"/>
  <c r="AE62" i="5"/>
  <c r="AD62" i="5"/>
  <c r="Y62" i="5"/>
  <c r="Z62" i="5" s="1"/>
  <c r="X62" i="5"/>
  <c r="AC62" i="5" s="1"/>
  <c r="U62" i="5"/>
  <c r="S62" i="5"/>
  <c r="T62" i="5" s="1"/>
  <c r="R62" i="5"/>
  <c r="Q62" i="5"/>
  <c r="P62" i="5"/>
  <c r="O62" i="5"/>
  <c r="N62" i="5"/>
  <c r="M62" i="5"/>
  <c r="L62" i="5"/>
  <c r="K62" i="5"/>
  <c r="J62" i="5"/>
  <c r="I62" i="5"/>
  <c r="H62" i="5"/>
  <c r="G62" i="5"/>
  <c r="AA62" i="5" s="1"/>
  <c r="C62" i="5"/>
  <c r="AG61" i="5"/>
  <c r="AF61" i="5"/>
  <c r="AE61" i="5"/>
  <c r="AD61" i="5"/>
  <c r="AC61" i="5"/>
  <c r="AM61" i="5" s="1"/>
  <c r="AB61" i="5"/>
  <c r="AA61" i="5"/>
  <c r="Z61" i="5"/>
  <c r="Y61" i="5"/>
  <c r="X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C61" i="5"/>
  <c r="AL60" i="5"/>
  <c r="AG60" i="5"/>
  <c r="AF60" i="5"/>
  <c r="AK60" i="5" s="1"/>
  <c r="AE60" i="5"/>
  <c r="AJ60" i="5" s="1"/>
  <c r="AD60" i="5"/>
  <c r="Z60" i="5"/>
  <c r="AC60" i="5" s="1"/>
  <c r="Y60" i="5"/>
  <c r="X60" i="5"/>
  <c r="AB60" i="5" s="1"/>
  <c r="U60" i="5"/>
  <c r="S60" i="5"/>
  <c r="T60" i="5" s="1"/>
  <c r="R60" i="5"/>
  <c r="Q60" i="5"/>
  <c r="P60" i="5"/>
  <c r="O60" i="5"/>
  <c r="N60" i="5"/>
  <c r="M60" i="5"/>
  <c r="L60" i="5"/>
  <c r="K60" i="5"/>
  <c r="J60" i="5"/>
  <c r="I60" i="5"/>
  <c r="H60" i="5"/>
  <c r="G60" i="5"/>
  <c r="AA60" i="5" s="1"/>
  <c r="C60" i="5"/>
  <c r="AG59" i="5"/>
  <c r="AF59" i="5"/>
  <c r="AE59" i="5"/>
  <c r="AD59" i="5"/>
  <c r="AA59" i="5"/>
  <c r="Y59" i="5"/>
  <c r="Z59" i="5" s="1"/>
  <c r="X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C59" i="5"/>
  <c r="AG58" i="5"/>
  <c r="AF58" i="5"/>
  <c r="AE58" i="5"/>
  <c r="AD58" i="5"/>
  <c r="Y58" i="5"/>
  <c r="Z58" i="5" s="1"/>
  <c r="AB58" i="5" s="1"/>
  <c r="AI58" i="5" s="1"/>
  <c r="X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AA58" i="5" s="1"/>
  <c r="C58" i="5"/>
  <c r="AG57" i="5"/>
  <c r="AF57" i="5"/>
  <c r="AE57" i="5"/>
  <c r="AD57" i="5"/>
  <c r="AA57" i="5"/>
  <c r="Z57" i="5"/>
  <c r="AC57" i="5" s="1"/>
  <c r="Y57" i="5"/>
  <c r="X57" i="5"/>
  <c r="U57" i="5"/>
  <c r="S57" i="5"/>
  <c r="T57" i="5" s="1"/>
  <c r="R57" i="5"/>
  <c r="Q57" i="5"/>
  <c r="P57" i="5"/>
  <c r="O57" i="5"/>
  <c r="N57" i="5"/>
  <c r="M57" i="5"/>
  <c r="L57" i="5"/>
  <c r="K57" i="5"/>
  <c r="J57" i="5"/>
  <c r="I57" i="5"/>
  <c r="H57" i="5"/>
  <c r="G57" i="5"/>
  <c r="C57" i="5"/>
  <c r="AG56" i="5"/>
  <c r="AF56" i="5"/>
  <c r="AE56" i="5"/>
  <c r="AD56" i="5"/>
  <c r="Y56" i="5"/>
  <c r="Z56" i="5" s="1"/>
  <c r="X56" i="5"/>
  <c r="AC56" i="5" s="1"/>
  <c r="U56" i="5"/>
  <c r="S56" i="5"/>
  <c r="T56" i="5" s="1"/>
  <c r="R56" i="5"/>
  <c r="Q56" i="5"/>
  <c r="P56" i="5"/>
  <c r="O56" i="5"/>
  <c r="N56" i="5"/>
  <c r="M56" i="5"/>
  <c r="L56" i="5"/>
  <c r="K56" i="5"/>
  <c r="J56" i="5"/>
  <c r="I56" i="5"/>
  <c r="H56" i="5"/>
  <c r="G56" i="5"/>
  <c r="AA56" i="5" s="1"/>
  <c r="C56" i="5"/>
  <c r="AN55" i="5"/>
  <c r="AI55" i="5"/>
  <c r="AG55" i="5"/>
  <c r="AF55" i="5"/>
  <c r="AE55" i="5"/>
  <c r="AK55" i="5" s="1"/>
  <c r="AD55" i="5"/>
  <c r="AC55" i="5"/>
  <c r="AB55" i="5"/>
  <c r="AA55" i="5"/>
  <c r="Z55" i="5"/>
  <c r="Y55" i="5"/>
  <c r="X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C55" i="5"/>
  <c r="AG54" i="5"/>
  <c r="AF54" i="5"/>
  <c r="AE54" i="5"/>
  <c r="AD54" i="5"/>
  <c r="Z54" i="5"/>
  <c r="AC54" i="5" s="1"/>
  <c r="Y54" i="5"/>
  <c r="X54" i="5"/>
  <c r="U54" i="5"/>
  <c r="S54" i="5"/>
  <c r="T54" i="5" s="1"/>
  <c r="R54" i="5"/>
  <c r="Q54" i="5"/>
  <c r="P54" i="5"/>
  <c r="O54" i="5"/>
  <c r="N54" i="5"/>
  <c r="M54" i="5"/>
  <c r="L54" i="5"/>
  <c r="K54" i="5"/>
  <c r="J54" i="5"/>
  <c r="I54" i="5"/>
  <c r="H54" i="5"/>
  <c r="G54" i="5"/>
  <c r="AA54" i="5" s="1"/>
  <c r="C54" i="5"/>
  <c r="AG53" i="5"/>
  <c r="AF53" i="5"/>
  <c r="AE53" i="5"/>
  <c r="AD53" i="5"/>
  <c r="AA53" i="5"/>
  <c r="Y53" i="5"/>
  <c r="Z53" i="5" s="1"/>
  <c r="X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C53" i="5"/>
  <c r="AG52" i="5"/>
  <c r="AF52" i="5"/>
  <c r="AE52" i="5"/>
  <c r="AD52" i="5"/>
  <c r="Y52" i="5"/>
  <c r="Z52" i="5" s="1"/>
  <c r="X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AA52" i="5" s="1"/>
  <c r="C52" i="5"/>
  <c r="AG51" i="5"/>
  <c r="AF51" i="5"/>
  <c r="AE51" i="5"/>
  <c r="AD51" i="5"/>
  <c r="Z51" i="5"/>
  <c r="AC51" i="5" s="1"/>
  <c r="Y51" i="5"/>
  <c r="X51" i="5"/>
  <c r="U51" i="5"/>
  <c r="S51" i="5"/>
  <c r="T51" i="5" s="1"/>
  <c r="R51" i="5"/>
  <c r="Q51" i="5"/>
  <c r="P51" i="5"/>
  <c r="O51" i="5"/>
  <c r="N51" i="5"/>
  <c r="M51" i="5"/>
  <c r="L51" i="5"/>
  <c r="K51" i="5"/>
  <c r="J51" i="5"/>
  <c r="I51" i="5"/>
  <c r="H51" i="5"/>
  <c r="G51" i="5"/>
  <c r="AA51" i="5" s="1"/>
  <c r="C51" i="5"/>
  <c r="AG50" i="5"/>
  <c r="AF50" i="5"/>
  <c r="AE50" i="5"/>
  <c r="AD50" i="5"/>
  <c r="Y50" i="5"/>
  <c r="Z50" i="5" s="1"/>
  <c r="X50" i="5"/>
  <c r="AC50" i="5" s="1"/>
  <c r="U50" i="5"/>
  <c r="S50" i="5"/>
  <c r="T50" i="5" s="1"/>
  <c r="R50" i="5"/>
  <c r="Q50" i="5"/>
  <c r="P50" i="5"/>
  <c r="O50" i="5"/>
  <c r="N50" i="5"/>
  <c r="M50" i="5"/>
  <c r="L50" i="5"/>
  <c r="K50" i="5"/>
  <c r="J50" i="5"/>
  <c r="I50" i="5"/>
  <c r="H50" i="5"/>
  <c r="G50" i="5"/>
  <c r="AA50" i="5" s="1"/>
  <c r="C50" i="5"/>
  <c r="AO49" i="5"/>
  <c r="AN49" i="5"/>
  <c r="AI49" i="5"/>
  <c r="AG49" i="5"/>
  <c r="AF49" i="5"/>
  <c r="AE49" i="5"/>
  <c r="AD49" i="5"/>
  <c r="AC49" i="5"/>
  <c r="AB49" i="5"/>
  <c r="AA49" i="5"/>
  <c r="Z49" i="5"/>
  <c r="Y49" i="5"/>
  <c r="X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C49" i="5"/>
  <c r="AG48" i="5"/>
  <c r="AF48" i="5"/>
  <c r="AE48" i="5"/>
  <c r="AD48" i="5"/>
  <c r="AA48" i="5"/>
  <c r="Z48" i="5"/>
  <c r="AC48" i="5" s="1"/>
  <c r="AM48" i="5" s="1"/>
  <c r="Y48" i="5"/>
  <c r="X48" i="5"/>
  <c r="AB48" i="5" s="1"/>
  <c r="U48" i="5"/>
  <c r="S48" i="5"/>
  <c r="T48" i="5" s="1"/>
  <c r="R48" i="5"/>
  <c r="Q48" i="5"/>
  <c r="P48" i="5"/>
  <c r="O48" i="5"/>
  <c r="N48" i="5"/>
  <c r="M48" i="5"/>
  <c r="L48" i="5"/>
  <c r="K48" i="5"/>
  <c r="J48" i="5"/>
  <c r="I48" i="5"/>
  <c r="H48" i="5"/>
  <c r="G48" i="5"/>
  <c r="C48" i="5"/>
  <c r="AG47" i="5"/>
  <c r="AF47" i="5"/>
  <c r="AE47" i="5"/>
  <c r="AD47" i="5"/>
  <c r="AA47" i="5"/>
  <c r="Y47" i="5"/>
  <c r="Z47" i="5" s="1"/>
  <c r="X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C47" i="5"/>
  <c r="AG46" i="5"/>
  <c r="AF46" i="5"/>
  <c r="AE46" i="5"/>
  <c r="AD46" i="5"/>
  <c r="AC46" i="5"/>
  <c r="Y46" i="5"/>
  <c r="Z46" i="5" s="1"/>
  <c r="X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AA46" i="5" s="1"/>
  <c r="AB46" i="5" s="1"/>
  <c r="C46" i="5"/>
  <c r="AG45" i="5"/>
  <c r="AF45" i="5"/>
  <c r="AE45" i="5"/>
  <c r="AD45" i="5"/>
  <c r="Z45" i="5"/>
  <c r="Y45" i="5"/>
  <c r="X45" i="5"/>
  <c r="U45" i="5"/>
  <c r="S45" i="5"/>
  <c r="T45" i="5" s="1"/>
  <c r="R45" i="5"/>
  <c r="Q45" i="5"/>
  <c r="P45" i="5"/>
  <c r="O45" i="5"/>
  <c r="N45" i="5"/>
  <c r="M45" i="5"/>
  <c r="L45" i="5"/>
  <c r="K45" i="5"/>
  <c r="J45" i="5"/>
  <c r="I45" i="5"/>
  <c r="H45" i="5"/>
  <c r="G45" i="5"/>
  <c r="AA45" i="5" s="1"/>
  <c r="C45" i="5"/>
  <c r="AG44" i="5"/>
  <c r="AF44" i="5"/>
  <c r="AE44" i="5"/>
  <c r="AD44" i="5"/>
  <c r="Y44" i="5"/>
  <c r="Z44" i="5" s="1"/>
  <c r="X44" i="5"/>
  <c r="U44" i="5"/>
  <c r="S44" i="5"/>
  <c r="T44" i="5" s="1"/>
  <c r="R44" i="5"/>
  <c r="Q44" i="5"/>
  <c r="P44" i="5"/>
  <c r="O44" i="5"/>
  <c r="N44" i="5"/>
  <c r="M44" i="5"/>
  <c r="L44" i="5"/>
  <c r="K44" i="5"/>
  <c r="J44" i="5"/>
  <c r="I44" i="5"/>
  <c r="H44" i="5"/>
  <c r="G44" i="5"/>
  <c r="AA44" i="5" s="1"/>
  <c r="C44" i="5"/>
  <c r="AI43" i="5"/>
  <c r="AH43" i="5"/>
  <c r="AG43" i="5"/>
  <c r="AF43" i="5"/>
  <c r="AE43" i="5"/>
  <c r="AD43" i="5"/>
  <c r="AC43" i="5"/>
  <c r="AO43" i="5" s="1"/>
  <c r="AB43" i="5"/>
  <c r="AJ43" i="5" s="1"/>
  <c r="AA43" i="5"/>
  <c r="Z43" i="5"/>
  <c r="Y43" i="5"/>
  <c r="X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C43" i="5"/>
  <c r="AG42" i="5"/>
  <c r="AF42" i="5"/>
  <c r="AE42" i="5"/>
  <c r="AD42" i="5"/>
  <c r="AA42" i="5"/>
  <c r="Z42" i="5"/>
  <c r="AC42" i="5" s="1"/>
  <c r="Y42" i="5"/>
  <c r="X42" i="5"/>
  <c r="U42" i="5"/>
  <c r="S42" i="5"/>
  <c r="T42" i="5" s="1"/>
  <c r="R42" i="5"/>
  <c r="Q42" i="5"/>
  <c r="P42" i="5"/>
  <c r="O42" i="5"/>
  <c r="N42" i="5"/>
  <c r="M42" i="5"/>
  <c r="L42" i="5"/>
  <c r="K42" i="5"/>
  <c r="J42" i="5"/>
  <c r="I42" i="5"/>
  <c r="H42" i="5"/>
  <c r="G42" i="5"/>
  <c r="C42" i="5"/>
  <c r="AG41" i="5"/>
  <c r="AF41" i="5"/>
  <c r="AE41" i="5"/>
  <c r="AD41" i="5"/>
  <c r="AA41" i="5"/>
  <c r="Y41" i="5"/>
  <c r="Z41" i="5" s="1"/>
  <c r="X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C41" i="5"/>
  <c r="AG40" i="5"/>
  <c r="AF40" i="5"/>
  <c r="AE40" i="5"/>
  <c r="AD40" i="5"/>
  <c r="AC40" i="5"/>
  <c r="Y40" i="5"/>
  <c r="Z40" i="5" s="1"/>
  <c r="X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AA40" i="5" s="1"/>
  <c r="AB40" i="5" s="1"/>
  <c r="C40" i="5"/>
  <c r="AG39" i="5"/>
  <c r="AF39" i="5"/>
  <c r="AE39" i="5"/>
  <c r="AD39" i="5"/>
  <c r="AA39" i="5"/>
  <c r="Z39" i="5"/>
  <c r="Y39" i="5"/>
  <c r="X39" i="5"/>
  <c r="U39" i="5"/>
  <c r="S39" i="5"/>
  <c r="T39" i="5" s="1"/>
  <c r="R39" i="5"/>
  <c r="Q39" i="5"/>
  <c r="P39" i="5"/>
  <c r="O39" i="5"/>
  <c r="N39" i="5"/>
  <c r="M39" i="5"/>
  <c r="L39" i="5"/>
  <c r="K39" i="5"/>
  <c r="J39" i="5"/>
  <c r="I39" i="5"/>
  <c r="H39" i="5"/>
  <c r="G39" i="5"/>
  <c r="C39" i="5"/>
  <c r="AG38" i="5"/>
  <c r="AF38" i="5"/>
  <c r="AE38" i="5"/>
  <c r="AD38" i="5"/>
  <c r="AC38" i="5"/>
  <c r="Y38" i="5"/>
  <c r="Z38" i="5" s="1"/>
  <c r="X38" i="5"/>
  <c r="U38" i="5"/>
  <c r="S38" i="5"/>
  <c r="T38" i="5" s="1"/>
  <c r="R38" i="5"/>
  <c r="Q38" i="5"/>
  <c r="P38" i="5"/>
  <c r="O38" i="5"/>
  <c r="N38" i="5"/>
  <c r="M38" i="5"/>
  <c r="L38" i="5"/>
  <c r="K38" i="5"/>
  <c r="J38" i="5"/>
  <c r="I38" i="5"/>
  <c r="H38" i="5"/>
  <c r="G38" i="5"/>
  <c r="AA38" i="5" s="1"/>
  <c r="C38" i="5"/>
  <c r="AG37" i="5"/>
  <c r="AF37" i="5"/>
  <c r="AE37" i="5"/>
  <c r="AD37" i="5"/>
  <c r="AC37" i="5"/>
  <c r="AA37" i="5"/>
  <c r="AB37" i="5" s="1"/>
  <c r="Z37" i="5"/>
  <c r="Y37" i="5"/>
  <c r="X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C37" i="5"/>
  <c r="AG36" i="5"/>
  <c r="AF36" i="5"/>
  <c r="AE36" i="5"/>
  <c r="AD36" i="5"/>
  <c r="Y36" i="5"/>
  <c r="Z36" i="5" s="1"/>
  <c r="AC36" i="5" s="1"/>
  <c r="X36" i="5"/>
  <c r="U36" i="5"/>
  <c r="S36" i="5"/>
  <c r="T36" i="5" s="1"/>
  <c r="R36" i="5"/>
  <c r="Q36" i="5"/>
  <c r="P36" i="5"/>
  <c r="O36" i="5"/>
  <c r="N36" i="5"/>
  <c r="M36" i="5"/>
  <c r="L36" i="5"/>
  <c r="K36" i="5"/>
  <c r="J36" i="5"/>
  <c r="I36" i="5"/>
  <c r="H36" i="5"/>
  <c r="G36" i="5"/>
  <c r="AA36" i="5" s="1"/>
  <c r="C36" i="5"/>
  <c r="AG35" i="5"/>
  <c r="AF35" i="5"/>
  <c r="AE35" i="5"/>
  <c r="AD35" i="5"/>
  <c r="AA35" i="5"/>
  <c r="Y35" i="5"/>
  <c r="Z35" i="5" s="1"/>
  <c r="X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C35" i="5"/>
  <c r="AG34" i="5"/>
  <c r="AF34" i="5"/>
  <c r="AE34" i="5"/>
  <c r="AD34" i="5"/>
  <c r="Y34" i="5"/>
  <c r="Z34" i="5" s="1"/>
  <c r="AC34" i="5" s="1"/>
  <c r="X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AA34" i="5" s="1"/>
  <c r="C34" i="5"/>
  <c r="AG33" i="5"/>
  <c r="AF33" i="5"/>
  <c r="AE33" i="5"/>
  <c r="AD33" i="5"/>
  <c r="AA33" i="5"/>
  <c r="AB33" i="5" s="1"/>
  <c r="Z33" i="5"/>
  <c r="AC33" i="5" s="1"/>
  <c r="Y33" i="5"/>
  <c r="X33" i="5"/>
  <c r="U33" i="5"/>
  <c r="S33" i="5"/>
  <c r="T33" i="5" s="1"/>
  <c r="R33" i="5"/>
  <c r="Q33" i="5"/>
  <c r="P33" i="5"/>
  <c r="O33" i="5"/>
  <c r="N33" i="5"/>
  <c r="M33" i="5"/>
  <c r="L33" i="5"/>
  <c r="K33" i="5"/>
  <c r="J33" i="5"/>
  <c r="I33" i="5"/>
  <c r="H33" i="5"/>
  <c r="G33" i="5"/>
  <c r="C33" i="5"/>
  <c r="AG32" i="5"/>
  <c r="AF32" i="5"/>
  <c r="AE32" i="5"/>
  <c r="AD32" i="5"/>
  <c r="Z32" i="5"/>
  <c r="Y32" i="5"/>
  <c r="X32" i="5"/>
  <c r="U32" i="5"/>
  <c r="S32" i="5"/>
  <c r="T32" i="5" s="1"/>
  <c r="R32" i="5"/>
  <c r="Q32" i="5"/>
  <c r="P32" i="5"/>
  <c r="O32" i="5"/>
  <c r="N32" i="5"/>
  <c r="M32" i="5"/>
  <c r="L32" i="5"/>
  <c r="K32" i="5"/>
  <c r="J32" i="5"/>
  <c r="I32" i="5"/>
  <c r="H32" i="5"/>
  <c r="G32" i="5"/>
  <c r="AA32" i="5" s="1"/>
  <c r="C32" i="5"/>
  <c r="AG31" i="5"/>
  <c r="AF31" i="5"/>
  <c r="AE31" i="5"/>
  <c r="AD31" i="5"/>
  <c r="AC31" i="5"/>
  <c r="AA31" i="5"/>
  <c r="AB31" i="5" s="1"/>
  <c r="Z31" i="5"/>
  <c r="Y31" i="5"/>
  <c r="X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C31" i="5"/>
  <c r="AG30" i="5"/>
  <c r="AF30" i="5"/>
  <c r="AE30" i="5"/>
  <c r="AD30" i="5"/>
  <c r="Y30" i="5"/>
  <c r="Z30" i="5" s="1"/>
  <c r="AC30" i="5" s="1"/>
  <c r="X30" i="5"/>
  <c r="U30" i="5"/>
  <c r="S30" i="5"/>
  <c r="T30" i="5" s="1"/>
  <c r="R30" i="5"/>
  <c r="Q30" i="5"/>
  <c r="P30" i="5"/>
  <c r="O30" i="5"/>
  <c r="N30" i="5"/>
  <c r="M30" i="5"/>
  <c r="L30" i="5"/>
  <c r="K30" i="5"/>
  <c r="J30" i="5"/>
  <c r="I30" i="5"/>
  <c r="H30" i="5"/>
  <c r="G30" i="5"/>
  <c r="AA30" i="5" s="1"/>
  <c r="C30" i="5"/>
  <c r="AG29" i="5"/>
  <c r="AF29" i="5"/>
  <c r="AE29" i="5"/>
  <c r="AD29" i="5"/>
  <c r="AA29" i="5"/>
  <c r="Y29" i="5"/>
  <c r="Z29" i="5" s="1"/>
  <c r="X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C29" i="5"/>
  <c r="AG28" i="5"/>
  <c r="AF28" i="5"/>
  <c r="AE28" i="5"/>
  <c r="AD28" i="5"/>
  <c r="Y28" i="5"/>
  <c r="Z28" i="5" s="1"/>
  <c r="AC28" i="5" s="1"/>
  <c r="X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AA28" i="5" s="1"/>
  <c r="C28" i="5"/>
  <c r="AG27" i="5"/>
  <c r="AF27" i="5"/>
  <c r="AE27" i="5"/>
  <c r="AD27" i="5"/>
  <c r="Z27" i="5"/>
  <c r="AC27" i="5" s="1"/>
  <c r="Y27" i="5"/>
  <c r="X27" i="5"/>
  <c r="U27" i="5"/>
  <c r="S27" i="5"/>
  <c r="T27" i="5" s="1"/>
  <c r="R27" i="5"/>
  <c r="Q27" i="5"/>
  <c r="P27" i="5"/>
  <c r="O27" i="5"/>
  <c r="N27" i="5"/>
  <c r="M27" i="5"/>
  <c r="L27" i="5"/>
  <c r="K27" i="5"/>
  <c r="J27" i="5"/>
  <c r="I27" i="5"/>
  <c r="H27" i="5"/>
  <c r="G27" i="5"/>
  <c r="AA27" i="5" s="1"/>
  <c r="AB27" i="5" s="1"/>
  <c r="C27" i="5"/>
  <c r="AG26" i="5"/>
  <c r="AF26" i="5"/>
  <c r="AE26" i="5"/>
  <c r="AD26" i="5"/>
  <c r="Y26" i="5"/>
  <c r="Z26" i="5" s="1"/>
  <c r="AC26" i="5" s="1"/>
  <c r="X26" i="5"/>
  <c r="U26" i="5"/>
  <c r="S26" i="5"/>
  <c r="T26" i="5" s="1"/>
  <c r="R26" i="5"/>
  <c r="Q26" i="5"/>
  <c r="P26" i="5"/>
  <c r="O26" i="5"/>
  <c r="N26" i="5"/>
  <c r="M26" i="5"/>
  <c r="L26" i="5"/>
  <c r="K26" i="5"/>
  <c r="J26" i="5"/>
  <c r="I26" i="5"/>
  <c r="H26" i="5"/>
  <c r="G26" i="5"/>
  <c r="AA26" i="5" s="1"/>
  <c r="C26" i="5"/>
  <c r="AG25" i="5"/>
  <c r="AF25" i="5"/>
  <c r="AE25" i="5"/>
  <c r="AD25" i="5"/>
  <c r="AC25" i="5"/>
  <c r="Z25" i="5"/>
  <c r="Y25" i="5"/>
  <c r="X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AA25" i="5" s="1"/>
  <c r="AB25" i="5" s="1"/>
  <c r="C25" i="5"/>
  <c r="AG24" i="5"/>
  <c r="AF24" i="5"/>
  <c r="AE24" i="5"/>
  <c r="AD24" i="5"/>
  <c r="AC24" i="5"/>
  <c r="Z24" i="5"/>
  <c r="Y24" i="5"/>
  <c r="X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AA24" i="5" s="1"/>
  <c r="C24" i="5"/>
  <c r="AG23" i="5"/>
  <c r="AF23" i="5"/>
  <c r="AE23" i="5"/>
  <c r="AD23" i="5"/>
  <c r="AA23" i="5"/>
  <c r="Y23" i="5"/>
  <c r="Z23" i="5" s="1"/>
  <c r="AC23" i="5" s="1"/>
  <c r="X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C23" i="5"/>
  <c r="AG22" i="5"/>
  <c r="AF22" i="5"/>
  <c r="AE22" i="5"/>
  <c r="AD22" i="5"/>
  <c r="AC22" i="5"/>
  <c r="AO22" i="5" s="1"/>
  <c r="AA22" i="5"/>
  <c r="AB22" i="5" s="1"/>
  <c r="Y22" i="5"/>
  <c r="Z22" i="5" s="1"/>
  <c r="X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C22" i="5"/>
  <c r="AG21" i="5"/>
  <c r="AF21" i="5"/>
  <c r="AE21" i="5"/>
  <c r="AD21" i="5"/>
  <c r="Z21" i="5"/>
  <c r="AC21" i="5" s="1"/>
  <c r="Y21" i="5"/>
  <c r="X21" i="5"/>
  <c r="U21" i="5"/>
  <c r="S21" i="5"/>
  <c r="T21" i="5" s="1"/>
  <c r="R21" i="5"/>
  <c r="Q21" i="5"/>
  <c r="P21" i="5"/>
  <c r="O21" i="5"/>
  <c r="N21" i="5"/>
  <c r="M21" i="5"/>
  <c r="L21" i="5"/>
  <c r="K21" i="5"/>
  <c r="J21" i="5"/>
  <c r="I21" i="5"/>
  <c r="H21" i="5"/>
  <c r="G21" i="5"/>
  <c r="AA21" i="5" s="1"/>
  <c r="C21" i="5"/>
  <c r="AG20" i="5"/>
  <c r="AF20" i="5"/>
  <c r="AE20" i="5"/>
  <c r="AD20" i="5"/>
  <c r="Z20" i="5"/>
  <c r="Y20" i="5"/>
  <c r="X20" i="5"/>
  <c r="U20" i="5"/>
  <c r="S20" i="5"/>
  <c r="T20" i="5" s="1"/>
  <c r="R20" i="5"/>
  <c r="Q20" i="5"/>
  <c r="P20" i="5"/>
  <c r="O20" i="5"/>
  <c r="N20" i="5"/>
  <c r="M20" i="5"/>
  <c r="L20" i="5"/>
  <c r="K20" i="5"/>
  <c r="J20" i="5"/>
  <c r="I20" i="5"/>
  <c r="H20" i="5"/>
  <c r="G20" i="5"/>
  <c r="AA20" i="5" s="1"/>
  <c r="C20" i="5"/>
  <c r="AG19" i="5"/>
  <c r="AF19" i="5"/>
  <c r="AE19" i="5"/>
  <c r="AN19" i="5" s="1"/>
  <c r="AD19" i="5"/>
  <c r="AC19" i="5"/>
  <c r="Z19" i="5"/>
  <c r="Y19" i="5"/>
  <c r="X19" i="5"/>
  <c r="U19" i="5"/>
  <c r="S19" i="5"/>
  <c r="T19" i="5" s="1"/>
  <c r="R19" i="5"/>
  <c r="Q19" i="5"/>
  <c r="P19" i="5"/>
  <c r="O19" i="5"/>
  <c r="N19" i="5"/>
  <c r="M19" i="5"/>
  <c r="L19" i="5"/>
  <c r="K19" i="5"/>
  <c r="J19" i="5"/>
  <c r="I19" i="5"/>
  <c r="H19" i="5"/>
  <c r="G19" i="5"/>
  <c r="AA19" i="5" s="1"/>
  <c r="AB19" i="5" s="1"/>
  <c r="C19" i="5"/>
  <c r="AG18" i="5"/>
  <c r="AF18" i="5"/>
  <c r="AE18" i="5"/>
  <c r="AD18" i="5"/>
  <c r="Y18" i="5"/>
  <c r="Z18" i="5" s="1"/>
  <c r="AC18" i="5" s="1"/>
  <c r="X18" i="5"/>
  <c r="U18" i="5"/>
  <c r="S18" i="5"/>
  <c r="T18" i="5" s="1"/>
  <c r="R18" i="5"/>
  <c r="Q18" i="5"/>
  <c r="P18" i="5"/>
  <c r="O18" i="5"/>
  <c r="N18" i="5"/>
  <c r="M18" i="5"/>
  <c r="L18" i="5"/>
  <c r="K18" i="5"/>
  <c r="J18" i="5"/>
  <c r="I18" i="5"/>
  <c r="H18" i="5"/>
  <c r="G18" i="5"/>
  <c r="AA18" i="5" s="1"/>
  <c r="C18" i="5"/>
  <c r="AG17" i="5"/>
  <c r="AF17" i="5"/>
  <c r="AE17" i="5"/>
  <c r="AD17" i="5"/>
  <c r="AA17" i="5"/>
  <c r="Y17" i="5"/>
  <c r="Z17" i="5" s="1"/>
  <c r="X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C17" i="5"/>
  <c r="AG16" i="5"/>
  <c r="AF16" i="5"/>
  <c r="AE16" i="5"/>
  <c r="AD16" i="5"/>
  <c r="Y16" i="5"/>
  <c r="Z16" i="5" s="1"/>
  <c r="AC16" i="5" s="1"/>
  <c r="X16" i="5"/>
  <c r="U16" i="5"/>
  <c r="S16" i="5"/>
  <c r="T16" i="5" s="1"/>
  <c r="R16" i="5"/>
  <c r="Q16" i="5"/>
  <c r="P16" i="5"/>
  <c r="O16" i="5"/>
  <c r="N16" i="5"/>
  <c r="M16" i="5"/>
  <c r="L16" i="5"/>
  <c r="K16" i="5"/>
  <c r="J16" i="5"/>
  <c r="I16" i="5"/>
  <c r="H16" i="5"/>
  <c r="G16" i="5"/>
  <c r="AA16" i="5" s="1"/>
  <c r="AB16" i="5" s="1"/>
  <c r="C16" i="5"/>
  <c r="AG15" i="5"/>
  <c r="AF15" i="5"/>
  <c r="AE15" i="5"/>
  <c r="AD15" i="5"/>
  <c r="AA15" i="5"/>
  <c r="Y15" i="5"/>
  <c r="Z15" i="5" s="1"/>
  <c r="X15" i="5"/>
  <c r="U15" i="5"/>
  <c r="S15" i="5"/>
  <c r="T15" i="5" s="1"/>
  <c r="R15" i="5"/>
  <c r="Q15" i="5"/>
  <c r="P15" i="5"/>
  <c r="O15" i="5"/>
  <c r="N15" i="5"/>
  <c r="M15" i="5"/>
  <c r="L15" i="5"/>
  <c r="K15" i="5"/>
  <c r="J15" i="5"/>
  <c r="I15" i="5"/>
  <c r="H15" i="5"/>
  <c r="G15" i="5"/>
  <c r="C15" i="5"/>
  <c r="AG14" i="5"/>
  <c r="AF14" i="5"/>
  <c r="AE14" i="5"/>
  <c r="AD14" i="5"/>
  <c r="Z14" i="5"/>
  <c r="Y14" i="5"/>
  <c r="X14" i="5"/>
  <c r="AC14" i="5" s="1"/>
  <c r="U14" i="5"/>
  <c r="S14" i="5"/>
  <c r="T14" i="5" s="1"/>
  <c r="R14" i="5"/>
  <c r="Q14" i="5"/>
  <c r="P14" i="5"/>
  <c r="O14" i="5"/>
  <c r="N14" i="5"/>
  <c r="M14" i="5"/>
  <c r="L14" i="5"/>
  <c r="K14" i="5"/>
  <c r="J14" i="5"/>
  <c r="I14" i="5"/>
  <c r="H14" i="5"/>
  <c r="G14" i="5"/>
  <c r="AA14" i="5" s="1"/>
  <c r="C14" i="5"/>
  <c r="AG13" i="5"/>
  <c r="AF13" i="5"/>
  <c r="AE13" i="5"/>
  <c r="AD13" i="5"/>
  <c r="Z13" i="5"/>
  <c r="AC13" i="5" s="1"/>
  <c r="Y13" i="5"/>
  <c r="X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AA13" i="5" s="1"/>
  <c r="AB13" i="5" s="1"/>
  <c r="C13" i="5"/>
  <c r="AG12" i="5"/>
  <c r="AF12" i="5"/>
  <c r="AE12" i="5"/>
  <c r="AD12" i="5"/>
  <c r="Y12" i="5"/>
  <c r="Z12" i="5" s="1"/>
  <c r="X12" i="5"/>
  <c r="U12" i="5"/>
  <c r="S12" i="5"/>
  <c r="T12" i="5" s="1"/>
  <c r="R12" i="5"/>
  <c r="Q12" i="5"/>
  <c r="P12" i="5"/>
  <c r="O12" i="5"/>
  <c r="N12" i="5"/>
  <c r="M12" i="5"/>
  <c r="L12" i="5"/>
  <c r="K12" i="5"/>
  <c r="J12" i="5"/>
  <c r="I12" i="5"/>
  <c r="H12" i="5"/>
  <c r="G12" i="5"/>
  <c r="AA12" i="5" s="1"/>
  <c r="C12" i="5"/>
  <c r="AG11" i="5"/>
  <c r="AF11" i="5"/>
  <c r="AE11" i="5"/>
  <c r="AD11" i="5"/>
  <c r="AC11" i="5"/>
  <c r="Y11" i="5"/>
  <c r="Z11" i="5" s="1"/>
  <c r="X11" i="5"/>
  <c r="U11" i="5"/>
  <c r="S11" i="5"/>
  <c r="T11" i="5" s="1"/>
  <c r="R11" i="5"/>
  <c r="Q11" i="5"/>
  <c r="P11" i="5"/>
  <c r="O11" i="5"/>
  <c r="N11" i="5"/>
  <c r="M11" i="5"/>
  <c r="L11" i="5"/>
  <c r="K11" i="5"/>
  <c r="J11" i="5"/>
  <c r="I11" i="5"/>
  <c r="H11" i="5"/>
  <c r="G11" i="5"/>
  <c r="AA11" i="5" s="1"/>
  <c r="C11" i="5"/>
  <c r="AG10" i="5"/>
  <c r="AF10" i="5"/>
  <c r="AE10" i="5"/>
  <c r="AD10" i="5"/>
  <c r="AA10" i="5"/>
  <c r="Y10" i="5"/>
  <c r="Z10" i="5" s="1"/>
  <c r="X10" i="5"/>
  <c r="H10" i="5"/>
  <c r="C10" i="5"/>
  <c r="AG9" i="5"/>
  <c r="AF9" i="5"/>
  <c r="AE9" i="5"/>
  <c r="AD9" i="5"/>
  <c r="X9" i="5"/>
  <c r="H9" i="5"/>
  <c r="C9" i="5"/>
  <c r="AG8" i="5"/>
  <c r="AF8" i="5"/>
  <c r="AE8" i="5"/>
  <c r="AD8" i="5"/>
  <c r="X8" i="5"/>
  <c r="Y8" i="5" s="1"/>
  <c r="Z8" i="5" s="1"/>
  <c r="H8" i="5"/>
  <c r="C8" i="5"/>
  <c r="AG7" i="5"/>
  <c r="AF7" i="5"/>
  <c r="AE7" i="5"/>
  <c r="AD7" i="5"/>
  <c r="X7" i="5"/>
  <c r="Y7" i="5" s="1"/>
  <c r="Z7" i="5" s="1"/>
  <c r="H7" i="5"/>
  <c r="C7" i="5"/>
  <c r="AG6" i="5"/>
  <c r="AF6" i="5"/>
  <c r="AE6" i="5"/>
  <c r="AD6" i="5"/>
  <c r="X6" i="5"/>
  <c r="Y6" i="5" s="1"/>
  <c r="Z6" i="5" s="1"/>
  <c r="H6" i="5"/>
  <c r="C6" i="5"/>
  <c r="AG5" i="5"/>
  <c r="AF5" i="5"/>
  <c r="AE5" i="5"/>
  <c r="AD5" i="5"/>
  <c r="X5" i="5"/>
  <c r="H5" i="5"/>
  <c r="C5" i="5"/>
  <c r="G204" i="4"/>
  <c r="F204" i="4"/>
  <c r="G203" i="4"/>
  <c r="F203" i="4"/>
  <c r="G202" i="4"/>
  <c r="F202" i="4"/>
  <c r="G201" i="4"/>
  <c r="F201" i="4"/>
  <c r="G200" i="4"/>
  <c r="F200" i="4"/>
  <c r="G199" i="4"/>
  <c r="F199" i="4"/>
  <c r="G198" i="4"/>
  <c r="F198" i="4"/>
  <c r="G197" i="4"/>
  <c r="F197" i="4"/>
  <c r="G196" i="4"/>
  <c r="F196" i="4"/>
  <c r="G195" i="4"/>
  <c r="F195" i="4"/>
  <c r="G194" i="4"/>
  <c r="F194" i="4"/>
  <c r="G193" i="4"/>
  <c r="F193" i="4"/>
  <c r="G192" i="4"/>
  <c r="F192" i="4"/>
  <c r="G191" i="4"/>
  <c r="F191" i="4"/>
  <c r="G190" i="4"/>
  <c r="F190" i="4"/>
  <c r="G189" i="4"/>
  <c r="F189" i="4"/>
  <c r="G188" i="4"/>
  <c r="F188" i="4"/>
  <c r="G187" i="4"/>
  <c r="F187" i="4"/>
  <c r="G186" i="4"/>
  <c r="F186" i="4"/>
  <c r="G185" i="4"/>
  <c r="F185" i="4"/>
  <c r="G184" i="4"/>
  <c r="F184" i="4"/>
  <c r="G183" i="4"/>
  <c r="F183" i="4"/>
  <c r="G182" i="4"/>
  <c r="F182" i="4"/>
  <c r="G181" i="4"/>
  <c r="F181" i="4"/>
  <c r="G180" i="4"/>
  <c r="F180" i="4"/>
  <c r="G179" i="4"/>
  <c r="F179" i="4"/>
  <c r="G178" i="4"/>
  <c r="F178" i="4"/>
  <c r="G177" i="4"/>
  <c r="F177" i="4"/>
  <c r="G176" i="4"/>
  <c r="F176" i="4"/>
  <c r="G175" i="4"/>
  <c r="F175" i="4"/>
  <c r="G174" i="4"/>
  <c r="F174" i="4"/>
  <c r="G173" i="4"/>
  <c r="F173" i="4"/>
  <c r="G172" i="4"/>
  <c r="F172" i="4"/>
  <c r="G171" i="4"/>
  <c r="F171" i="4"/>
  <c r="G170" i="4"/>
  <c r="F170" i="4"/>
  <c r="G169" i="4"/>
  <c r="F169" i="4"/>
  <c r="G168" i="4"/>
  <c r="F168" i="4"/>
  <c r="G167" i="4"/>
  <c r="F167" i="4"/>
  <c r="G166" i="4"/>
  <c r="F166" i="4"/>
  <c r="G165" i="4"/>
  <c r="F165" i="4"/>
  <c r="G164" i="4"/>
  <c r="F164" i="4"/>
  <c r="G163" i="4"/>
  <c r="F163" i="4"/>
  <c r="G162" i="4"/>
  <c r="F162" i="4"/>
  <c r="G161" i="4"/>
  <c r="F161" i="4"/>
  <c r="G160" i="4"/>
  <c r="F160" i="4"/>
  <c r="G159" i="4"/>
  <c r="F159" i="4"/>
  <c r="G158" i="4"/>
  <c r="F158" i="4"/>
  <c r="G157" i="4"/>
  <c r="F157" i="4"/>
  <c r="G156" i="4"/>
  <c r="F156" i="4"/>
  <c r="G155" i="4"/>
  <c r="F155" i="4"/>
  <c r="G154" i="4"/>
  <c r="F154" i="4"/>
  <c r="G153" i="4"/>
  <c r="F153" i="4"/>
  <c r="G152" i="4"/>
  <c r="F152" i="4"/>
  <c r="G151" i="4"/>
  <c r="F151" i="4"/>
  <c r="G150" i="4"/>
  <c r="F150" i="4"/>
  <c r="G149" i="4"/>
  <c r="F149" i="4"/>
  <c r="G148" i="4"/>
  <c r="F148" i="4"/>
  <c r="G147" i="4"/>
  <c r="F147" i="4"/>
  <c r="G146" i="4"/>
  <c r="F146" i="4"/>
  <c r="G145" i="4"/>
  <c r="F145" i="4"/>
  <c r="G144" i="4"/>
  <c r="F144" i="4"/>
  <c r="G143" i="4"/>
  <c r="F143" i="4"/>
  <c r="G142" i="4"/>
  <c r="F142" i="4"/>
  <c r="G141" i="4"/>
  <c r="F141" i="4"/>
  <c r="G140" i="4"/>
  <c r="F140" i="4"/>
  <c r="G139" i="4"/>
  <c r="F139" i="4"/>
  <c r="G138" i="4"/>
  <c r="F138" i="4"/>
  <c r="G137" i="4"/>
  <c r="F137" i="4"/>
  <c r="G136" i="4"/>
  <c r="F136" i="4"/>
  <c r="G135" i="4"/>
  <c r="F135" i="4"/>
  <c r="G134" i="4"/>
  <c r="F134" i="4"/>
  <c r="G133" i="4"/>
  <c r="F133" i="4"/>
  <c r="G132" i="4"/>
  <c r="F132" i="4"/>
  <c r="G131" i="4"/>
  <c r="F131" i="4"/>
  <c r="G130" i="4"/>
  <c r="F130" i="4"/>
  <c r="G129" i="4"/>
  <c r="F129" i="4"/>
  <c r="G128" i="4"/>
  <c r="F128" i="4"/>
  <c r="G127" i="4"/>
  <c r="F127" i="4"/>
  <c r="G126" i="4"/>
  <c r="F126" i="4"/>
  <c r="G125" i="4"/>
  <c r="F125" i="4"/>
  <c r="G124" i="4"/>
  <c r="F124" i="4"/>
  <c r="G123" i="4"/>
  <c r="F123" i="4"/>
  <c r="G122" i="4"/>
  <c r="F122" i="4"/>
  <c r="G121" i="4"/>
  <c r="F121" i="4"/>
  <c r="G120" i="4"/>
  <c r="F120" i="4"/>
  <c r="G119" i="4"/>
  <c r="F119" i="4"/>
  <c r="G118" i="4"/>
  <c r="F118" i="4"/>
  <c r="G117" i="4"/>
  <c r="F117" i="4"/>
  <c r="G116" i="4"/>
  <c r="F116" i="4"/>
  <c r="G115" i="4"/>
  <c r="F115" i="4"/>
  <c r="G114" i="4"/>
  <c r="F114" i="4"/>
  <c r="G113" i="4"/>
  <c r="F113" i="4"/>
  <c r="G112" i="4"/>
  <c r="F112" i="4"/>
  <c r="G111" i="4"/>
  <c r="F111" i="4"/>
  <c r="G110" i="4"/>
  <c r="F110" i="4"/>
  <c r="G109" i="4"/>
  <c r="F109" i="4"/>
  <c r="G108" i="4"/>
  <c r="F108" i="4"/>
  <c r="G107" i="4"/>
  <c r="F107" i="4"/>
  <c r="G106" i="4"/>
  <c r="F106" i="4"/>
  <c r="G105" i="4"/>
  <c r="F105" i="4"/>
  <c r="G104" i="4"/>
  <c r="F104" i="4"/>
  <c r="G103" i="4"/>
  <c r="F103" i="4"/>
  <c r="G102" i="4"/>
  <c r="F102" i="4"/>
  <c r="G101" i="4"/>
  <c r="F101" i="4"/>
  <c r="G100" i="4"/>
  <c r="F100" i="4"/>
  <c r="G99" i="4"/>
  <c r="F99" i="4"/>
  <c r="G98" i="4"/>
  <c r="F98" i="4"/>
  <c r="G97" i="4"/>
  <c r="F97" i="4"/>
  <c r="G96" i="4"/>
  <c r="F96" i="4"/>
  <c r="G95" i="4"/>
  <c r="F95" i="4"/>
  <c r="G94" i="4"/>
  <c r="F94" i="4"/>
  <c r="G93" i="4"/>
  <c r="F93" i="4"/>
  <c r="G92" i="4"/>
  <c r="F92" i="4"/>
  <c r="G91" i="4"/>
  <c r="F91" i="4"/>
  <c r="G90" i="4"/>
  <c r="F90" i="4"/>
  <c r="G89" i="4"/>
  <c r="F89" i="4"/>
  <c r="G88" i="4"/>
  <c r="F88" i="4"/>
  <c r="G87" i="4"/>
  <c r="F87" i="4"/>
  <c r="G86" i="4"/>
  <c r="F86" i="4"/>
  <c r="G85" i="4"/>
  <c r="F85" i="4"/>
  <c r="G84" i="4"/>
  <c r="F84" i="4"/>
  <c r="G83" i="4"/>
  <c r="F83" i="4"/>
  <c r="G82" i="4"/>
  <c r="F82" i="4"/>
  <c r="G81" i="4"/>
  <c r="F81" i="4"/>
  <c r="G80" i="4"/>
  <c r="F80" i="4"/>
  <c r="G79" i="4"/>
  <c r="F79" i="4"/>
  <c r="G78" i="4"/>
  <c r="F78" i="4"/>
  <c r="G77" i="4"/>
  <c r="F77" i="4"/>
  <c r="G76" i="4"/>
  <c r="F76" i="4"/>
  <c r="G75" i="4"/>
  <c r="F75" i="4"/>
  <c r="G74" i="4"/>
  <c r="F74" i="4"/>
  <c r="G73" i="4"/>
  <c r="F73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6" i="4"/>
  <c r="F56" i="4"/>
  <c r="G55" i="4"/>
  <c r="F55" i="4"/>
  <c r="G54" i="4"/>
  <c r="F54" i="4"/>
  <c r="G53" i="4"/>
  <c r="F53" i="4"/>
  <c r="G52" i="4"/>
  <c r="F52" i="4"/>
  <c r="G51" i="4"/>
  <c r="F51" i="4"/>
  <c r="G50" i="4"/>
  <c r="F50" i="4"/>
  <c r="G49" i="4"/>
  <c r="F49" i="4"/>
  <c r="G48" i="4"/>
  <c r="F48" i="4"/>
  <c r="G47" i="4"/>
  <c r="F47" i="4"/>
  <c r="G46" i="4"/>
  <c r="F46" i="4"/>
  <c r="G45" i="4"/>
  <c r="F45" i="4"/>
  <c r="G44" i="4"/>
  <c r="F44" i="4"/>
  <c r="G43" i="4"/>
  <c r="F43" i="4"/>
  <c r="G42" i="4"/>
  <c r="F42" i="4"/>
  <c r="G41" i="4"/>
  <c r="F41" i="4"/>
  <c r="G40" i="4"/>
  <c r="F40" i="4"/>
  <c r="G39" i="4"/>
  <c r="F39" i="4"/>
  <c r="G38" i="4"/>
  <c r="F38" i="4"/>
  <c r="G37" i="4"/>
  <c r="F37" i="4"/>
  <c r="G36" i="4"/>
  <c r="F36" i="4"/>
  <c r="G35" i="4"/>
  <c r="F35" i="4"/>
  <c r="G34" i="4"/>
  <c r="F34" i="4"/>
  <c r="G33" i="4"/>
  <c r="F33" i="4"/>
  <c r="G32" i="4"/>
  <c r="F32" i="4"/>
  <c r="G31" i="4"/>
  <c r="F31" i="4"/>
  <c r="G30" i="4"/>
  <c r="F30" i="4"/>
  <c r="G29" i="4"/>
  <c r="F29" i="4"/>
  <c r="G28" i="4"/>
  <c r="F28" i="4"/>
  <c r="G27" i="4"/>
  <c r="F27" i="4"/>
  <c r="G26" i="4"/>
  <c r="F26" i="4"/>
  <c r="G25" i="4"/>
  <c r="F25" i="4"/>
  <c r="G24" i="4"/>
  <c r="F24" i="4"/>
  <c r="G23" i="4"/>
  <c r="F23" i="4"/>
  <c r="G22" i="4"/>
  <c r="F22" i="4"/>
  <c r="G21" i="4"/>
  <c r="F21" i="4"/>
  <c r="G20" i="4"/>
  <c r="F20" i="4"/>
  <c r="G19" i="4"/>
  <c r="F19" i="4"/>
  <c r="G18" i="4"/>
  <c r="F18" i="4"/>
  <c r="G17" i="4"/>
  <c r="F17" i="4"/>
  <c r="G16" i="4"/>
  <c r="F16" i="4"/>
  <c r="G15" i="4"/>
  <c r="F15" i="4"/>
  <c r="G14" i="4"/>
  <c r="F14" i="4"/>
  <c r="G13" i="4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C8" i="6" s="1"/>
  <c r="F6" i="4"/>
  <c r="G5" i="4"/>
  <c r="F5" i="4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15" i="2"/>
  <c r="B14" i="2"/>
  <c r="B7" i="2"/>
  <c r="G5" i="5" s="1"/>
  <c r="AA5" i="5" s="1"/>
  <c r="AI31" i="5" l="1"/>
  <c r="AH31" i="5"/>
  <c r="AO31" i="5"/>
  <c r="AM31" i="5"/>
  <c r="AJ31" i="5"/>
  <c r="AN31" i="5"/>
  <c r="AH27" i="5"/>
  <c r="AN27" i="5"/>
  <c r="AM27" i="5"/>
  <c r="AL27" i="5"/>
  <c r="AI27" i="5"/>
  <c r="AJ91" i="5"/>
  <c r="AI91" i="5"/>
  <c r="AH91" i="5"/>
  <c r="AN91" i="5"/>
  <c r="J6" i="5"/>
  <c r="AC6" i="5"/>
  <c r="AO13" i="5"/>
  <c r="AN13" i="5"/>
  <c r="AM13" i="5"/>
  <c r="AL13" i="5"/>
  <c r="AI37" i="5"/>
  <c r="AH37" i="5"/>
  <c r="AO37" i="5"/>
  <c r="AM37" i="5"/>
  <c r="AJ37" i="5"/>
  <c r="AI46" i="5"/>
  <c r="AH46" i="5"/>
  <c r="AO10" i="5"/>
  <c r="R10" i="5" s="1"/>
  <c r="AM23" i="5"/>
  <c r="AJ25" i="5"/>
  <c r="AI25" i="5"/>
  <c r="AH25" i="5"/>
  <c r="AN25" i="5"/>
  <c r="AN37" i="5"/>
  <c r="J8" i="5"/>
  <c r="AC8" i="5"/>
  <c r="AK16" i="5"/>
  <c r="AI16" i="5"/>
  <c r="AH16" i="5"/>
  <c r="I6" i="5"/>
  <c r="AO40" i="5"/>
  <c r="AI40" i="5"/>
  <c r="AH40" i="5"/>
  <c r="I8" i="5"/>
  <c r="AC10" i="5"/>
  <c r="AB10" i="5"/>
  <c r="J10" i="5"/>
  <c r="AL16" i="5"/>
  <c r="AO16" i="5"/>
  <c r="AN16" i="5"/>
  <c r="AM16" i="5"/>
  <c r="AL23" i="5"/>
  <c r="AI33" i="5"/>
  <c r="AH33" i="5"/>
  <c r="AN33" i="5"/>
  <c r="AM33" i="5"/>
  <c r="AL33" i="5"/>
  <c r="J7" i="5"/>
  <c r="AC7" i="5"/>
  <c r="AJ13" i="5"/>
  <c r="AI13" i="5"/>
  <c r="AH13" i="5"/>
  <c r="AC15" i="5"/>
  <c r="AB15" i="5"/>
  <c r="AK17" i="5"/>
  <c r="AI19" i="5"/>
  <c r="AH19" i="5"/>
  <c r="AO19" i="5"/>
  <c r="AM19" i="5"/>
  <c r="AK22" i="5"/>
  <c r="AI22" i="5"/>
  <c r="AH22" i="5"/>
  <c r="AM24" i="5"/>
  <c r="AO25" i="5"/>
  <c r="AJ85" i="5"/>
  <c r="AI85" i="5"/>
  <c r="AH85" i="5"/>
  <c r="AN85" i="5"/>
  <c r="AJ16" i="5"/>
  <c r="AJ19" i="5"/>
  <c r="AB23" i="5"/>
  <c r="AM25" i="5"/>
  <c r="AJ58" i="5"/>
  <c r="AJ61" i="5"/>
  <c r="AI61" i="5"/>
  <c r="AH61" i="5"/>
  <c r="AK67" i="5"/>
  <c r="AM75" i="5"/>
  <c r="AL75" i="5"/>
  <c r="AC100" i="5"/>
  <c r="AM100" i="5" s="1"/>
  <c r="AB100" i="5"/>
  <c r="AB17" i="5"/>
  <c r="AL40" i="5"/>
  <c r="AN46" i="5"/>
  <c r="AL46" i="5"/>
  <c r="AC47" i="5"/>
  <c r="AL47" i="5" s="1"/>
  <c r="AB47" i="5"/>
  <c r="AI48" i="5"/>
  <c r="AH48" i="5"/>
  <c r="AC76" i="5"/>
  <c r="AB76" i="5"/>
  <c r="AM76" i="5" s="1"/>
  <c r="AJ79" i="5"/>
  <c r="AI79" i="5"/>
  <c r="AH79" i="5"/>
  <c r="AK85" i="5"/>
  <c r="AI99" i="5"/>
  <c r="AH99" i="5"/>
  <c r="AI133" i="5"/>
  <c r="AH133" i="5"/>
  <c r="AJ152" i="5"/>
  <c r="AH152" i="5"/>
  <c r="Y5" i="5"/>
  <c r="Z5" i="5" s="1"/>
  <c r="J5" i="5" s="1"/>
  <c r="G9" i="5"/>
  <c r="AA9" i="5" s="1"/>
  <c r="S9" i="5"/>
  <c r="AK10" i="5"/>
  <c r="P10" i="5" s="1"/>
  <c r="AM40" i="5"/>
  <c r="AC41" i="5"/>
  <c r="AL41" i="5" s="1"/>
  <c r="AB41" i="5"/>
  <c r="AB42" i="5"/>
  <c r="AM46" i="5"/>
  <c r="AB72" i="5"/>
  <c r="AI75" i="5"/>
  <c r="AH75" i="5"/>
  <c r="AM79" i="5"/>
  <c r="AN81" i="5"/>
  <c r="AK81" i="5"/>
  <c r="AM93" i="5"/>
  <c r="AL93" i="5"/>
  <c r="AC95" i="5"/>
  <c r="AL95" i="5" s="1"/>
  <c r="AB95" i="5"/>
  <c r="AC124" i="5"/>
  <c r="AI151" i="5"/>
  <c r="AH151" i="5"/>
  <c r="AJ170" i="5"/>
  <c r="AH170" i="5"/>
  <c r="AI181" i="5"/>
  <c r="AH181" i="5"/>
  <c r="AB21" i="5"/>
  <c r="AO27" i="5"/>
  <c r="AK27" i="5"/>
  <c r="AJ27" i="5"/>
  <c r="AJ40" i="5"/>
  <c r="AJ46" i="5"/>
  <c r="AH58" i="5"/>
  <c r="AK61" i="5"/>
  <c r="AC71" i="5"/>
  <c r="AB71" i="5"/>
  <c r="AC74" i="5"/>
  <c r="AC94" i="5"/>
  <c r="AM94" i="5" s="1"/>
  <c r="AB94" i="5"/>
  <c r="AM96" i="5"/>
  <c r="AJ105" i="5"/>
  <c r="AO106" i="5"/>
  <c r="AN106" i="5"/>
  <c r="AK106" i="5"/>
  <c r="AJ106" i="5"/>
  <c r="AC126" i="5"/>
  <c r="AL126" i="5" s="1"/>
  <c r="AB126" i="5"/>
  <c r="AJ164" i="5"/>
  <c r="AH164" i="5"/>
  <c r="G8" i="5"/>
  <c r="AA8" i="5" s="1"/>
  <c r="AB8" i="5" s="1"/>
  <c r="S8" i="5"/>
  <c r="AN10" i="5"/>
  <c r="Q10" i="5" s="1"/>
  <c r="AB12" i="5"/>
  <c r="AC17" i="5"/>
  <c r="AM17" i="5" s="1"/>
  <c r="AL24" i="5"/>
  <c r="AL25" i="5"/>
  <c r="AB28" i="5"/>
  <c r="AL28" i="5" s="1"/>
  <c r="AO33" i="5"/>
  <c r="AK33" i="5"/>
  <c r="AJ33" i="5"/>
  <c r="AB34" i="5"/>
  <c r="AN43" i="5"/>
  <c r="AI47" i="5"/>
  <c r="AM69" i="5"/>
  <c r="AL69" i="5"/>
  <c r="AM72" i="5"/>
  <c r="AK79" i="5"/>
  <c r="AI93" i="5"/>
  <c r="AH93" i="5"/>
  <c r="AI96" i="5"/>
  <c r="AJ97" i="5"/>
  <c r="AI97" i="5"/>
  <c r="AH97" i="5"/>
  <c r="AO99" i="5"/>
  <c r="AJ100" i="5"/>
  <c r="AH140" i="5"/>
  <c r="AJ140" i="5"/>
  <c r="AJ158" i="5"/>
  <c r="AH158" i="5"/>
  <c r="AI211" i="5"/>
  <c r="AH211" i="5"/>
  <c r="AL19" i="5"/>
  <c r="AO21" i="5"/>
  <c r="AJ21" i="5"/>
  <c r="AM22" i="5"/>
  <c r="AN23" i="5"/>
  <c r="AB24" i="5"/>
  <c r="AL31" i="5"/>
  <c r="AL37" i="5"/>
  <c r="AI41" i="5"/>
  <c r="AI66" i="5"/>
  <c r="AH66" i="5"/>
  <c r="AC70" i="5"/>
  <c r="AB70" i="5"/>
  <c r="AI72" i="5"/>
  <c r="AJ73" i="5"/>
  <c r="AI73" i="5"/>
  <c r="AH73" i="5"/>
  <c r="AO75" i="5"/>
  <c r="AM87" i="5"/>
  <c r="AL87" i="5"/>
  <c r="AC89" i="5"/>
  <c r="AL89" i="5" s="1"/>
  <c r="AB89" i="5"/>
  <c r="AI95" i="5"/>
  <c r="AK96" i="5"/>
  <c r="AM97" i="5"/>
  <c r="AN99" i="5"/>
  <c r="AK99" i="5"/>
  <c r="AC119" i="5"/>
  <c r="AB119" i="5"/>
  <c r="AH119" i="5" s="1"/>
  <c r="AC155" i="5"/>
  <c r="AB155" i="5"/>
  <c r="AI163" i="5"/>
  <c r="AH163" i="5"/>
  <c r="AO172" i="5"/>
  <c r="AN172" i="5"/>
  <c r="AK172" i="5"/>
  <c r="AJ172" i="5"/>
  <c r="G7" i="5"/>
  <c r="AA7" i="5" s="1"/>
  <c r="AB7" i="5" s="1"/>
  <c r="S7" i="5"/>
  <c r="Y9" i="5"/>
  <c r="Z9" i="5" s="1"/>
  <c r="AK13" i="5"/>
  <c r="AO15" i="5"/>
  <c r="AJ15" i="5"/>
  <c r="AN17" i="5"/>
  <c r="AB18" i="5"/>
  <c r="AO18" i="5" s="1"/>
  <c r="AN22" i="5"/>
  <c r="AK25" i="5"/>
  <c r="AB26" i="5"/>
  <c r="AM28" i="5"/>
  <c r="AC29" i="5"/>
  <c r="AL29" i="5" s="1"/>
  <c r="AB29" i="5"/>
  <c r="AI29" i="5" s="1"/>
  <c r="AK34" i="5"/>
  <c r="AC35" i="5"/>
  <c r="AL35" i="5" s="1"/>
  <c r="AB35" i="5"/>
  <c r="AO41" i="5"/>
  <c r="AN41" i="5"/>
  <c r="AJ48" i="5"/>
  <c r="AB54" i="5"/>
  <c r="AK54" i="5" s="1"/>
  <c r="AN61" i="5"/>
  <c r="AC65" i="5"/>
  <c r="AL65" i="5" s="1"/>
  <c r="AB65" i="5"/>
  <c r="AI69" i="5"/>
  <c r="AH69" i="5"/>
  <c r="AM70" i="5"/>
  <c r="AI71" i="5"/>
  <c r="AJ72" i="5"/>
  <c r="AM73" i="5"/>
  <c r="AN75" i="5"/>
  <c r="AC88" i="5"/>
  <c r="AM88" i="5" s="1"/>
  <c r="AB88" i="5"/>
  <c r="AM90" i="5"/>
  <c r="AO96" i="5"/>
  <c r="AC115" i="5"/>
  <c r="AB115" i="5"/>
  <c r="AH115" i="5" s="1"/>
  <c r="AI121" i="5"/>
  <c r="AH121" i="5"/>
  <c r="AO126" i="5"/>
  <c r="AK152" i="5"/>
  <c r="AI152" i="5"/>
  <c r="AI175" i="5"/>
  <c r="AH175" i="5"/>
  <c r="AI199" i="5"/>
  <c r="AH199" i="5"/>
  <c r="AK19" i="5"/>
  <c r="AB20" i="5"/>
  <c r="AJ28" i="5"/>
  <c r="AK31" i="5"/>
  <c r="AB32" i="5"/>
  <c r="AK37" i="5"/>
  <c r="AB38" i="5"/>
  <c r="AO38" i="5" s="1"/>
  <c r="AJ42" i="5"/>
  <c r="AK48" i="5"/>
  <c r="AJ49" i="5"/>
  <c r="AH49" i="5"/>
  <c r="AB52" i="5"/>
  <c r="AC53" i="5"/>
  <c r="AB53" i="5"/>
  <c r="AN53" i="5" s="1"/>
  <c r="AM66" i="5"/>
  <c r="AC68" i="5"/>
  <c r="AO71" i="5"/>
  <c r="AK72" i="5"/>
  <c r="AN79" i="5"/>
  <c r="AB84" i="5"/>
  <c r="AH84" i="5" s="1"/>
  <c r="AI87" i="5"/>
  <c r="AH87" i="5"/>
  <c r="AI90" i="5"/>
  <c r="AO93" i="5"/>
  <c r="AJ94" i="5"/>
  <c r="AK97" i="5"/>
  <c r="AB111" i="5"/>
  <c r="AH111" i="5" s="1"/>
  <c r="AC113" i="5"/>
  <c r="AB113" i="5"/>
  <c r="AH113" i="5" s="1"/>
  <c r="AN124" i="5"/>
  <c r="AI127" i="5"/>
  <c r="AN139" i="5"/>
  <c r="AL139" i="5"/>
  <c r="AJ146" i="5"/>
  <c r="AH146" i="5"/>
  <c r="G6" i="5"/>
  <c r="AA6" i="5" s="1"/>
  <c r="AB6" i="5" s="1"/>
  <c r="S6" i="5"/>
  <c r="AC12" i="5"/>
  <c r="AN12" i="5" s="1"/>
  <c r="AI23" i="5"/>
  <c r="AB30" i="5"/>
  <c r="AM30" i="5" s="1"/>
  <c r="AB36" i="5"/>
  <c r="AN40" i="5"/>
  <c r="AK42" i="5"/>
  <c r="AO46" i="5"/>
  <c r="AJ47" i="5"/>
  <c r="AM49" i="5"/>
  <c r="AL49" i="5"/>
  <c r="AC52" i="5"/>
  <c r="AM54" i="5"/>
  <c r="AI60" i="5"/>
  <c r="AH60" i="5"/>
  <c r="AC64" i="5"/>
  <c r="AB64" i="5"/>
  <c r="AM64" i="5" s="1"/>
  <c r="AK73" i="5"/>
  <c r="AM81" i="5"/>
  <c r="AL81" i="5"/>
  <c r="AC83" i="5"/>
  <c r="AL83" i="5" s="1"/>
  <c r="AB83" i="5"/>
  <c r="AC86" i="5"/>
  <c r="AI89" i="5"/>
  <c r="AK90" i="5"/>
  <c r="AM91" i="5"/>
  <c r="AN93" i="5"/>
  <c r="AK93" i="5"/>
  <c r="AL96" i="5"/>
  <c r="AC109" i="5"/>
  <c r="AB109" i="5"/>
  <c r="AH109" i="5" s="1"/>
  <c r="AI193" i="5"/>
  <c r="AH193" i="5"/>
  <c r="AN193" i="5"/>
  <c r="AJ10" i="5"/>
  <c r="AL22" i="5"/>
  <c r="AM29" i="5"/>
  <c r="AM35" i="5"/>
  <c r="AL38" i="5"/>
  <c r="AM43" i="5"/>
  <c r="AL43" i="5"/>
  <c r="AC44" i="5"/>
  <c r="AB44" i="5"/>
  <c r="AM44" i="5" s="1"/>
  <c r="AL48" i="5"/>
  <c r="AM52" i="5"/>
  <c r="AC59" i="5"/>
  <c r="AL59" i="5" s="1"/>
  <c r="AB59" i="5"/>
  <c r="AH59" i="5" s="1"/>
  <c r="AI65" i="5"/>
  <c r="AJ67" i="5"/>
  <c r="AI67" i="5"/>
  <c r="AH67" i="5"/>
  <c r="AC82" i="5"/>
  <c r="AB82" i="5"/>
  <c r="AK82" i="5" s="1"/>
  <c r="AO89" i="5"/>
  <c r="AI105" i="5"/>
  <c r="AH105" i="5"/>
  <c r="AC107" i="5"/>
  <c r="AB107" i="5"/>
  <c r="AH107" i="5" s="1"/>
  <c r="AI145" i="5"/>
  <c r="AH145" i="5"/>
  <c r="AO160" i="5"/>
  <c r="AN160" i="5"/>
  <c r="AK160" i="5"/>
  <c r="AJ160" i="5"/>
  <c r="AL199" i="5"/>
  <c r="AN199" i="5"/>
  <c r="S5" i="5"/>
  <c r="AB11" i="5"/>
  <c r="AL11" i="5" s="1"/>
  <c r="AB14" i="5"/>
  <c r="AN14" i="5" s="1"/>
  <c r="AK15" i="5"/>
  <c r="AJ17" i="5"/>
  <c r="AC20" i="5"/>
  <c r="AL21" i="5"/>
  <c r="AK23" i="5"/>
  <c r="AM26" i="5"/>
  <c r="AI26" i="5"/>
  <c r="AO29" i="5"/>
  <c r="AN29" i="5"/>
  <c r="AC32" i="5"/>
  <c r="AL32" i="5" s="1"/>
  <c r="AN35" i="5"/>
  <c r="AM38" i="5"/>
  <c r="AI38" i="5"/>
  <c r="AC39" i="5"/>
  <c r="AB39" i="5"/>
  <c r="AK41" i="5"/>
  <c r="AL42" i="5"/>
  <c r="AC45" i="5"/>
  <c r="AO45" i="5" s="1"/>
  <c r="AB45" i="5"/>
  <c r="AK49" i="5"/>
  <c r="AJ52" i="5"/>
  <c r="AJ54" i="5"/>
  <c r="AJ55" i="5"/>
  <c r="AH55" i="5"/>
  <c r="AC58" i="5"/>
  <c r="AM60" i="5"/>
  <c r="AJ64" i="5"/>
  <c r="AO65" i="5"/>
  <c r="AK66" i="5"/>
  <c r="AM67" i="5"/>
  <c r="AN69" i="5"/>
  <c r="AB78" i="5"/>
  <c r="AI81" i="5"/>
  <c r="AH81" i="5"/>
  <c r="AO87" i="5"/>
  <c r="AJ88" i="5"/>
  <c r="AK91" i="5"/>
  <c r="AN97" i="5"/>
  <c r="AB102" i="5"/>
  <c r="AL106" i="5"/>
  <c r="AI169" i="5"/>
  <c r="AH169" i="5"/>
  <c r="AI187" i="5"/>
  <c r="AH187" i="5"/>
  <c r="AN187" i="5"/>
  <c r="S10" i="5"/>
  <c r="AM20" i="5"/>
  <c r="AJ22" i="5"/>
  <c r="AJ24" i="5"/>
  <c r="AN24" i="5"/>
  <c r="AN26" i="5"/>
  <c r="AM32" i="5"/>
  <c r="AI32" i="5"/>
  <c r="AN38" i="5"/>
  <c r="AK43" i="5"/>
  <c r="AI44" i="5"/>
  <c r="AO53" i="5"/>
  <c r="AK53" i="5"/>
  <c r="AM55" i="5"/>
  <c r="AM58" i="5"/>
  <c r="AN73" i="5"/>
  <c r="AC77" i="5"/>
  <c r="AB77" i="5"/>
  <c r="AC80" i="5"/>
  <c r="AM82" i="5"/>
  <c r="AI83" i="5"/>
  <c r="AM85" i="5"/>
  <c r="AN87" i="5"/>
  <c r="AK87" i="5"/>
  <c r="AL90" i="5"/>
  <c r="AM99" i="5"/>
  <c r="AL99" i="5"/>
  <c r="AC101" i="5"/>
  <c r="AL101" i="5" s="1"/>
  <c r="AB101" i="5"/>
  <c r="AC104" i="5"/>
  <c r="AO104" i="5" s="1"/>
  <c r="AB104" i="5"/>
  <c r="AJ117" i="5"/>
  <c r="AH134" i="5"/>
  <c r="AJ134" i="5"/>
  <c r="AJ194" i="5"/>
  <c r="AH194" i="5"/>
  <c r="AC197" i="5"/>
  <c r="AL197" i="5" s="1"/>
  <c r="AB197" i="5"/>
  <c r="AO55" i="5"/>
  <c r="AO61" i="5"/>
  <c r="AK65" i="5"/>
  <c r="AO67" i="5"/>
  <c r="AK71" i="5"/>
  <c r="AO73" i="5"/>
  <c r="AK77" i="5"/>
  <c r="AO79" i="5"/>
  <c r="AK83" i="5"/>
  <c r="AO85" i="5"/>
  <c r="AK89" i="5"/>
  <c r="AO91" i="5"/>
  <c r="AK95" i="5"/>
  <c r="AO97" i="5"/>
  <c r="AK101" i="5"/>
  <c r="AK136" i="5"/>
  <c r="AJ136" i="5"/>
  <c r="AO142" i="5"/>
  <c r="AK142" i="5"/>
  <c r="AJ142" i="5"/>
  <c r="AC156" i="5"/>
  <c r="AB156" i="5"/>
  <c r="AK175" i="5"/>
  <c r="AK181" i="5"/>
  <c r="AK187" i="5"/>
  <c r="AK194" i="5"/>
  <c r="AI194" i="5"/>
  <c r="AN200" i="5"/>
  <c r="AL200" i="5"/>
  <c r="AJ236" i="5"/>
  <c r="AH236" i="5"/>
  <c r="AJ253" i="5"/>
  <c r="AH253" i="5"/>
  <c r="AJ277" i="5"/>
  <c r="AH277" i="5"/>
  <c r="AN30" i="5"/>
  <c r="AN36" i="5"/>
  <c r="AN42" i="5"/>
  <c r="AN48" i="5"/>
  <c r="AN54" i="5"/>
  <c r="AN60" i="5"/>
  <c r="AN66" i="5"/>
  <c r="AN72" i="5"/>
  <c r="AN78" i="5"/>
  <c r="AN90" i="5"/>
  <c r="AN96" i="5"/>
  <c r="AO102" i="5"/>
  <c r="AK104" i="5"/>
  <c r="AC122" i="5"/>
  <c r="AC134" i="5"/>
  <c r="AC146" i="5"/>
  <c r="AK163" i="5"/>
  <c r="AK164" i="5"/>
  <c r="AI164" i="5"/>
  <c r="AC167" i="5"/>
  <c r="AB167" i="5"/>
  <c r="AM193" i="5"/>
  <c r="AJ200" i="5"/>
  <c r="AH200" i="5"/>
  <c r="AC203" i="5"/>
  <c r="AB203" i="5"/>
  <c r="AM203" i="5" s="1"/>
  <c r="AK40" i="5"/>
  <c r="AO42" i="5"/>
  <c r="AK46" i="5"/>
  <c r="AM47" i="5"/>
  <c r="AO48" i="5"/>
  <c r="AK52" i="5"/>
  <c r="AM53" i="5"/>
  <c r="AO54" i="5"/>
  <c r="AK58" i="5"/>
  <c r="AM59" i="5"/>
  <c r="AO60" i="5"/>
  <c r="AK64" i="5"/>
  <c r="AM65" i="5"/>
  <c r="AO66" i="5"/>
  <c r="AK70" i="5"/>
  <c r="AM71" i="5"/>
  <c r="AO72" i="5"/>
  <c r="AK76" i="5"/>
  <c r="AM77" i="5"/>
  <c r="AO78" i="5"/>
  <c r="AM83" i="5"/>
  <c r="AO84" i="5"/>
  <c r="AK88" i="5"/>
  <c r="AM89" i="5"/>
  <c r="AK94" i="5"/>
  <c r="AM95" i="5"/>
  <c r="AK100" i="5"/>
  <c r="AM101" i="5"/>
  <c r="AK121" i="5"/>
  <c r="AJ121" i="5"/>
  <c r="AM124" i="5"/>
  <c r="AI126" i="5"/>
  <c r="AM126" i="5"/>
  <c r="AC127" i="5"/>
  <c r="AL127" i="5" s="1"/>
  <c r="AK133" i="5"/>
  <c r="AL140" i="5"/>
  <c r="AL151" i="5"/>
  <c r="AC168" i="5"/>
  <c r="AB168" i="5"/>
  <c r="AK193" i="5"/>
  <c r="AO194" i="5"/>
  <c r="AM200" i="5"/>
  <c r="AK200" i="5"/>
  <c r="AI200" i="5"/>
  <c r="AC206" i="5"/>
  <c r="AL236" i="5"/>
  <c r="AN236" i="5"/>
  <c r="AJ39" i="5"/>
  <c r="AJ45" i="5"/>
  <c r="AJ63" i="5"/>
  <c r="AN65" i="5"/>
  <c r="AJ69" i="5"/>
  <c r="AN71" i="5"/>
  <c r="AJ75" i="5"/>
  <c r="AN77" i="5"/>
  <c r="AJ81" i="5"/>
  <c r="AN83" i="5"/>
  <c r="AJ87" i="5"/>
  <c r="AN89" i="5"/>
  <c r="AJ93" i="5"/>
  <c r="AN95" i="5"/>
  <c r="AJ99" i="5"/>
  <c r="AN101" i="5"/>
  <c r="AM102" i="5"/>
  <c r="AM109" i="5"/>
  <c r="AM115" i="5"/>
  <c r="AK126" i="5"/>
  <c r="AC135" i="5"/>
  <c r="AN136" i="5"/>
  <c r="AM139" i="5"/>
  <c r="AC141" i="5"/>
  <c r="AN142" i="5"/>
  <c r="AK145" i="5"/>
  <c r="AM155" i="5"/>
  <c r="AI156" i="5"/>
  <c r="AC158" i="5"/>
  <c r="AC169" i="5"/>
  <c r="AM197" i="5"/>
  <c r="AM199" i="5"/>
  <c r="AB206" i="5"/>
  <c r="AC209" i="5"/>
  <c r="AB209" i="5"/>
  <c r="AC210" i="5"/>
  <c r="AL211" i="5"/>
  <c r="AM211" i="5"/>
  <c r="AK39" i="5"/>
  <c r="AK45" i="5"/>
  <c r="AK63" i="5"/>
  <c r="AK69" i="5"/>
  <c r="AK75" i="5"/>
  <c r="AI107" i="5"/>
  <c r="AK109" i="5"/>
  <c r="AO109" i="5"/>
  <c r="AC110" i="5"/>
  <c r="AI113" i="5"/>
  <c r="AK115" i="5"/>
  <c r="AO115" i="5"/>
  <c r="AC116" i="5"/>
  <c r="AI119" i="5"/>
  <c r="AM122" i="5"/>
  <c r="AI122" i="5"/>
  <c r="AC123" i="5"/>
  <c r="AO123" i="5" s="1"/>
  <c r="AB123" i="5"/>
  <c r="AC125" i="5"/>
  <c r="AM134" i="5"/>
  <c r="AI134" i="5"/>
  <c r="AO136" i="5"/>
  <c r="AK146" i="5"/>
  <c r="AI146" i="5"/>
  <c r="AC149" i="5"/>
  <c r="AO149" i="5" s="1"/>
  <c r="AB149" i="5"/>
  <c r="AO154" i="5"/>
  <c r="AN154" i="5"/>
  <c r="AK154" i="5"/>
  <c r="AJ154" i="5"/>
  <c r="AO155" i="5"/>
  <c r="AK156" i="5"/>
  <c r="AI157" i="5"/>
  <c r="AH157" i="5"/>
  <c r="AO197" i="5"/>
  <c r="AK199" i="5"/>
  <c r="AO200" i="5"/>
  <c r="AI205" i="5"/>
  <c r="AH205" i="5"/>
  <c r="AK206" i="5"/>
  <c r="AI206" i="5"/>
  <c r="AO206" i="5"/>
  <c r="AC212" i="5"/>
  <c r="AJ103" i="5"/>
  <c r="AO107" i="5"/>
  <c r="AK107" i="5"/>
  <c r="AO113" i="5"/>
  <c r="AK113" i="5"/>
  <c r="AO119" i="5"/>
  <c r="AK119" i="5"/>
  <c r="AM140" i="5"/>
  <c r="AK140" i="5"/>
  <c r="AI140" i="5"/>
  <c r="AC150" i="5"/>
  <c r="AL150" i="5" s="1"/>
  <c r="AB150" i="5"/>
  <c r="AO156" i="5"/>
  <c r="AM157" i="5"/>
  <c r="AM167" i="5"/>
  <c r="AI168" i="5"/>
  <c r="AC170" i="5"/>
  <c r="AJ212" i="5"/>
  <c r="AH212" i="5"/>
  <c r="AM104" i="5"/>
  <c r="AO122" i="5"/>
  <c r="AM127" i="5"/>
  <c r="AO134" i="5"/>
  <c r="AM158" i="5"/>
  <c r="AK158" i="5"/>
  <c r="AI158" i="5"/>
  <c r="AC161" i="5"/>
  <c r="AL161" i="5" s="1"/>
  <c r="AB161" i="5"/>
  <c r="AO166" i="5"/>
  <c r="AN166" i="5"/>
  <c r="AK166" i="5"/>
  <c r="AJ166" i="5"/>
  <c r="AO167" i="5"/>
  <c r="AC173" i="5"/>
  <c r="AO173" i="5" s="1"/>
  <c r="AB173" i="5"/>
  <c r="AO203" i="5"/>
  <c r="AK212" i="5"/>
  <c r="AI212" i="5"/>
  <c r="AO212" i="5"/>
  <c r="AN39" i="5"/>
  <c r="AN45" i="5"/>
  <c r="AB51" i="5"/>
  <c r="AB57" i="5"/>
  <c r="AM57" i="5" s="1"/>
  <c r="AB63" i="5"/>
  <c r="AN63" i="5" s="1"/>
  <c r="AB110" i="5"/>
  <c r="AM110" i="5" s="1"/>
  <c r="AI111" i="5"/>
  <c r="AB112" i="5"/>
  <c r="AH112" i="5" s="1"/>
  <c r="AB116" i="5"/>
  <c r="AI116" i="5" s="1"/>
  <c r="AI117" i="5"/>
  <c r="AB118" i="5"/>
  <c r="AH118" i="5" s="1"/>
  <c r="AB120" i="5"/>
  <c r="AH120" i="5" s="1"/>
  <c r="AJ124" i="5"/>
  <c r="AK127" i="5"/>
  <c r="AJ127" i="5"/>
  <c r="AO127" i="5"/>
  <c r="AH139" i="5"/>
  <c r="AO140" i="5"/>
  <c r="AC162" i="5"/>
  <c r="AB162" i="5"/>
  <c r="AN162" i="5" s="1"/>
  <c r="AO168" i="5"/>
  <c r="AM169" i="5"/>
  <c r="AL175" i="5"/>
  <c r="AC179" i="5"/>
  <c r="AO179" i="5" s="1"/>
  <c r="AB179" i="5"/>
  <c r="AK179" i="5" s="1"/>
  <c r="AL181" i="5"/>
  <c r="AC185" i="5"/>
  <c r="AL185" i="5" s="1"/>
  <c r="AB185" i="5"/>
  <c r="AI185" i="5" s="1"/>
  <c r="AL187" i="5"/>
  <c r="AM209" i="5"/>
  <c r="AI102" i="5"/>
  <c r="AB108" i="5"/>
  <c r="AH108" i="5" s="1"/>
  <c r="AI109" i="5"/>
  <c r="AI110" i="5"/>
  <c r="AB114" i="5"/>
  <c r="AH114" i="5" s="1"/>
  <c r="AI115" i="5"/>
  <c r="AM116" i="5"/>
  <c r="AK124" i="5"/>
  <c r="AB125" i="5"/>
  <c r="AK125" i="5" s="1"/>
  <c r="AN126" i="5"/>
  <c r="AB128" i="5"/>
  <c r="AN128" i="5" s="1"/>
  <c r="AK130" i="5"/>
  <c r="AJ130" i="5"/>
  <c r="AC132" i="5"/>
  <c r="AO132" i="5" s="1"/>
  <c r="AB132" i="5"/>
  <c r="AH132" i="5" s="1"/>
  <c r="AC143" i="5"/>
  <c r="AB143" i="5"/>
  <c r="AC152" i="5"/>
  <c r="AO152" i="5" s="1"/>
  <c r="AO158" i="5"/>
  <c r="AC163" i="5"/>
  <c r="AK169" i="5"/>
  <c r="AM170" i="5"/>
  <c r="AK170" i="5"/>
  <c r="AI170" i="5"/>
  <c r="AL172" i="5"/>
  <c r="AL188" i="5"/>
  <c r="AO209" i="5"/>
  <c r="AO210" i="5"/>
  <c r="AK211" i="5"/>
  <c r="AB50" i="5"/>
  <c r="AH50" i="5" s="1"/>
  <c r="AL55" i="5"/>
  <c r="AB56" i="5"/>
  <c r="AN56" i="5"/>
  <c r="AL61" i="5"/>
  <c r="AB62" i="5"/>
  <c r="AH62" i="5" s="1"/>
  <c r="AL67" i="5"/>
  <c r="AB68" i="5"/>
  <c r="AH68" i="5" s="1"/>
  <c r="AN68" i="5"/>
  <c r="AL73" i="5"/>
  <c r="AB74" i="5"/>
  <c r="AH74" i="5" s="1"/>
  <c r="AJ78" i="5"/>
  <c r="AL79" i="5"/>
  <c r="AB80" i="5"/>
  <c r="AH80" i="5" s="1"/>
  <c r="AJ84" i="5"/>
  <c r="AL85" i="5"/>
  <c r="AB86" i="5"/>
  <c r="AH86" i="5" s="1"/>
  <c r="AN86" i="5"/>
  <c r="AJ90" i="5"/>
  <c r="AL91" i="5"/>
  <c r="AB92" i="5"/>
  <c r="AH92" i="5" s="1"/>
  <c r="AJ96" i="5"/>
  <c r="AL97" i="5"/>
  <c r="AB98" i="5"/>
  <c r="AH98" i="5" s="1"/>
  <c r="AJ102" i="5"/>
  <c r="AC105" i="5"/>
  <c r="AM105" i="5" s="1"/>
  <c r="AM106" i="5"/>
  <c r="AI106" i="5"/>
  <c r="AJ107" i="5"/>
  <c r="AJ109" i="5"/>
  <c r="AC111" i="5"/>
  <c r="AI112" i="5"/>
  <c r="AJ113" i="5"/>
  <c r="AJ115" i="5"/>
  <c r="AC117" i="5"/>
  <c r="AM117" i="5" s="1"/>
  <c r="AJ119" i="5"/>
  <c r="AM120" i="5"/>
  <c r="AC121" i="5"/>
  <c r="AL121" i="5" s="1"/>
  <c r="AJ122" i="5"/>
  <c r="AI125" i="5"/>
  <c r="AM128" i="5"/>
  <c r="AI128" i="5"/>
  <c r="AC129" i="5"/>
  <c r="AM129" i="5" s="1"/>
  <c r="AB129" i="5"/>
  <c r="AC133" i="5"/>
  <c r="AK134" i="5"/>
  <c r="AL136" i="5"/>
  <c r="AC137" i="5"/>
  <c r="AB137" i="5"/>
  <c r="AL142" i="5"/>
  <c r="AC144" i="5"/>
  <c r="AB144" i="5"/>
  <c r="AK144" i="5" s="1"/>
  <c r="AO148" i="5"/>
  <c r="AN148" i="5"/>
  <c r="AK148" i="5"/>
  <c r="AJ148" i="5"/>
  <c r="AK150" i="5"/>
  <c r="AM172" i="5"/>
  <c r="AB176" i="5"/>
  <c r="AO176" i="5" s="1"/>
  <c r="AL178" i="5"/>
  <c r="AB182" i="5"/>
  <c r="AL184" i="5"/>
  <c r="AB188" i="5"/>
  <c r="AC191" i="5"/>
  <c r="AL191" i="5" s="1"/>
  <c r="AB191" i="5"/>
  <c r="AC192" i="5"/>
  <c r="AN192" i="5" s="1"/>
  <c r="AL193" i="5"/>
  <c r="AN205" i="5"/>
  <c r="AB103" i="5"/>
  <c r="AH103" i="5" s="1"/>
  <c r="AI108" i="5"/>
  <c r="AM108" i="5"/>
  <c r="AO110" i="5"/>
  <c r="AI114" i="5"/>
  <c r="AO116" i="5"/>
  <c r="AK122" i="5"/>
  <c r="AO125" i="5"/>
  <c r="AB131" i="5"/>
  <c r="AH131" i="5" s="1"/>
  <c r="AM136" i="5"/>
  <c r="AC138" i="5"/>
  <c r="AB138" i="5"/>
  <c r="AN140" i="5"/>
  <c r="AC145" i="5"/>
  <c r="AO150" i="5"/>
  <c r="AM151" i="5"/>
  <c r="AN157" i="5"/>
  <c r="AI162" i="5"/>
  <c r="AC164" i="5"/>
  <c r="AO170" i="5"/>
  <c r="AM173" i="5"/>
  <c r="AK176" i="5"/>
  <c r="AM178" i="5"/>
  <c r="AM184" i="5"/>
  <c r="AI186" i="5"/>
  <c r="AM188" i="5"/>
  <c r="AK188" i="5"/>
  <c r="AI188" i="5"/>
  <c r="AC194" i="5"/>
  <c r="AI155" i="5"/>
  <c r="AI161" i="5"/>
  <c r="AI167" i="5"/>
  <c r="AI173" i="5"/>
  <c r="AI179" i="5"/>
  <c r="AI191" i="5"/>
  <c r="AI197" i="5"/>
  <c r="AI203" i="5"/>
  <c r="AI209" i="5"/>
  <c r="AI223" i="5"/>
  <c r="AK224" i="5"/>
  <c r="AI240" i="5"/>
  <c r="AK247" i="5"/>
  <c r="AC253" i="5"/>
  <c r="AL270" i="5"/>
  <c r="AK271" i="5"/>
  <c r="AC277" i="5"/>
  <c r="AI124" i="5"/>
  <c r="AI130" i="5"/>
  <c r="AM132" i="5"/>
  <c r="AO133" i="5"/>
  <c r="AI136" i="5"/>
  <c r="AK137" i="5"/>
  <c r="AO139" i="5"/>
  <c r="AI142" i="5"/>
  <c r="AM144" i="5"/>
  <c r="AO145" i="5"/>
  <c r="AI148" i="5"/>
  <c r="AM150" i="5"/>
  <c r="AO151" i="5"/>
  <c r="AI154" i="5"/>
  <c r="AK155" i="5"/>
  <c r="AM156" i="5"/>
  <c r="AO157" i="5"/>
  <c r="AI160" i="5"/>
  <c r="AK161" i="5"/>
  <c r="AM162" i="5"/>
  <c r="AO163" i="5"/>
  <c r="AI166" i="5"/>
  <c r="AK167" i="5"/>
  <c r="AM168" i="5"/>
  <c r="AO169" i="5"/>
  <c r="AI172" i="5"/>
  <c r="AK173" i="5"/>
  <c r="AO175" i="5"/>
  <c r="AI178" i="5"/>
  <c r="AO181" i="5"/>
  <c r="AI184" i="5"/>
  <c r="AO187" i="5"/>
  <c r="AI190" i="5"/>
  <c r="AK191" i="5"/>
  <c r="AM192" i="5"/>
  <c r="AO193" i="5"/>
  <c r="AI196" i="5"/>
  <c r="AK197" i="5"/>
  <c r="AO199" i="5"/>
  <c r="AI202" i="5"/>
  <c r="AK203" i="5"/>
  <c r="AO205" i="5"/>
  <c r="AK209" i="5"/>
  <c r="AM210" i="5"/>
  <c r="AO211" i="5"/>
  <c r="AC221" i="5"/>
  <c r="AL221" i="5" s="1"/>
  <c r="AB221" i="5"/>
  <c r="AH221" i="5" s="1"/>
  <c r="AC234" i="5"/>
  <c r="AB234" i="5"/>
  <c r="AC235" i="5"/>
  <c r="AB238" i="5"/>
  <c r="AN238" i="5" s="1"/>
  <c r="AN240" i="5"/>
  <c r="AI253" i="5"/>
  <c r="AB268" i="5"/>
  <c r="AN268" i="5" s="1"/>
  <c r="AI277" i="5"/>
  <c r="AN156" i="5"/>
  <c r="AN168" i="5"/>
  <c r="AB174" i="5"/>
  <c r="AM174" i="5" s="1"/>
  <c r="AJ178" i="5"/>
  <c r="AB180" i="5"/>
  <c r="AN180" i="5" s="1"/>
  <c r="AJ184" i="5"/>
  <c r="AB186" i="5"/>
  <c r="AN186" i="5"/>
  <c r="AJ190" i="5"/>
  <c r="AB192" i="5"/>
  <c r="AK192" i="5" s="1"/>
  <c r="AJ196" i="5"/>
  <c r="AB198" i="5"/>
  <c r="AO198" i="5" s="1"/>
  <c r="AJ202" i="5"/>
  <c r="AB204" i="5"/>
  <c r="AO204" i="5" s="1"/>
  <c r="AJ208" i="5"/>
  <c r="AB210" i="5"/>
  <c r="AN210" i="5" s="1"/>
  <c r="AC228" i="5"/>
  <c r="AB228" i="5"/>
  <c r="AC229" i="5"/>
  <c r="AL230" i="5"/>
  <c r="AL232" i="5"/>
  <c r="AM238" i="5"/>
  <c r="AC244" i="5"/>
  <c r="AM244" i="5" s="1"/>
  <c r="AK253" i="5"/>
  <c r="AC259" i="5"/>
  <c r="AL266" i="5"/>
  <c r="AO270" i="5"/>
  <c r="AL276" i="5"/>
  <c r="AK277" i="5"/>
  <c r="AK178" i="5"/>
  <c r="AK184" i="5"/>
  <c r="AK190" i="5"/>
  <c r="AI195" i="5"/>
  <c r="AK196" i="5"/>
  <c r="AK202" i="5"/>
  <c r="AK208" i="5"/>
  <c r="AB213" i="5"/>
  <c r="AC227" i="5"/>
  <c r="AB235" i="5"/>
  <c r="AB237" i="5"/>
  <c r="AH237" i="5" s="1"/>
  <c r="AO238" i="5"/>
  <c r="AJ244" i="5"/>
  <c r="AH244" i="5"/>
  <c r="AJ259" i="5"/>
  <c r="AH259" i="5"/>
  <c r="AO268" i="5"/>
  <c r="AM276" i="5"/>
  <c r="AN137" i="5"/>
  <c r="AN143" i="5"/>
  <c r="AN149" i="5"/>
  <c r="AN155" i="5"/>
  <c r="AN161" i="5"/>
  <c r="AN167" i="5"/>
  <c r="AN173" i="5"/>
  <c r="AN179" i="5"/>
  <c r="AN185" i="5"/>
  <c r="AN191" i="5"/>
  <c r="AN197" i="5"/>
  <c r="AN203" i="5"/>
  <c r="AL208" i="5"/>
  <c r="AN209" i="5"/>
  <c r="AJ229" i="5"/>
  <c r="AH229" i="5"/>
  <c r="AI234" i="5"/>
  <c r="AI235" i="5"/>
  <c r="AM236" i="5"/>
  <c r="AM237" i="5"/>
  <c r="AL242" i="5"/>
  <c r="AI259" i="5"/>
  <c r="AB274" i="5"/>
  <c r="AK105" i="5"/>
  <c r="AK111" i="5"/>
  <c r="AK117" i="5"/>
  <c r="AK123" i="5"/>
  <c r="AK129" i="5"/>
  <c r="AB217" i="5"/>
  <c r="AN220" i="5"/>
  <c r="AM227" i="5"/>
  <c r="AI228" i="5"/>
  <c r="AI229" i="5"/>
  <c r="AJ230" i="5"/>
  <c r="AH230" i="5"/>
  <c r="AB231" i="5"/>
  <c r="AH231" i="5" s="1"/>
  <c r="AO233" i="5"/>
  <c r="AK235" i="5"/>
  <c r="AO244" i="5"/>
  <c r="AB250" i="5"/>
  <c r="AO250" i="5" s="1"/>
  <c r="AK259" i="5"/>
  <c r="AC265" i="5"/>
  <c r="AM266" i="5"/>
  <c r="AO276" i="5"/>
  <c r="AN178" i="5"/>
  <c r="AN184" i="5"/>
  <c r="AN190" i="5"/>
  <c r="AN196" i="5"/>
  <c r="AN202" i="5"/>
  <c r="AN208" i="5"/>
  <c r="AL213" i="5"/>
  <c r="AM218" i="5"/>
  <c r="AL218" i="5"/>
  <c r="AO220" i="5"/>
  <c r="AC225" i="5"/>
  <c r="AO227" i="5"/>
  <c r="AO228" i="5"/>
  <c r="AI231" i="5"/>
  <c r="AK232" i="5"/>
  <c r="AN234" i="5"/>
  <c r="AK236" i="5"/>
  <c r="AM250" i="5"/>
  <c r="AC256" i="5"/>
  <c r="AO256" i="5" s="1"/>
  <c r="AM258" i="5"/>
  <c r="AJ265" i="5"/>
  <c r="AH265" i="5"/>
  <c r="AK266" i="5"/>
  <c r="AC216" i="5"/>
  <c r="AL216" i="5" s="1"/>
  <c r="AB216" i="5"/>
  <c r="AM217" i="5"/>
  <c r="AI218" i="5"/>
  <c r="AH218" i="5"/>
  <c r="AL224" i="5"/>
  <c r="AN227" i="5"/>
  <c r="AO232" i="5"/>
  <c r="AN232" i="5"/>
  <c r="AJ232" i="5"/>
  <c r="AL241" i="5"/>
  <c r="AM242" i="5"/>
  <c r="AJ256" i="5"/>
  <c r="AH256" i="5"/>
  <c r="AM257" i="5"/>
  <c r="AN266" i="5"/>
  <c r="AK285" i="5"/>
  <c r="AJ133" i="5"/>
  <c r="AB135" i="5"/>
  <c r="AH135" i="5" s="1"/>
  <c r="AJ139" i="5"/>
  <c r="AB141" i="5"/>
  <c r="AH141" i="5" s="1"/>
  <c r="AJ145" i="5"/>
  <c r="AB147" i="5"/>
  <c r="AH147" i="5" s="1"/>
  <c r="AJ151" i="5"/>
  <c r="AB153" i="5"/>
  <c r="AH153" i="5" s="1"/>
  <c r="AJ157" i="5"/>
  <c r="AB159" i="5"/>
  <c r="AH159" i="5" s="1"/>
  <c r="AJ163" i="5"/>
  <c r="AB165" i="5"/>
  <c r="AH165" i="5" s="1"/>
  <c r="AJ169" i="5"/>
  <c r="AB171" i="5"/>
  <c r="AH171" i="5" s="1"/>
  <c r="AJ175" i="5"/>
  <c r="AB177" i="5"/>
  <c r="AH177" i="5" s="1"/>
  <c r="AJ181" i="5"/>
  <c r="AB183" i="5"/>
  <c r="AH183" i="5" s="1"/>
  <c r="AJ187" i="5"/>
  <c r="AB189" i="5"/>
  <c r="AH189" i="5" s="1"/>
  <c r="AJ193" i="5"/>
  <c r="AB195" i="5"/>
  <c r="AH195" i="5" s="1"/>
  <c r="AJ199" i="5"/>
  <c r="AB201" i="5"/>
  <c r="AH201" i="5" s="1"/>
  <c r="AJ205" i="5"/>
  <c r="AB207" i="5"/>
  <c r="AH207" i="5" s="1"/>
  <c r="AJ211" i="5"/>
  <c r="AN213" i="5"/>
  <c r="AB214" i="5"/>
  <c r="AL215" i="5"/>
  <c r="AB223" i="5"/>
  <c r="AH223" i="5" s="1"/>
  <c r="AO226" i="5"/>
  <c r="AO230" i="5"/>
  <c r="AN231" i="5"/>
  <c r="AL240" i="5"/>
  <c r="AB241" i="5"/>
  <c r="AM241" i="5" s="1"/>
  <c r="AK242" i="5"/>
  <c r="AL254" i="5"/>
  <c r="AO257" i="5"/>
  <c r="AK265" i="5"/>
  <c r="AC271" i="5"/>
  <c r="AC214" i="5"/>
  <c r="AB215" i="5"/>
  <c r="AK218" i="5"/>
  <c r="AN226" i="5"/>
  <c r="AI241" i="5"/>
  <c r="AC247" i="5"/>
  <c r="AM248" i="5"/>
  <c r="AC262" i="5"/>
  <c r="AJ271" i="5"/>
  <c r="AH271" i="5"/>
  <c r="AL278" i="5"/>
  <c r="AM278" i="5"/>
  <c r="AM215" i="5"/>
  <c r="AC222" i="5"/>
  <c r="AL222" i="5" s="1"/>
  <c r="AB222" i="5"/>
  <c r="AM224" i="5"/>
  <c r="AJ247" i="5"/>
  <c r="AH247" i="5"/>
  <c r="AK248" i="5"/>
  <c r="AJ262" i="5"/>
  <c r="AH262" i="5"/>
  <c r="AI278" i="5"/>
  <c r="AJ240" i="5"/>
  <c r="AB242" i="5"/>
  <c r="AN242" i="5"/>
  <c r="AJ246" i="5"/>
  <c r="AB248" i="5"/>
  <c r="AN248" i="5"/>
  <c r="AB254" i="5"/>
  <c r="AN254" i="5"/>
  <c r="AJ258" i="5"/>
  <c r="AB260" i="5"/>
  <c r="AN260" i="5" s="1"/>
  <c r="AB266" i="5"/>
  <c r="AJ270" i="5"/>
  <c r="AB272" i="5"/>
  <c r="AN272" i="5" s="1"/>
  <c r="AJ276" i="5"/>
  <c r="AJ278" i="5"/>
  <c r="AB291" i="5"/>
  <c r="AC291" i="5"/>
  <c r="AN291" i="5" s="1"/>
  <c r="AO304" i="5"/>
  <c r="AM304" i="5"/>
  <c r="AL304" i="5"/>
  <c r="AB309" i="5"/>
  <c r="AC309" i="5"/>
  <c r="AN309" i="5" s="1"/>
  <c r="AN310" i="5"/>
  <c r="AN316" i="5"/>
  <c r="AB319" i="5"/>
  <c r="AM320" i="5"/>
  <c r="AC330" i="5"/>
  <c r="AB330" i="5"/>
  <c r="AH330" i="5" s="1"/>
  <c r="AJ334" i="5"/>
  <c r="AI334" i="5"/>
  <c r="AH334" i="5"/>
  <c r="AK216" i="5"/>
  <c r="AO218" i="5"/>
  <c r="AK222" i="5"/>
  <c r="AM223" i="5"/>
  <c r="AO224" i="5"/>
  <c r="AK228" i="5"/>
  <c r="AM229" i="5"/>
  <c r="AI233" i="5"/>
  <c r="AK234" i="5"/>
  <c r="AM235" i="5"/>
  <c r="AO236" i="5"/>
  <c r="AK240" i="5"/>
  <c r="AO242" i="5"/>
  <c r="AI245" i="5"/>
  <c r="AM253" i="5"/>
  <c r="AO254" i="5"/>
  <c r="AI257" i="5"/>
  <c r="AM259" i="5"/>
  <c r="AI263" i="5"/>
  <c r="AM265" i="5"/>
  <c r="AO266" i="5"/>
  <c r="AM277" i="5"/>
  <c r="AB281" i="5"/>
  <c r="AL281" i="5" s="1"/>
  <c r="AB290" i="5"/>
  <c r="AL290" i="5" s="1"/>
  <c r="AB295" i="5"/>
  <c r="AK310" i="5"/>
  <c r="AB313" i="5"/>
  <c r="AC314" i="5"/>
  <c r="AB314" i="5"/>
  <c r="AK314" i="5" s="1"/>
  <c r="AO319" i="5"/>
  <c r="AM319" i="5"/>
  <c r="AL319" i="5"/>
  <c r="AK320" i="5"/>
  <c r="AN325" i="5"/>
  <c r="AI330" i="5"/>
  <c r="AC335" i="5"/>
  <c r="AB335" i="5"/>
  <c r="AJ215" i="5"/>
  <c r="AN217" i="5"/>
  <c r="AJ221" i="5"/>
  <c r="AN223" i="5"/>
  <c r="AK299" i="5"/>
  <c r="AI299" i="5"/>
  <c r="AH299" i="5"/>
  <c r="AK303" i="5"/>
  <c r="AH303" i="5"/>
  <c r="AC324" i="5"/>
  <c r="AB324" i="5"/>
  <c r="AH324" i="5" s="1"/>
  <c r="AM328" i="5"/>
  <c r="AJ328" i="5"/>
  <c r="AI328" i="5"/>
  <c r="AH328" i="5"/>
  <c r="AO330" i="5"/>
  <c r="AK215" i="5"/>
  <c r="AM216" i="5"/>
  <c r="AI220" i="5"/>
  <c r="AO223" i="5"/>
  <c r="AI226" i="5"/>
  <c r="AK227" i="5"/>
  <c r="AM228" i="5"/>
  <c r="AO229" i="5"/>
  <c r="AI232" i="5"/>
  <c r="AK233" i="5"/>
  <c r="AM234" i="5"/>
  <c r="AO235" i="5"/>
  <c r="AI238" i="5"/>
  <c r="AM240" i="5"/>
  <c r="AO241" i="5"/>
  <c r="AI244" i="5"/>
  <c r="AK245" i="5"/>
  <c r="AI250" i="5"/>
  <c r="AO253" i="5"/>
  <c r="AI256" i="5"/>
  <c r="AK257" i="5"/>
  <c r="AI262" i="5"/>
  <c r="AO265" i="5"/>
  <c r="AI268" i="5"/>
  <c r="AO271" i="5"/>
  <c r="AI274" i="5"/>
  <c r="AO277" i="5"/>
  <c r="AB283" i="5"/>
  <c r="AO299" i="5"/>
  <c r="AL299" i="5"/>
  <c r="AN304" i="5"/>
  <c r="AB307" i="5"/>
  <c r="AC308" i="5"/>
  <c r="AB308" i="5"/>
  <c r="AK308" i="5" s="1"/>
  <c r="AN319" i="5"/>
  <c r="AI324" i="5"/>
  <c r="AC329" i="5"/>
  <c r="AB329" i="5"/>
  <c r="AC333" i="5"/>
  <c r="AO335" i="5"/>
  <c r="AJ226" i="5"/>
  <c r="AB246" i="5"/>
  <c r="AO246" i="5" s="1"/>
  <c r="AB252" i="5"/>
  <c r="AM252" i="5" s="1"/>
  <c r="AB258" i="5"/>
  <c r="AN258" i="5"/>
  <c r="AB264" i="5"/>
  <c r="AN264" i="5"/>
  <c r="AB270" i="5"/>
  <c r="AK270" i="5" s="1"/>
  <c r="AN270" i="5"/>
  <c r="AB276" i="5"/>
  <c r="AK276" i="5" s="1"/>
  <c r="AN276" i="5"/>
  <c r="AN280" i="5"/>
  <c r="AB284" i="5"/>
  <c r="AL284" i="5" s="1"/>
  <c r="AK290" i="5"/>
  <c r="AI298" i="5"/>
  <c r="AH298" i="5"/>
  <c r="AM299" i="5"/>
  <c r="AI303" i="5"/>
  <c r="AO313" i="5"/>
  <c r="AC318" i="5"/>
  <c r="AB318" i="5"/>
  <c r="AH318" i="5" s="1"/>
  <c r="AM322" i="5"/>
  <c r="AJ322" i="5"/>
  <c r="AI322" i="5"/>
  <c r="AH322" i="5"/>
  <c r="AO324" i="5"/>
  <c r="AK333" i="5"/>
  <c r="AI333" i="5"/>
  <c r="AH333" i="5"/>
  <c r="AK214" i="5"/>
  <c r="AK220" i="5"/>
  <c r="AK226" i="5"/>
  <c r="AK238" i="5"/>
  <c r="AI243" i="5"/>
  <c r="AK244" i="5"/>
  <c r="AK250" i="5"/>
  <c r="AK256" i="5"/>
  <c r="AK262" i="5"/>
  <c r="AK268" i="5"/>
  <c r="AK274" i="5"/>
  <c r="AJ281" i="5"/>
  <c r="AI282" i="5"/>
  <c r="AN283" i="5"/>
  <c r="AL283" i="5"/>
  <c r="AB285" i="5"/>
  <c r="AH285" i="5" s="1"/>
  <c r="AB286" i="5"/>
  <c r="AC289" i="5"/>
  <c r="AB289" i="5"/>
  <c r="AC294" i="5"/>
  <c r="AB294" i="5"/>
  <c r="AH294" i="5" s="1"/>
  <c r="AO298" i="5"/>
  <c r="AM298" i="5"/>
  <c r="AL298" i="5"/>
  <c r="AN299" i="5"/>
  <c r="AI302" i="5"/>
  <c r="AH302" i="5"/>
  <c r="AB312" i="5"/>
  <c r="AH312" i="5" s="1"/>
  <c r="AC323" i="5"/>
  <c r="AB323" i="5"/>
  <c r="AK323" i="5" s="1"/>
  <c r="AM327" i="5"/>
  <c r="AL327" i="5"/>
  <c r="AN329" i="5"/>
  <c r="AC338" i="5"/>
  <c r="AB338" i="5"/>
  <c r="AK338" i="5" s="1"/>
  <c r="AN221" i="5"/>
  <c r="AB227" i="5"/>
  <c r="AJ231" i="5"/>
  <c r="AB233" i="5"/>
  <c r="AM233" i="5" s="1"/>
  <c r="AN233" i="5"/>
  <c r="AJ237" i="5"/>
  <c r="AB239" i="5"/>
  <c r="AI239" i="5" s="1"/>
  <c r="AN239" i="5"/>
  <c r="AJ243" i="5"/>
  <c r="AB245" i="5"/>
  <c r="AL245" i="5" s="1"/>
  <c r="AJ249" i="5"/>
  <c r="AB251" i="5"/>
  <c r="AB257" i="5"/>
  <c r="AL257" i="5" s="1"/>
  <c r="AN257" i="5"/>
  <c r="AB263" i="5"/>
  <c r="AO263" i="5" s="1"/>
  <c r="AN263" i="5"/>
  <c r="AB269" i="5"/>
  <c r="AN269" i="5" s="1"/>
  <c r="AB275" i="5"/>
  <c r="AN275" i="5" s="1"/>
  <c r="AO278" i="5"/>
  <c r="AN282" i="5"/>
  <c r="AL302" i="5"/>
  <c r="AO307" i="5"/>
  <c r="AJ313" i="5"/>
  <c r="AM316" i="5"/>
  <c r="AJ316" i="5"/>
  <c r="AI316" i="5"/>
  <c r="AH316" i="5"/>
  <c r="AK327" i="5"/>
  <c r="AI327" i="5"/>
  <c r="AH327" i="5"/>
  <c r="AO328" i="5"/>
  <c r="AN334" i="5"/>
  <c r="AB337" i="5"/>
  <c r="AK219" i="5"/>
  <c r="AI224" i="5"/>
  <c r="AI230" i="5"/>
  <c r="AK231" i="5"/>
  <c r="AI236" i="5"/>
  <c r="AK237" i="5"/>
  <c r="AI242" i="5"/>
  <c r="AI248" i="5"/>
  <c r="AI254" i="5"/>
  <c r="AI260" i="5"/>
  <c r="AI266" i="5"/>
  <c r="AI272" i="5"/>
  <c r="AB278" i="5"/>
  <c r="AN278" i="5" s="1"/>
  <c r="AJ283" i="5"/>
  <c r="AB287" i="5"/>
  <c r="AL287" i="5" s="1"/>
  <c r="AB288" i="5"/>
  <c r="AO288" i="5" s="1"/>
  <c r="AJ289" i="5"/>
  <c r="AB293" i="5"/>
  <c r="AO293" i="5" s="1"/>
  <c r="AO294" i="5"/>
  <c r="AB297" i="5"/>
  <c r="AM302" i="5"/>
  <c r="AB311" i="5"/>
  <c r="AO312" i="5"/>
  <c r="AC317" i="5"/>
  <c r="AB317" i="5"/>
  <c r="AC321" i="5"/>
  <c r="AK328" i="5"/>
  <c r="AC332" i="5"/>
  <c r="AO332" i="5" s="1"/>
  <c r="AB332" i="5"/>
  <c r="AO337" i="5"/>
  <c r="AL337" i="5"/>
  <c r="AJ218" i="5"/>
  <c r="AB220" i="5"/>
  <c r="AH220" i="5" s="1"/>
  <c r="AJ224" i="5"/>
  <c r="AN284" i="5"/>
  <c r="AI285" i="5"/>
  <c r="AL286" i="5"/>
  <c r="AI301" i="5"/>
  <c r="AH301" i="5"/>
  <c r="AJ307" i="5"/>
  <c r="AI310" i="5"/>
  <c r="AH310" i="5"/>
  <c r="AO311" i="5"/>
  <c r="AM311" i="5"/>
  <c r="AK321" i="5"/>
  <c r="AH321" i="5"/>
  <c r="AK326" i="5"/>
  <c r="AI326" i="5"/>
  <c r="AH326" i="5"/>
  <c r="AN328" i="5"/>
  <c r="AJ331" i="5"/>
  <c r="AI331" i="5"/>
  <c r="AH331" i="5"/>
  <c r="AI247" i="5"/>
  <c r="AO280" i="5"/>
  <c r="AJ285" i="5"/>
  <c r="AO285" i="5"/>
  <c r="AB292" i="5"/>
  <c r="AN292" i="5" s="1"/>
  <c r="AI297" i="5"/>
  <c r="AO301" i="5"/>
  <c r="AM301" i="5"/>
  <c r="AL301" i="5"/>
  <c r="AO310" i="5"/>
  <c r="AM310" i="5"/>
  <c r="AL310" i="5"/>
  <c r="AC315" i="5"/>
  <c r="AN317" i="5"/>
  <c r="AI321" i="5"/>
  <c r="AL326" i="5"/>
  <c r="AM326" i="5"/>
  <c r="AO331" i="5"/>
  <c r="AM331" i="5"/>
  <c r="AL331" i="5"/>
  <c r="AN337" i="5"/>
  <c r="AJ217" i="5"/>
  <c r="AB219" i="5"/>
  <c r="AO219" i="5" s="1"/>
  <c r="AN219" i="5"/>
  <c r="AJ223" i="5"/>
  <c r="AB225" i="5"/>
  <c r="AH225" i="5" s="1"/>
  <c r="AB243" i="5"/>
  <c r="AH243" i="5" s="1"/>
  <c r="AB249" i="5"/>
  <c r="AO249" i="5" s="1"/>
  <c r="AN249" i="5"/>
  <c r="AB255" i="5"/>
  <c r="AM255" i="5" s="1"/>
  <c r="AN255" i="5"/>
  <c r="AB261" i="5"/>
  <c r="AL261" i="5" s="1"/>
  <c r="AB267" i="5"/>
  <c r="AN267" i="5" s="1"/>
  <c r="AB273" i="5"/>
  <c r="AN273" i="5" s="1"/>
  <c r="AB280" i="5"/>
  <c r="AM280" i="5" s="1"/>
  <c r="AM287" i="5"/>
  <c r="AO292" i="5"/>
  <c r="AM292" i="5"/>
  <c r="AL292" i="5"/>
  <c r="AB296" i="5"/>
  <c r="AK296" i="5" s="1"/>
  <c r="AC305" i="5"/>
  <c r="AB305" i="5"/>
  <c r="AN311" i="5"/>
  <c r="AK315" i="5"/>
  <c r="AH315" i="5"/>
  <c r="AI320" i="5"/>
  <c r="AH320" i="5"/>
  <c r="AN321" i="5"/>
  <c r="AN322" i="5"/>
  <c r="AB325" i="5"/>
  <c r="AC336" i="5"/>
  <c r="AO336" i="5" s="1"/>
  <c r="AB336" i="5"/>
  <c r="AH336" i="5" s="1"/>
  <c r="AO345" i="5"/>
  <c r="AB279" i="5"/>
  <c r="AH279" i="5" s="1"/>
  <c r="AC279" i="5"/>
  <c r="AO279" i="5" s="1"/>
  <c r="AM283" i="5"/>
  <c r="AJ287" i="5"/>
  <c r="AL296" i="5"/>
  <c r="AJ301" i="5"/>
  <c r="AJ304" i="5"/>
  <c r="AI304" i="5"/>
  <c r="AH304" i="5"/>
  <c r="AI315" i="5"/>
  <c r="AL320" i="5"/>
  <c r="AO325" i="5"/>
  <c r="AM325" i="5"/>
  <c r="AL325" i="5"/>
  <c r="AJ326" i="5"/>
  <c r="AN331" i="5"/>
  <c r="AL340" i="5"/>
  <c r="AM340" i="5"/>
  <c r="AO340" i="5"/>
  <c r="AK283" i="5"/>
  <c r="AC285" i="5"/>
  <c r="AN285" i="5" s="1"/>
  <c r="AK289" i="5"/>
  <c r="AO291" i="5"/>
  <c r="AC297" i="5"/>
  <c r="AO297" i="5"/>
  <c r="AK301" i="5"/>
  <c r="AC303" i="5"/>
  <c r="AN303" i="5" s="1"/>
  <c r="AO303" i="5"/>
  <c r="AK307" i="5"/>
  <c r="AK313" i="5"/>
  <c r="AO315" i="5"/>
  <c r="AK319" i="5"/>
  <c r="AO321" i="5"/>
  <c r="AK325" i="5"/>
  <c r="AO327" i="5"/>
  <c r="AK331" i="5"/>
  <c r="AO333" i="5"/>
  <c r="AB341" i="5"/>
  <c r="AM343" i="5"/>
  <c r="AL343" i="5"/>
  <c r="AM345" i="5"/>
  <c r="AB369" i="5"/>
  <c r="AL379" i="5"/>
  <c r="AO380" i="5"/>
  <c r="AK390" i="5"/>
  <c r="AM409" i="5"/>
  <c r="AN290" i="5"/>
  <c r="AJ294" i="5"/>
  <c r="AN296" i="5"/>
  <c r="AN302" i="5"/>
  <c r="AL307" i="5"/>
  <c r="AN308" i="5"/>
  <c r="AJ312" i="5"/>
  <c r="AL313" i="5"/>
  <c r="AN314" i="5"/>
  <c r="AN320" i="5"/>
  <c r="AJ324" i="5"/>
  <c r="AN326" i="5"/>
  <c r="AJ330" i="5"/>
  <c r="AJ336" i="5"/>
  <c r="AJ339" i="5"/>
  <c r="AL341" i="5"/>
  <c r="AM342" i="5"/>
  <c r="AL342" i="5"/>
  <c r="AB352" i="5"/>
  <c r="AL352" i="5" s="1"/>
  <c r="AB356" i="5"/>
  <c r="AM356" i="5" s="1"/>
  <c r="AJ357" i="5"/>
  <c r="AB360" i="5"/>
  <c r="AO361" i="5"/>
  <c r="AI365" i="5"/>
  <c r="AO369" i="5"/>
  <c r="AM369" i="5"/>
  <c r="AL369" i="5"/>
  <c r="AM379" i="5"/>
  <c r="AB383" i="5"/>
  <c r="AH383" i="5" s="1"/>
  <c r="AB387" i="5"/>
  <c r="AI392" i="5"/>
  <c r="AH392" i="5"/>
  <c r="AO290" i="5"/>
  <c r="AK294" i="5"/>
  <c r="AO296" i="5"/>
  <c r="AO302" i="5"/>
  <c r="AM307" i="5"/>
  <c r="AO308" i="5"/>
  <c r="AM313" i="5"/>
  <c r="AO320" i="5"/>
  <c r="AK324" i="5"/>
  <c r="AO326" i="5"/>
  <c r="AK330" i="5"/>
  <c r="AK336" i="5"/>
  <c r="AO338" i="5"/>
  <c r="AO360" i="5"/>
  <c r="AM360" i="5"/>
  <c r="AL360" i="5"/>
  <c r="AI364" i="5"/>
  <c r="AH364" i="5"/>
  <c r="AN365" i="5"/>
  <c r="AC373" i="5"/>
  <c r="AB373" i="5"/>
  <c r="AO373" i="5" s="1"/>
  <c r="AO374" i="5"/>
  <c r="AO387" i="5"/>
  <c r="AN387" i="5"/>
  <c r="AM387" i="5"/>
  <c r="AL387" i="5"/>
  <c r="AN289" i="5"/>
  <c r="AJ293" i="5"/>
  <c r="AN295" i="5"/>
  <c r="AJ299" i="5"/>
  <c r="AN301" i="5"/>
  <c r="AN307" i="5"/>
  <c r="AJ311" i="5"/>
  <c r="AN313" i="5"/>
  <c r="AJ317" i="5"/>
  <c r="AJ323" i="5"/>
  <c r="AJ335" i="5"/>
  <c r="AJ340" i="5"/>
  <c r="AN340" i="5"/>
  <c r="AN342" i="5"/>
  <c r="AO343" i="5"/>
  <c r="AN343" i="5"/>
  <c r="AJ343" i="5"/>
  <c r="AK346" i="5"/>
  <c r="AB351" i="5"/>
  <c r="AO351" i="5" s="1"/>
  <c r="AL364" i="5"/>
  <c r="AJ369" i="5"/>
  <c r="AB377" i="5"/>
  <c r="AO378" i="5"/>
  <c r="AB382" i="5"/>
  <c r="AN383" i="5"/>
  <c r="AC386" i="5"/>
  <c r="AK317" i="5"/>
  <c r="AK329" i="5"/>
  <c r="AK335" i="5"/>
  <c r="AN341" i="5"/>
  <c r="AB350" i="5"/>
  <c r="AK352" i="5"/>
  <c r="AI355" i="5"/>
  <c r="AH355" i="5"/>
  <c r="AO356" i="5"/>
  <c r="AN360" i="5"/>
  <c r="AI372" i="5"/>
  <c r="AH372" i="5"/>
  <c r="AM377" i="5"/>
  <c r="AL377" i="5"/>
  <c r="AK387" i="5"/>
  <c r="AM443" i="5"/>
  <c r="AB282" i="5"/>
  <c r="AL282" i="5" s="1"/>
  <c r="AJ286" i="5"/>
  <c r="AJ292" i="5"/>
  <c r="AN294" i="5"/>
  <c r="AJ298" i="5"/>
  <c r="AB300" i="5"/>
  <c r="AH300" i="5" s="1"/>
  <c r="AB306" i="5"/>
  <c r="AH306" i="5" s="1"/>
  <c r="AN306" i="5"/>
  <c r="AJ310" i="5"/>
  <c r="AN318" i="5"/>
  <c r="AN324" i="5"/>
  <c r="AN330" i="5"/>
  <c r="AN336" i="5"/>
  <c r="AM355" i="5"/>
  <c r="AL355" i="5"/>
  <c r="AM359" i="5"/>
  <c r="AL359" i="5"/>
  <c r="AI363" i="5"/>
  <c r="AH363" i="5"/>
  <c r="AK364" i="5"/>
  <c r="AK367" i="5"/>
  <c r="AI367" i="5"/>
  <c r="AH367" i="5"/>
  <c r="AO372" i="5"/>
  <c r="AM372" i="5"/>
  <c r="AL372" i="5"/>
  <c r="AI376" i="5"/>
  <c r="AH376" i="5"/>
  <c r="AN378" i="5"/>
  <c r="AM382" i="5"/>
  <c r="AJ390" i="5"/>
  <c r="AI390" i="5"/>
  <c r="AH390" i="5"/>
  <c r="AM392" i="5"/>
  <c r="AK280" i="5"/>
  <c r="AK286" i="5"/>
  <c r="AK292" i="5"/>
  <c r="AK298" i="5"/>
  <c r="AK304" i="5"/>
  <c r="AK316" i="5"/>
  <c r="AK322" i="5"/>
  <c r="AI340" i="5"/>
  <c r="AI342" i="5"/>
  <c r="AB348" i="5"/>
  <c r="AB349" i="5"/>
  <c r="AN349" i="5" s="1"/>
  <c r="AI359" i="5"/>
  <c r="AO363" i="5"/>
  <c r="AM363" i="5"/>
  <c r="AL363" i="5"/>
  <c r="AL367" i="5"/>
  <c r="AL376" i="5"/>
  <c r="AM376" i="5"/>
  <c r="AN377" i="5"/>
  <c r="AB381" i="5"/>
  <c r="AO381" i="5" s="1"/>
  <c r="AB385" i="5"/>
  <c r="AI386" i="5"/>
  <c r="AK391" i="5"/>
  <c r="AI391" i="5"/>
  <c r="AH391" i="5"/>
  <c r="AN392" i="5"/>
  <c r="AM406" i="5"/>
  <c r="AJ291" i="5"/>
  <c r="AJ297" i="5"/>
  <c r="AJ303" i="5"/>
  <c r="AJ309" i="5"/>
  <c r="AJ315" i="5"/>
  <c r="AL316" i="5"/>
  <c r="AJ321" i="5"/>
  <c r="AL322" i="5"/>
  <c r="AJ327" i="5"/>
  <c r="AL328" i="5"/>
  <c r="AJ333" i="5"/>
  <c r="AL334" i="5"/>
  <c r="AN335" i="5"/>
  <c r="AB339" i="5"/>
  <c r="AK340" i="5"/>
  <c r="AB347" i="5"/>
  <c r="AH347" i="5" s="1"/>
  <c r="AB354" i="5"/>
  <c r="AO355" i="5"/>
  <c r="AN359" i="5"/>
  <c r="AM367" i="5"/>
  <c r="AB371" i="5"/>
  <c r="AN372" i="5"/>
  <c r="AL381" i="5"/>
  <c r="AL385" i="5"/>
  <c r="AO386" i="5"/>
  <c r="AL391" i="5"/>
  <c r="AO392" i="5"/>
  <c r="AM401" i="5"/>
  <c r="AL401" i="5"/>
  <c r="AO401" i="5"/>
  <c r="AM437" i="5"/>
  <c r="AL437" i="5"/>
  <c r="AO437" i="5"/>
  <c r="AM334" i="5"/>
  <c r="AM348" i="5"/>
  <c r="AL348" i="5"/>
  <c r="AO354" i="5"/>
  <c r="AM354" i="5"/>
  <c r="AL354" i="5"/>
  <c r="AC358" i="5"/>
  <c r="AB358" i="5"/>
  <c r="AK358" i="5" s="1"/>
  <c r="AC362" i="5"/>
  <c r="AN362" i="5" s="1"/>
  <c r="AB362" i="5"/>
  <c r="AH362" i="5" s="1"/>
  <c r="AI366" i="5"/>
  <c r="AH366" i="5"/>
  <c r="AI375" i="5"/>
  <c r="AH375" i="5"/>
  <c r="AK375" i="5"/>
  <c r="AM380" i="5"/>
  <c r="AL380" i="5"/>
  <c r="AM385" i="5"/>
  <c r="AM389" i="5"/>
  <c r="AJ290" i="5"/>
  <c r="AJ296" i="5"/>
  <c r="AJ302" i="5"/>
  <c r="AJ314" i="5"/>
  <c r="AJ320" i="5"/>
  <c r="AJ338" i="5"/>
  <c r="AB345" i="5"/>
  <c r="AJ345" i="5" s="1"/>
  <c r="AB346" i="5"/>
  <c r="AN346" i="5" s="1"/>
  <c r="AO349" i="5"/>
  <c r="AJ349" i="5"/>
  <c r="AO366" i="5"/>
  <c r="AM366" i="5"/>
  <c r="AL366" i="5"/>
  <c r="AB370" i="5"/>
  <c r="AM370" i="5" s="1"/>
  <c r="AO375" i="5"/>
  <c r="AM375" i="5"/>
  <c r="AL375" i="5"/>
  <c r="AK376" i="5"/>
  <c r="AH380" i="5"/>
  <c r="AI380" i="5"/>
  <c r="AB384" i="5"/>
  <c r="AO385" i="5"/>
  <c r="AB389" i="5"/>
  <c r="AI389" i="5" s="1"/>
  <c r="AO390" i="5"/>
  <c r="AO391" i="5"/>
  <c r="AN348" i="5"/>
  <c r="AN354" i="5"/>
  <c r="AI357" i="5"/>
  <c r="AH357" i="5"/>
  <c r="AK361" i="5"/>
  <c r="AI361" i="5"/>
  <c r="AH361" i="5"/>
  <c r="AL370" i="5"/>
  <c r="AH374" i="5"/>
  <c r="AI374" i="5"/>
  <c r="AI378" i="5"/>
  <c r="AH378" i="5"/>
  <c r="AN384" i="5"/>
  <c r="AM384" i="5"/>
  <c r="AL384" i="5"/>
  <c r="AK342" i="5"/>
  <c r="AH342" i="5"/>
  <c r="AI343" i="5"/>
  <c r="AH343" i="5"/>
  <c r="AC344" i="5"/>
  <c r="AB344" i="5"/>
  <c r="AH344" i="5" s="1"/>
  <c r="AB353" i="5"/>
  <c r="AC353" i="5"/>
  <c r="AN353" i="5" s="1"/>
  <c r="AO357" i="5"/>
  <c r="AM357" i="5"/>
  <c r="AL357" i="5"/>
  <c r="AM361" i="5"/>
  <c r="AL361" i="5"/>
  <c r="AN366" i="5"/>
  <c r="AM374" i="5"/>
  <c r="AL374" i="5"/>
  <c r="AJ375" i="5"/>
  <c r="AK379" i="5"/>
  <c r="AI379" i="5"/>
  <c r="AH379" i="5"/>
  <c r="AB388" i="5"/>
  <c r="AL388" i="5" s="1"/>
  <c r="AO341" i="5"/>
  <c r="AK345" i="5"/>
  <c r="AC347" i="5"/>
  <c r="AN347" i="5" s="1"/>
  <c r="AO347" i="5"/>
  <c r="AK351" i="5"/>
  <c r="AK357" i="5"/>
  <c r="AO359" i="5"/>
  <c r="AK363" i="5"/>
  <c r="AC365" i="5"/>
  <c r="AO365" i="5"/>
  <c r="AO377" i="5"/>
  <c r="AO383" i="5"/>
  <c r="AC395" i="5"/>
  <c r="AM402" i="5"/>
  <c r="AL402" i="5"/>
  <c r="AJ405" i="5"/>
  <c r="AI410" i="5"/>
  <c r="AB415" i="5"/>
  <c r="AN416" i="5"/>
  <c r="AO422" i="5"/>
  <c r="AM422" i="5"/>
  <c r="AL422" i="5"/>
  <c r="AL429" i="5"/>
  <c r="AL436" i="5"/>
  <c r="AB443" i="5"/>
  <c r="AB444" i="5"/>
  <c r="AN444" i="5" s="1"/>
  <c r="AN452" i="5"/>
  <c r="AJ344" i="5"/>
  <c r="AJ350" i="5"/>
  <c r="AJ356" i="5"/>
  <c r="AN358" i="5"/>
  <c r="AJ362" i="5"/>
  <c r="AN364" i="5"/>
  <c r="AJ374" i="5"/>
  <c r="AN376" i="5"/>
  <c r="AJ380" i="5"/>
  <c r="AN382" i="5"/>
  <c r="AJ386" i="5"/>
  <c r="AB396" i="5"/>
  <c r="AB397" i="5"/>
  <c r="AH397" i="5" s="1"/>
  <c r="AB398" i="5"/>
  <c r="AJ398" i="5" s="1"/>
  <c r="AB399" i="5"/>
  <c r="AL415" i="5"/>
  <c r="AB428" i="5"/>
  <c r="AN428" i="5" s="1"/>
  <c r="AM429" i="5"/>
  <c r="AJ431" i="5"/>
  <c r="AB435" i="5"/>
  <c r="AC451" i="5"/>
  <c r="AB451" i="5"/>
  <c r="AO451" i="5" s="1"/>
  <c r="AC466" i="5"/>
  <c r="AO466" i="5" s="1"/>
  <c r="AB466" i="5"/>
  <c r="AH467" i="5"/>
  <c r="AO467" i="5"/>
  <c r="AI467" i="5"/>
  <c r="AI478" i="5"/>
  <c r="AH478" i="5"/>
  <c r="AL478" i="5"/>
  <c r="AO352" i="5"/>
  <c r="AK356" i="5"/>
  <c r="AO358" i="5"/>
  <c r="AK362" i="5"/>
  <c r="AO364" i="5"/>
  <c r="AO370" i="5"/>
  <c r="AK374" i="5"/>
  <c r="AO376" i="5"/>
  <c r="AK380" i="5"/>
  <c r="AK386" i="5"/>
  <c r="AO388" i="5"/>
  <c r="AJ395" i="5"/>
  <c r="AL399" i="5"/>
  <c r="AK413" i="5"/>
  <c r="AI413" i="5"/>
  <c r="AH413" i="5"/>
  <c r="AI421" i="5"/>
  <c r="AH421" i="5"/>
  <c r="AL428" i="5"/>
  <c r="AM435" i="5"/>
  <c r="AL435" i="5"/>
  <c r="AO438" i="5"/>
  <c r="AN438" i="5"/>
  <c r="AK438" i="5"/>
  <c r="AJ438" i="5"/>
  <c r="AC442" i="5"/>
  <c r="AO442" i="5" s="1"/>
  <c r="AB442" i="5"/>
  <c r="AK449" i="5"/>
  <c r="AI449" i="5"/>
  <c r="AH449" i="5"/>
  <c r="AO464" i="5"/>
  <c r="AJ491" i="5"/>
  <c r="AH491" i="5"/>
  <c r="AO491" i="5"/>
  <c r="AN491" i="5"/>
  <c r="AN345" i="5"/>
  <c r="AJ355" i="5"/>
  <c r="AN357" i="5"/>
  <c r="AJ361" i="5"/>
  <c r="AN363" i="5"/>
  <c r="AJ367" i="5"/>
  <c r="AN369" i="5"/>
  <c r="AJ373" i="5"/>
  <c r="AN375" i="5"/>
  <c r="AJ379" i="5"/>
  <c r="AJ391" i="5"/>
  <c r="AM399" i="5"/>
  <c r="AJ400" i="5"/>
  <c r="AJ401" i="5"/>
  <c r="AO402" i="5"/>
  <c r="AN402" i="5"/>
  <c r="AJ402" i="5"/>
  <c r="AC414" i="5"/>
  <c r="AB414" i="5"/>
  <c r="AO415" i="5"/>
  <c r="AM421" i="5"/>
  <c r="AL421" i="5"/>
  <c r="AB434" i="5"/>
  <c r="AJ436" i="5"/>
  <c r="AJ437" i="5"/>
  <c r="AB441" i="5"/>
  <c r="AC450" i="5"/>
  <c r="AB450" i="5"/>
  <c r="AK450" i="5" s="1"/>
  <c r="AH473" i="5"/>
  <c r="AN473" i="5"/>
  <c r="AM473" i="5"/>
  <c r="AC483" i="5"/>
  <c r="AB483" i="5"/>
  <c r="AI484" i="5"/>
  <c r="AH484" i="5"/>
  <c r="AJ497" i="5"/>
  <c r="AH497" i="5"/>
  <c r="AK355" i="5"/>
  <c r="AI396" i="5"/>
  <c r="AO397" i="5"/>
  <c r="AO399" i="5"/>
  <c r="AN399" i="5"/>
  <c r="AJ399" i="5"/>
  <c r="AC412" i="5"/>
  <c r="AB412" i="5"/>
  <c r="AN412" i="5" s="1"/>
  <c r="AI420" i="5"/>
  <c r="AH420" i="5"/>
  <c r="AI427" i="5"/>
  <c r="AH427" i="5"/>
  <c r="AO434" i="5"/>
  <c r="AM434" i="5"/>
  <c r="AO435" i="5"/>
  <c r="AO444" i="5"/>
  <c r="AC448" i="5"/>
  <c r="AB448" i="5"/>
  <c r="AH461" i="5"/>
  <c r="AN461" i="5"/>
  <c r="AJ342" i="5"/>
  <c r="AJ348" i="5"/>
  <c r="AN350" i="5"/>
  <c r="AJ354" i="5"/>
  <c r="AN356" i="5"/>
  <c r="AJ360" i="5"/>
  <c r="AJ366" i="5"/>
  <c r="AB368" i="5"/>
  <c r="AJ372" i="5"/>
  <c r="AN374" i="5"/>
  <c r="AJ378" i="5"/>
  <c r="AN380" i="5"/>
  <c r="AN386" i="5"/>
  <c r="AI395" i="5"/>
  <c r="AO396" i="5"/>
  <c r="AN396" i="5"/>
  <c r="AN398" i="5"/>
  <c r="AI411" i="5"/>
  <c r="AH411" i="5"/>
  <c r="AM413" i="5"/>
  <c r="AL413" i="5"/>
  <c r="AK418" i="5"/>
  <c r="AI418" i="5"/>
  <c r="AH418" i="5"/>
  <c r="AK419" i="5"/>
  <c r="AI419" i="5"/>
  <c r="AH419" i="5"/>
  <c r="AM420" i="5"/>
  <c r="AL420" i="5"/>
  <c r="AO421" i="5"/>
  <c r="AI422" i="5"/>
  <c r="AM427" i="5"/>
  <c r="AL427" i="5"/>
  <c r="AJ442" i="5"/>
  <c r="AJ443" i="5"/>
  <c r="AI447" i="5"/>
  <c r="AH447" i="5"/>
  <c r="AM449" i="5"/>
  <c r="AL449" i="5"/>
  <c r="AB455" i="5"/>
  <c r="AJ503" i="5"/>
  <c r="AH503" i="5"/>
  <c r="AO503" i="5"/>
  <c r="AK348" i="5"/>
  <c r="AK354" i="5"/>
  <c r="AK360" i="5"/>
  <c r="AK366" i="5"/>
  <c r="AK372" i="5"/>
  <c r="AK378" i="5"/>
  <c r="AB393" i="5"/>
  <c r="AK395" i="5"/>
  <c r="AK402" i="5"/>
  <c r="AB407" i="5"/>
  <c r="AM407" i="5" s="1"/>
  <c r="AB409" i="5"/>
  <c r="AM411" i="5"/>
  <c r="AL411" i="5"/>
  <c r="AN414" i="5"/>
  <c r="AJ414" i="5"/>
  <c r="AL418" i="5"/>
  <c r="AB425" i="5"/>
  <c r="AB426" i="5"/>
  <c r="AB433" i="5"/>
  <c r="AN434" i="5"/>
  <c r="AO440" i="5"/>
  <c r="AM440" i="5"/>
  <c r="AL440" i="5"/>
  <c r="AM447" i="5"/>
  <c r="AL447" i="5"/>
  <c r="AO450" i="5"/>
  <c r="AN450" i="5"/>
  <c r="AC454" i="5"/>
  <c r="AB454" i="5"/>
  <c r="AN465" i="5"/>
  <c r="AO465" i="5"/>
  <c r="AK465" i="5"/>
  <c r="AJ465" i="5"/>
  <c r="AJ341" i="5"/>
  <c r="AJ347" i="5"/>
  <c r="AJ353" i="5"/>
  <c r="AN355" i="5"/>
  <c r="AJ359" i="5"/>
  <c r="AN361" i="5"/>
  <c r="AJ365" i="5"/>
  <c r="AN367" i="5"/>
  <c r="AJ371" i="5"/>
  <c r="AN373" i="5"/>
  <c r="AJ377" i="5"/>
  <c r="AL378" i="5"/>
  <c r="AN379" i="5"/>
  <c r="AJ383" i="5"/>
  <c r="AN385" i="5"/>
  <c r="AL390" i="5"/>
  <c r="AN391" i="5"/>
  <c r="AK392" i="5"/>
  <c r="AJ392" i="5"/>
  <c r="AK399" i="5"/>
  <c r="AB406" i="5"/>
  <c r="AL409" i="5"/>
  <c r="AM410" i="5"/>
  <c r="AL410" i="5"/>
  <c r="AJ413" i="5"/>
  <c r="AB417" i="5"/>
  <c r="AC419" i="5"/>
  <c r="AB424" i="5"/>
  <c r="AM426" i="5"/>
  <c r="AO427" i="5"/>
  <c r="AB446" i="5"/>
  <c r="AK446" i="5" s="1"/>
  <c r="AJ448" i="5"/>
  <c r="AJ449" i="5"/>
  <c r="AB453" i="5"/>
  <c r="AJ453" i="5" s="1"/>
  <c r="AI462" i="5"/>
  <c r="AC481" i="5"/>
  <c r="AB481" i="5"/>
  <c r="AH481" i="5" s="1"/>
  <c r="AK341" i="5"/>
  <c r="AK347" i="5"/>
  <c r="AK353" i="5"/>
  <c r="AK359" i="5"/>
  <c r="AK365" i="5"/>
  <c r="AK371" i="5"/>
  <c r="AK377" i="5"/>
  <c r="AM378" i="5"/>
  <c r="AK383" i="5"/>
  <c r="AM390" i="5"/>
  <c r="AL406" i="5"/>
  <c r="AC408" i="5"/>
  <c r="AB408" i="5"/>
  <c r="AN408" i="5" s="1"/>
  <c r="AM417" i="5"/>
  <c r="AL417" i="5"/>
  <c r="AO420" i="5"/>
  <c r="AN420" i="5"/>
  <c r="AK420" i="5"/>
  <c r="AJ420" i="5"/>
  <c r="AI439" i="5"/>
  <c r="AH439" i="5"/>
  <c r="AL446" i="5"/>
  <c r="AL453" i="5"/>
  <c r="AK455" i="5"/>
  <c r="AO455" i="5"/>
  <c r="AN455" i="5"/>
  <c r="AB470" i="5"/>
  <c r="AC470" i="5"/>
  <c r="AC472" i="5"/>
  <c r="AB472" i="5"/>
  <c r="AJ352" i="5"/>
  <c r="AJ358" i="5"/>
  <c r="AJ364" i="5"/>
  <c r="AJ370" i="5"/>
  <c r="AJ376" i="5"/>
  <c r="AJ388" i="5"/>
  <c r="AN390" i="5"/>
  <c r="AB404" i="5"/>
  <c r="AJ404" i="5" s="1"/>
  <c r="AN410" i="5"/>
  <c r="AB416" i="5"/>
  <c r="AJ418" i="5"/>
  <c r="AJ419" i="5"/>
  <c r="AB423" i="5"/>
  <c r="AM425" i="5"/>
  <c r="AL425" i="5"/>
  <c r="AB430" i="5"/>
  <c r="AJ430" i="5" s="1"/>
  <c r="AK431" i="5"/>
  <c r="AI431" i="5"/>
  <c r="AH431" i="5"/>
  <c r="AC432" i="5"/>
  <c r="AB432" i="5"/>
  <c r="AO432" i="5" s="1"/>
  <c r="AM439" i="5"/>
  <c r="AL439" i="5"/>
  <c r="AB452" i="5"/>
  <c r="AJ454" i="5"/>
  <c r="AC460" i="5"/>
  <c r="AB460" i="5"/>
  <c r="AO473" i="5"/>
  <c r="AO474" i="5"/>
  <c r="AK474" i="5"/>
  <c r="AK401" i="5"/>
  <c r="AH401" i="5"/>
  <c r="AB403" i="5"/>
  <c r="AO403" i="5" s="1"/>
  <c r="AC405" i="5"/>
  <c r="AB405" i="5"/>
  <c r="AO409" i="5"/>
  <c r="AO416" i="5"/>
  <c r="AM416" i="5"/>
  <c r="AO417" i="5"/>
  <c r="AM423" i="5"/>
  <c r="AL423" i="5"/>
  <c r="AO426" i="5"/>
  <c r="AN426" i="5"/>
  <c r="AK426" i="5"/>
  <c r="AJ426" i="5"/>
  <c r="AK437" i="5"/>
  <c r="AI437" i="5"/>
  <c r="AH437" i="5"/>
  <c r="AI438" i="5"/>
  <c r="AH438" i="5"/>
  <c r="AO452" i="5"/>
  <c r="AM452" i="5"/>
  <c r="AL452" i="5"/>
  <c r="AO453" i="5"/>
  <c r="AO461" i="5"/>
  <c r="AB400" i="5"/>
  <c r="AI402" i="5"/>
  <c r="AH402" i="5"/>
  <c r="AJ406" i="5"/>
  <c r="AO408" i="5"/>
  <c r="AK411" i="5"/>
  <c r="AJ425" i="5"/>
  <c r="AI429" i="5"/>
  <c r="AH429" i="5"/>
  <c r="AM431" i="5"/>
  <c r="AL431" i="5"/>
  <c r="AK436" i="5"/>
  <c r="AI436" i="5"/>
  <c r="AH436" i="5"/>
  <c r="AM438" i="5"/>
  <c r="AL438" i="5"/>
  <c r="AO439" i="5"/>
  <c r="AI440" i="5"/>
  <c r="AC445" i="5"/>
  <c r="AB445" i="5"/>
  <c r="AK447" i="5"/>
  <c r="AH485" i="5"/>
  <c r="AN485" i="5"/>
  <c r="AC501" i="5"/>
  <c r="AB501" i="5"/>
  <c r="AN401" i="5"/>
  <c r="AN407" i="5"/>
  <c r="AJ411" i="5"/>
  <c r="AN413" i="5"/>
  <c r="AJ417" i="5"/>
  <c r="AN419" i="5"/>
  <c r="AJ423" i="5"/>
  <c r="AN425" i="5"/>
  <c r="AJ429" i="5"/>
  <c r="AN431" i="5"/>
  <c r="AJ435" i="5"/>
  <c r="AN437" i="5"/>
  <c r="AJ441" i="5"/>
  <c r="AN443" i="5"/>
  <c r="AJ447" i="5"/>
  <c r="AN449" i="5"/>
  <c r="AK461" i="5"/>
  <c r="AC462" i="5"/>
  <c r="AL462" i="5" s="1"/>
  <c r="AB463" i="5"/>
  <c r="AN463" i="5" s="1"/>
  <c r="AJ474" i="5"/>
  <c r="AC476" i="5"/>
  <c r="AB476" i="5"/>
  <c r="AK476" i="5" s="1"/>
  <c r="AK485" i="5"/>
  <c r="AC500" i="5"/>
  <c r="AC502" i="5"/>
  <c r="AB394" i="5"/>
  <c r="AN406" i="5"/>
  <c r="AJ410" i="5"/>
  <c r="AJ416" i="5"/>
  <c r="AN418" i="5"/>
  <c r="AJ422" i="5"/>
  <c r="AJ428" i="5"/>
  <c r="AN430" i="5"/>
  <c r="AJ434" i="5"/>
  <c r="AN436" i="5"/>
  <c r="AJ440" i="5"/>
  <c r="AN442" i="5"/>
  <c r="AJ446" i="5"/>
  <c r="AN448" i="5"/>
  <c r="AJ452" i="5"/>
  <c r="AN454" i="5"/>
  <c r="AM456" i="5"/>
  <c r="AN462" i="5"/>
  <c r="AJ462" i="5"/>
  <c r="AB464" i="5"/>
  <c r="AJ475" i="5"/>
  <c r="AO478" i="5"/>
  <c r="AK478" i="5"/>
  <c r="AJ478" i="5"/>
  <c r="AC480" i="5"/>
  <c r="AL480" i="5" s="1"/>
  <c r="AB480" i="5"/>
  <c r="AI481" i="5"/>
  <c r="AM494" i="5"/>
  <c r="AI502" i="5"/>
  <c r="AH502" i="5"/>
  <c r="AO394" i="5"/>
  <c r="AK398" i="5"/>
  <c r="AO400" i="5"/>
  <c r="AK404" i="5"/>
  <c r="AO406" i="5"/>
  <c r="AK410" i="5"/>
  <c r="AK416" i="5"/>
  <c r="AO418" i="5"/>
  <c r="AK422" i="5"/>
  <c r="AO430" i="5"/>
  <c r="AK434" i="5"/>
  <c r="AO436" i="5"/>
  <c r="AK440" i="5"/>
  <c r="AO448" i="5"/>
  <c r="AK452" i="5"/>
  <c r="AN456" i="5"/>
  <c r="AJ456" i="5"/>
  <c r="AI461" i="5"/>
  <c r="AM467" i="5"/>
  <c r="AB477" i="5"/>
  <c r="AL479" i="5"/>
  <c r="AC484" i="5"/>
  <c r="AM488" i="5"/>
  <c r="AL488" i="5"/>
  <c r="AO488" i="5"/>
  <c r="AC495" i="5"/>
  <c r="AB495" i="5"/>
  <c r="AC499" i="5"/>
  <c r="AB499" i="5"/>
  <c r="AH499" i="5" s="1"/>
  <c r="AJ397" i="5"/>
  <c r="AJ409" i="5"/>
  <c r="AN411" i="5"/>
  <c r="AJ415" i="5"/>
  <c r="AN417" i="5"/>
  <c r="AJ421" i="5"/>
  <c r="AN423" i="5"/>
  <c r="AJ427" i="5"/>
  <c r="AN429" i="5"/>
  <c r="AN435" i="5"/>
  <c r="AJ439" i="5"/>
  <c r="AN441" i="5"/>
  <c r="AN447" i="5"/>
  <c r="AJ451" i="5"/>
  <c r="AB458" i="5"/>
  <c r="AL458" i="5" s="1"/>
  <c r="AM461" i="5"/>
  <c r="AJ463" i="5"/>
  <c r="AO463" i="5"/>
  <c r="AI465" i="5"/>
  <c r="AI468" i="5"/>
  <c r="AM479" i="5"/>
  <c r="AI479" i="5"/>
  <c r="AK480" i="5"/>
  <c r="AJ480" i="5"/>
  <c r="AK481" i="5"/>
  <c r="AC489" i="5"/>
  <c r="AB489" i="5"/>
  <c r="AC490" i="5"/>
  <c r="AB496" i="5"/>
  <c r="AN496" i="5" s="1"/>
  <c r="AC504" i="5"/>
  <c r="AB504" i="5"/>
  <c r="AH504" i="5" s="1"/>
  <c r="AK397" i="5"/>
  <c r="AK403" i="5"/>
  <c r="AK409" i="5"/>
  <c r="AK415" i="5"/>
  <c r="AK421" i="5"/>
  <c r="AK427" i="5"/>
  <c r="AK433" i="5"/>
  <c r="AK439" i="5"/>
  <c r="AK451" i="5"/>
  <c r="AO457" i="5"/>
  <c r="AL464" i="5"/>
  <c r="AO472" i="5"/>
  <c r="AJ472" i="5"/>
  <c r="AC493" i="5"/>
  <c r="AB493" i="5"/>
  <c r="AH493" i="5" s="1"/>
  <c r="AO502" i="5"/>
  <c r="AL503" i="5"/>
  <c r="AM504" i="5"/>
  <c r="AI456" i="5"/>
  <c r="AK462" i="5"/>
  <c r="AJ466" i="5"/>
  <c r="AN470" i="5"/>
  <c r="AB471" i="5"/>
  <c r="AN483" i="5"/>
  <c r="AC487" i="5"/>
  <c r="AB487" i="5"/>
  <c r="AH487" i="5" s="1"/>
  <c r="AB490" i="5"/>
  <c r="AO490" i="5" s="1"/>
  <c r="AI493" i="5"/>
  <c r="AK494" i="5"/>
  <c r="AN495" i="5"/>
  <c r="AC498" i="5"/>
  <c r="AB498" i="5"/>
  <c r="AH498" i="5" s="1"/>
  <c r="AK499" i="5"/>
  <c r="AM503" i="5"/>
  <c r="AK456" i="5"/>
  <c r="AO460" i="5"/>
  <c r="AJ460" i="5"/>
  <c r="AN464" i="5"/>
  <c r="AL465" i="5"/>
  <c r="AC477" i="5"/>
  <c r="AN478" i="5"/>
  <c r="AN488" i="5"/>
  <c r="AL497" i="5"/>
  <c r="AI498" i="5"/>
  <c r="AM498" i="5"/>
  <c r="AK503" i="5"/>
  <c r="AN409" i="5"/>
  <c r="AN415" i="5"/>
  <c r="AN421" i="5"/>
  <c r="AN427" i="5"/>
  <c r="AN439" i="5"/>
  <c r="AN451" i="5"/>
  <c r="AO456" i="5"/>
  <c r="AB459" i="5"/>
  <c r="AM459" i="5" s="1"/>
  <c r="AM469" i="5"/>
  <c r="AK472" i="5"/>
  <c r="AL473" i="5"/>
  <c r="AN479" i="5"/>
  <c r="AJ487" i="5"/>
  <c r="AC492" i="5"/>
  <c r="AB492" i="5"/>
  <c r="AH492" i="5" s="1"/>
  <c r="AK493" i="5"/>
  <c r="AM497" i="5"/>
  <c r="AO498" i="5"/>
  <c r="AN498" i="5"/>
  <c r="AJ498" i="5"/>
  <c r="AL467" i="5"/>
  <c r="AO479" i="5"/>
  <c r="AO484" i="5"/>
  <c r="AC486" i="5"/>
  <c r="AL486" i="5" s="1"/>
  <c r="AB486" i="5"/>
  <c r="AH486" i="5" s="1"/>
  <c r="AK487" i="5"/>
  <c r="AL491" i="5"/>
  <c r="AI492" i="5"/>
  <c r="AM492" i="5"/>
  <c r="AK497" i="5"/>
  <c r="F7" i="6"/>
  <c r="K7" i="6" s="1"/>
  <c r="Q7" i="6"/>
  <c r="E7" i="6"/>
  <c r="P7" i="6"/>
  <c r="D7" i="6"/>
  <c r="O7" i="6"/>
  <c r="C7" i="6"/>
  <c r="L7" i="6"/>
  <c r="J7" i="6"/>
  <c r="I7" i="6"/>
  <c r="H7" i="6"/>
  <c r="G7" i="6"/>
  <c r="AK460" i="5"/>
  <c r="AL461" i="5"/>
  <c r="AB468" i="5"/>
  <c r="AH468" i="5" s="1"/>
  <c r="AC471" i="5"/>
  <c r="AK473" i="5"/>
  <c r="AC474" i="5"/>
  <c r="AL474" i="5" s="1"/>
  <c r="AL485" i="5"/>
  <c r="AI486" i="5"/>
  <c r="AM491" i="5"/>
  <c r="AO492" i="5"/>
  <c r="AK492" i="5"/>
  <c r="AJ492" i="5"/>
  <c r="AL496" i="5"/>
  <c r="AN503" i="5"/>
  <c r="B7" i="6"/>
  <c r="AK467" i="5"/>
  <c r="AL468" i="5"/>
  <c r="AB469" i="5"/>
  <c r="AL469" i="5" s="1"/>
  <c r="AM474" i="5"/>
  <c r="AC475" i="5"/>
  <c r="AO475" i="5" s="1"/>
  <c r="AB475" i="5"/>
  <c r="AC482" i="5"/>
  <c r="AB482" i="5"/>
  <c r="AK482" i="5" s="1"/>
  <c r="AM485" i="5"/>
  <c r="AI485" i="5"/>
  <c r="AJ486" i="5"/>
  <c r="AK491" i="5"/>
  <c r="AB488" i="5"/>
  <c r="AB494" i="5"/>
  <c r="AN494" i="5" s="1"/>
  <c r="AB500" i="5"/>
  <c r="AN500" i="5"/>
  <c r="G9" i="6"/>
  <c r="M10" i="6"/>
  <c r="G11" i="6"/>
  <c r="B12" i="6"/>
  <c r="R12" i="6"/>
  <c r="J16" i="6"/>
  <c r="H17" i="6"/>
  <c r="F18" i="6"/>
  <c r="B20" i="6"/>
  <c r="R20" i="6"/>
  <c r="J24" i="6"/>
  <c r="H25" i="6"/>
  <c r="F26" i="6"/>
  <c r="Q29" i="6"/>
  <c r="E29" i="6"/>
  <c r="O29" i="6"/>
  <c r="C29" i="6"/>
  <c r="K29" i="6"/>
  <c r="G29" i="6"/>
  <c r="C41" i="6"/>
  <c r="AI491" i="5"/>
  <c r="AI497" i="5"/>
  <c r="AI503" i="5"/>
  <c r="Q13" i="6"/>
  <c r="E13" i="6"/>
  <c r="O13" i="6"/>
  <c r="C13" i="6"/>
  <c r="K13" i="6"/>
  <c r="R13" i="6"/>
  <c r="Q21" i="6"/>
  <c r="E21" i="6"/>
  <c r="O21" i="6"/>
  <c r="C21" i="6"/>
  <c r="K21" i="6"/>
  <c r="R21" i="6"/>
  <c r="Q31" i="6"/>
  <c r="E31" i="6"/>
  <c r="O31" i="6"/>
  <c r="C31" i="6"/>
  <c r="K31" i="6"/>
  <c r="G31" i="6"/>
  <c r="O58" i="6"/>
  <c r="C58" i="6"/>
  <c r="K58" i="6"/>
  <c r="I58" i="6"/>
  <c r="H58" i="6"/>
  <c r="Q58" i="6"/>
  <c r="E58" i="6"/>
  <c r="B58" i="6"/>
  <c r="P58" i="6"/>
  <c r="M58" i="6"/>
  <c r="L58" i="6"/>
  <c r="F58" i="6"/>
  <c r="AB457" i="5"/>
  <c r="AL457" i="5" s="1"/>
  <c r="AJ461" i="5"/>
  <c r="AJ467" i="5"/>
  <c r="AJ473" i="5"/>
  <c r="AJ479" i="5"/>
  <c r="AN481" i="5"/>
  <c r="AJ485" i="5"/>
  <c r="AN487" i="5"/>
  <c r="AN493" i="5"/>
  <c r="B13" i="6"/>
  <c r="K14" i="6"/>
  <c r="I14" i="6"/>
  <c r="Q14" i="6"/>
  <c r="E14" i="6"/>
  <c r="P14" i="6"/>
  <c r="B21" i="6"/>
  <c r="K22" i="6"/>
  <c r="I22" i="6"/>
  <c r="Q22" i="6"/>
  <c r="E22" i="6"/>
  <c r="P22" i="6"/>
  <c r="B31" i="6"/>
  <c r="Q33" i="6"/>
  <c r="E33" i="6"/>
  <c r="O33" i="6"/>
  <c r="C33" i="6"/>
  <c r="K33" i="6"/>
  <c r="J33" i="6"/>
  <c r="G33" i="6"/>
  <c r="Q35" i="6"/>
  <c r="E35" i="6"/>
  <c r="O35" i="6"/>
  <c r="C35" i="6"/>
  <c r="K35" i="6"/>
  <c r="J35" i="6"/>
  <c r="G35" i="6"/>
  <c r="I45" i="6"/>
  <c r="Q45" i="6"/>
  <c r="E45" i="6"/>
  <c r="O45" i="6"/>
  <c r="C45" i="6"/>
  <c r="N45" i="6"/>
  <c r="B45" i="6"/>
  <c r="K45" i="6"/>
  <c r="J45" i="6"/>
  <c r="G45" i="6"/>
  <c r="D45" i="6"/>
  <c r="M45" i="6"/>
  <c r="D58" i="6"/>
  <c r="AO481" i="5"/>
  <c r="AO487" i="5"/>
  <c r="AO499" i="5"/>
  <c r="F12" i="6"/>
  <c r="D13" i="6"/>
  <c r="B14" i="6"/>
  <c r="R14" i="6"/>
  <c r="N16" i="6"/>
  <c r="L17" i="6"/>
  <c r="J18" i="6"/>
  <c r="F20" i="6"/>
  <c r="D21" i="6"/>
  <c r="B22" i="6"/>
  <c r="R22" i="6"/>
  <c r="N24" i="6"/>
  <c r="L25" i="6"/>
  <c r="J26" i="6"/>
  <c r="D31" i="6"/>
  <c r="B33" i="6"/>
  <c r="B35" i="6"/>
  <c r="L41" i="6"/>
  <c r="F45" i="6"/>
  <c r="I47" i="6"/>
  <c r="Q47" i="6"/>
  <c r="E47" i="6"/>
  <c r="O47" i="6"/>
  <c r="C47" i="6"/>
  <c r="N47" i="6"/>
  <c r="B47" i="6"/>
  <c r="K47" i="6"/>
  <c r="P47" i="6"/>
  <c r="L47" i="6"/>
  <c r="H47" i="6"/>
  <c r="F47" i="6"/>
  <c r="D47" i="6"/>
  <c r="G58" i="6"/>
  <c r="AJ484" i="5"/>
  <c r="AJ496" i="5"/>
  <c r="AJ502" i="5"/>
  <c r="K9" i="6"/>
  <c r="K11" i="6"/>
  <c r="G12" i="6"/>
  <c r="F13" i="6"/>
  <c r="C14" i="6"/>
  <c r="Q15" i="6"/>
  <c r="E15" i="6"/>
  <c r="O15" i="6"/>
  <c r="C15" i="6"/>
  <c r="K15" i="6"/>
  <c r="R15" i="6"/>
  <c r="M17" i="6"/>
  <c r="L18" i="6"/>
  <c r="G20" i="6"/>
  <c r="F21" i="6"/>
  <c r="C22" i="6"/>
  <c r="Q23" i="6"/>
  <c r="E23" i="6"/>
  <c r="O23" i="6"/>
  <c r="C23" i="6"/>
  <c r="K23" i="6"/>
  <c r="R23" i="6"/>
  <c r="M25" i="6"/>
  <c r="L26" i="6"/>
  <c r="H29" i="6"/>
  <c r="F31" i="6"/>
  <c r="D33" i="6"/>
  <c r="D35" i="6"/>
  <c r="M41" i="6"/>
  <c r="H45" i="6"/>
  <c r="G47" i="6"/>
  <c r="I49" i="6"/>
  <c r="Q49" i="6"/>
  <c r="E49" i="6"/>
  <c r="O49" i="6"/>
  <c r="C49" i="6"/>
  <c r="N49" i="6"/>
  <c r="B49" i="6"/>
  <c r="K49" i="6"/>
  <c r="R49" i="6"/>
  <c r="M49" i="6"/>
  <c r="J49" i="6"/>
  <c r="H49" i="6"/>
  <c r="D49" i="6"/>
  <c r="J58" i="6"/>
  <c r="I79" i="6"/>
  <c r="Q79" i="6"/>
  <c r="E79" i="6"/>
  <c r="O79" i="6"/>
  <c r="C79" i="6"/>
  <c r="N79" i="6"/>
  <c r="B79" i="6"/>
  <c r="K79" i="6"/>
  <c r="R79" i="6"/>
  <c r="P79" i="6"/>
  <c r="M79" i="6"/>
  <c r="L79" i="6"/>
  <c r="J79" i="6"/>
  <c r="H79" i="6"/>
  <c r="G79" i="6"/>
  <c r="F79" i="6"/>
  <c r="D79" i="6"/>
  <c r="AK484" i="5"/>
  <c r="AK496" i="5"/>
  <c r="AK502" i="5"/>
  <c r="G13" i="6"/>
  <c r="D14" i="6"/>
  <c r="K16" i="6"/>
  <c r="I16" i="6"/>
  <c r="Q16" i="6"/>
  <c r="E16" i="6"/>
  <c r="P16" i="6"/>
  <c r="N17" i="6"/>
  <c r="H20" i="6"/>
  <c r="G21" i="6"/>
  <c r="D22" i="6"/>
  <c r="K24" i="6"/>
  <c r="I24" i="6"/>
  <c r="Q24" i="6"/>
  <c r="E24" i="6"/>
  <c r="P24" i="6"/>
  <c r="N25" i="6"/>
  <c r="H31" i="6"/>
  <c r="F33" i="6"/>
  <c r="F35" i="6"/>
  <c r="L45" i="6"/>
  <c r="N58" i="6"/>
  <c r="M9" i="6"/>
  <c r="M11" i="6"/>
  <c r="J12" i="6"/>
  <c r="H13" i="6"/>
  <c r="F14" i="6"/>
  <c r="D15" i="6"/>
  <c r="B16" i="6"/>
  <c r="R16" i="6"/>
  <c r="J20" i="6"/>
  <c r="H21" i="6"/>
  <c r="F22" i="6"/>
  <c r="D23" i="6"/>
  <c r="B24" i="6"/>
  <c r="R24" i="6"/>
  <c r="J29" i="6"/>
  <c r="I31" i="6"/>
  <c r="H33" i="6"/>
  <c r="H35" i="6"/>
  <c r="P45" i="6"/>
  <c r="M47" i="6"/>
  <c r="G49" i="6"/>
  <c r="I53" i="6"/>
  <c r="Q53" i="6"/>
  <c r="E53" i="6"/>
  <c r="O53" i="6"/>
  <c r="C53" i="6"/>
  <c r="N53" i="6"/>
  <c r="B53" i="6"/>
  <c r="K53" i="6"/>
  <c r="J53" i="6"/>
  <c r="G53" i="6"/>
  <c r="D53" i="6"/>
  <c r="M53" i="6"/>
  <c r="R58" i="6"/>
  <c r="I13" i="6"/>
  <c r="G14" i="6"/>
  <c r="Q17" i="6"/>
  <c r="E17" i="6"/>
  <c r="O17" i="6"/>
  <c r="C17" i="6"/>
  <c r="K17" i="6"/>
  <c r="R17" i="6"/>
  <c r="I21" i="6"/>
  <c r="G22" i="6"/>
  <c r="Q25" i="6"/>
  <c r="E25" i="6"/>
  <c r="O25" i="6"/>
  <c r="C25" i="6"/>
  <c r="K25" i="6"/>
  <c r="R25" i="6"/>
  <c r="J31" i="6"/>
  <c r="I33" i="6"/>
  <c r="I35" i="6"/>
  <c r="R45" i="6"/>
  <c r="I55" i="6"/>
  <c r="Q55" i="6"/>
  <c r="E55" i="6"/>
  <c r="O55" i="6"/>
  <c r="C55" i="6"/>
  <c r="N55" i="6"/>
  <c r="B55" i="6"/>
  <c r="K55" i="6"/>
  <c r="P55" i="6"/>
  <c r="L55" i="6"/>
  <c r="H55" i="6"/>
  <c r="F55" i="6"/>
  <c r="D55" i="6"/>
  <c r="M12" i="6"/>
  <c r="J13" i="6"/>
  <c r="H14" i="6"/>
  <c r="D16" i="6"/>
  <c r="B17" i="6"/>
  <c r="K18" i="6"/>
  <c r="I18" i="6"/>
  <c r="Q18" i="6"/>
  <c r="E18" i="6"/>
  <c r="P18" i="6"/>
  <c r="M20" i="6"/>
  <c r="J21" i="6"/>
  <c r="H22" i="6"/>
  <c r="D24" i="6"/>
  <c r="B25" i="6"/>
  <c r="K26" i="6"/>
  <c r="I26" i="6"/>
  <c r="Q26" i="6"/>
  <c r="E26" i="6"/>
  <c r="P26" i="6"/>
  <c r="L31" i="6"/>
  <c r="L33" i="6"/>
  <c r="L35" i="6"/>
  <c r="P49" i="6"/>
  <c r="H53" i="6"/>
  <c r="G55" i="6"/>
  <c r="I57" i="6"/>
  <c r="Q57" i="6"/>
  <c r="E57" i="6"/>
  <c r="O57" i="6"/>
  <c r="C57" i="6"/>
  <c r="N57" i="6"/>
  <c r="B57" i="6"/>
  <c r="K57" i="6"/>
  <c r="R57" i="6"/>
  <c r="M57" i="6"/>
  <c r="J57" i="6"/>
  <c r="H57" i="6"/>
  <c r="D57" i="6"/>
  <c r="I71" i="6"/>
  <c r="Q71" i="6"/>
  <c r="E71" i="6"/>
  <c r="O71" i="6"/>
  <c r="C71" i="6"/>
  <c r="N71" i="6"/>
  <c r="B71" i="6"/>
  <c r="K71" i="6"/>
  <c r="R71" i="6"/>
  <c r="P71" i="6"/>
  <c r="M71" i="6"/>
  <c r="L71" i="6"/>
  <c r="J71" i="6"/>
  <c r="H71" i="6"/>
  <c r="F71" i="6"/>
  <c r="D71" i="6"/>
  <c r="L13" i="6"/>
  <c r="J14" i="6"/>
  <c r="D17" i="6"/>
  <c r="L21" i="6"/>
  <c r="J22" i="6"/>
  <c r="D25" i="6"/>
  <c r="M31" i="6"/>
  <c r="M33" i="6"/>
  <c r="M35" i="6"/>
  <c r="O50" i="6"/>
  <c r="C50" i="6"/>
  <c r="K50" i="6"/>
  <c r="I50" i="6"/>
  <c r="H50" i="6"/>
  <c r="Q50" i="6"/>
  <c r="E50" i="6"/>
  <c r="B50" i="6"/>
  <c r="P50" i="6"/>
  <c r="M50" i="6"/>
  <c r="L50" i="6"/>
  <c r="F50" i="6"/>
  <c r="J55" i="6"/>
  <c r="E9" i="6"/>
  <c r="E11" i="6"/>
  <c r="R11" i="6"/>
  <c r="M13" i="6"/>
  <c r="L14" i="6"/>
  <c r="I15" i="6"/>
  <c r="G16" i="6"/>
  <c r="F17" i="6"/>
  <c r="C18" i="6"/>
  <c r="Q19" i="6"/>
  <c r="E19" i="6"/>
  <c r="O19" i="6"/>
  <c r="C19" i="6"/>
  <c r="K19" i="6"/>
  <c r="R19" i="6"/>
  <c r="M21" i="6"/>
  <c r="L22" i="6"/>
  <c r="I23" i="6"/>
  <c r="G24" i="6"/>
  <c r="F25" i="6"/>
  <c r="C26" i="6"/>
  <c r="Q27" i="6"/>
  <c r="E27" i="6"/>
  <c r="O27" i="6"/>
  <c r="C27" i="6"/>
  <c r="K27" i="6"/>
  <c r="R27" i="6"/>
  <c r="P29" i="6"/>
  <c r="N31" i="6"/>
  <c r="N33" i="6"/>
  <c r="N35" i="6"/>
  <c r="D50" i="6"/>
  <c r="P53" i="6"/>
  <c r="M55" i="6"/>
  <c r="G57" i="6"/>
  <c r="I61" i="6"/>
  <c r="Q61" i="6"/>
  <c r="E61" i="6"/>
  <c r="O61" i="6"/>
  <c r="C61" i="6"/>
  <c r="N61" i="6"/>
  <c r="B61" i="6"/>
  <c r="K61" i="6"/>
  <c r="L61" i="6"/>
  <c r="J61" i="6"/>
  <c r="G61" i="6"/>
  <c r="D61" i="6"/>
  <c r="M61" i="6"/>
  <c r="I63" i="6"/>
  <c r="Q63" i="6"/>
  <c r="E63" i="6"/>
  <c r="O63" i="6"/>
  <c r="C63" i="6"/>
  <c r="N63" i="6"/>
  <c r="B63" i="6"/>
  <c r="K63" i="6"/>
  <c r="R63" i="6"/>
  <c r="P63" i="6"/>
  <c r="L63" i="6"/>
  <c r="H63" i="6"/>
  <c r="F63" i="6"/>
  <c r="D63" i="6"/>
  <c r="I69" i="6"/>
  <c r="Q69" i="6"/>
  <c r="E69" i="6"/>
  <c r="O69" i="6"/>
  <c r="C69" i="6"/>
  <c r="N69" i="6"/>
  <c r="B69" i="6"/>
  <c r="K69" i="6"/>
  <c r="L69" i="6"/>
  <c r="J69" i="6"/>
  <c r="H69" i="6"/>
  <c r="G69" i="6"/>
  <c r="F69" i="6"/>
  <c r="D69" i="6"/>
  <c r="M69" i="6"/>
  <c r="I87" i="6"/>
  <c r="Q87" i="6"/>
  <c r="E87" i="6"/>
  <c r="O87" i="6"/>
  <c r="C87" i="6"/>
  <c r="N87" i="6"/>
  <c r="B87" i="6"/>
  <c r="K87" i="6"/>
  <c r="R87" i="6"/>
  <c r="P87" i="6"/>
  <c r="M87" i="6"/>
  <c r="L87" i="6"/>
  <c r="J87" i="6"/>
  <c r="H87" i="6"/>
  <c r="G87" i="6"/>
  <c r="F87" i="6"/>
  <c r="D87" i="6"/>
  <c r="K12" i="6"/>
  <c r="I12" i="6"/>
  <c r="Q12" i="6"/>
  <c r="E12" i="6"/>
  <c r="P12" i="6"/>
  <c r="N13" i="6"/>
  <c r="M14" i="6"/>
  <c r="H16" i="6"/>
  <c r="G17" i="6"/>
  <c r="K20" i="6"/>
  <c r="I20" i="6"/>
  <c r="Q20" i="6"/>
  <c r="E20" i="6"/>
  <c r="P20" i="6"/>
  <c r="N21" i="6"/>
  <c r="M22" i="6"/>
  <c r="H24" i="6"/>
  <c r="G25" i="6"/>
  <c r="P31" i="6"/>
  <c r="P33" i="6"/>
  <c r="P35" i="6"/>
  <c r="I41" i="6"/>
  <c r="Q41" i="6"/>
  <c r="E41" i="6"/>
  <c r="O41" i="6"/>
  <c r="K41" i="6"/>
  <c r="G41" i="6"/>
  <c r="D41" i="6"/>
  <c r="B41" i="6"/>
  <c r="P41" i="6"/>
  <c r="N41" i="6"/>
  <c r="J41" i="6"/>
  <c r="G50" i="6"/>
  <c r="R55" i="6"/>
  <c r="M28" i="6"/>
  <c r="M30" i="6"/>
  <c r="M32" i="6"/>
  <c r="M34" i="6"/>
  <c r="M36" i="6"/>
  <c r="G37" i="6"/>
  <c r="M38" i="6"/>
  <c r="G39" i="6"/>
  <c r="M40" i="6"/>
  <c r="J42" i="6"/>
  <c r="J43" i="6"/>
  <c r="L44" i="6"/>
  <c r="O48" i="6"/>
  <c r="C48" i="6"/>
  <c r="K48" i="6"/>
  <c r="I48" i="6"/>
  <c r="H48" i="6"/>
  <c r="Q48" i="6"/>
  <c r="E48" i="6"/>
  <c r="L52" i="6"/>
  <c r="O56" i="6"/>
  <c r="C56" i="6"/>
  <c r="K56" i="6"/>
  <c r="I56" i="6"/>
  <c r="H56" i="6"/>
  <c r="Q56" i="6"/>
  <c r="E56" i="6"/>
  <c r="L60" i="6"/>
  <c r="O64" i="6"/>
  <c r="C64" i="6"/>
  <c r="K64" i="6"/>
  <c r="I64" i="6"/>
  <c r="H64" i="6"/>
  <c r="Q64" i="6"/>
  <c r="E64" i="6"/>
  <c r="D65" i="6"/>
  <c r="F66" i="6"/>
  <c r="L68" i="6"/>
  <c r="O72" i="6"/>
  <c r="C72" i="6"/>
  <c r="K72" i="6"/>
  <c r="I72" i="6"/>
  <c r="H72" i="6"/>
  <c r="Q72" i="6"/>
  <c r="E72" i="6"/>
  <c r="D73" i="6"/>
  <c r="F74" i="6"/>
  <c r="L76" i="6"/>
  <c r="O80" i="6"/>
  <c r="C80" i="6"/>
  <c r="K80" i="6"/>
  <c r="I80" i="6"/>
  <c r="H80" i="6"/>
  <c r="Q80" i="6"/>
  <c r="E80" i="6"/>
  <c r="D81" i="6"/>
  <c r="F82" i="6"/>
  <c r="L84" i="6"/>
  <c r="O88" i="6"/>
  <c r="C88" i="6"/>
  <c r="K88" i="6"/>
  <c r="I88" i="6"/>
  <c r="H88" i="6"/>
  <c r="Q88" i="6"/>
  <c r="E88" i="6"/>
  <c r="D89" i="6"/>
  <c r="J132" i="6"/>
  <c r="I132" i="6"/>
  <c r="H132" i="6"/>
  <c r="G132" i="6"/>
  <c r="P132" i="6"/>
  <c r="C132" i="6"/>
  <c r="O132" i="6"/>
  <c r="B132" i="6"/>
  <c r="M132" i="6"/>
  <c r="Q132" i="6"/>
  <c r="N132" i="6"/>
  <c r="L132" i="6"/>
  <c r="K132" i="6"/>
  <c r="F132" i="6"/>
  <c r="E132" i="6"/>
  <c r="J37" i="6"/>
  <c r="J39" i="6"/>
  <c r="N42" i="6"/>
  <c r="N43" i="6"/>
  <c r="P44" i="6"/>
  <c r="O46" i="6"/>
  <c r="C46" i="6"/>
  <c r="K46" i="6"/>
  <c r="I46" i="6"/>
  <c r="H46" i="6"/>
  <c r="Q46" i="6"/>
  <c r="E46" i="6"/>
  <c r="P52" i="6"/>
  <c r="O54" i="6"/>
  <c r="C54" i="6"/>
  <c r="K54" i="6"/>
  <c r="I54" i="6"/>
  <c r="H54" i="6"/>
  <c r="Q54" i="6"/>
  <c r="E54" i="6"/>
  <c r="P60" i="6"/>
  <c r="O62" i="6"/>
  <c r="C62" i="6"/>
  <c r="K62" i="6"/>
  <c r="I62" i="6"/>
  <c r="H62" i="6"/>
  <c r="Q62" i="6"/>
  <c r="E62" i="6"/>
  <c r="H65" i="6"/>
  <c r="L66" i="6"/>
  <c r="P68" i="6"/>
  <c r="O70" i="6"/>
  <c r="C70" i="6"/>
  <c r="K70" i="6"/>
  <c r="I70" i="6"/>
  <c r="H70" i="6"/>
  <c r="Q70" i="6"/>
  <c r="E70" i="6"/>
  <c r="H73" i="6"/>
  <c r="L74" i="6"/>
  <c r="P76" i="6"/>
  <c r="O78" i="6"/>
  <c r="C78" i="6"/>
  <c r="K78" i="6"/>
  <c r="I78" i="6"/>
  <c r="H78" i="6"/>
  <c r="Q78" i="6"/>
  <c r="E78" i="6"/>
  <c r="F80" i="6"/>
  <c r="H81" i="6"/>
  <c r="L82" i="6"/>
  <c r="P84" i="6"/>
  <c r="O86" i="6"/>
  <c r="C86" i="6"/>
  <c r="K86" i="6"/>
  <c r="I86" i="6"/>
  <c r="H86" i="6"/>
  <c r="Q86" i="6"/>
  <c r="E86" i="6"/>
  <c r="F88" i="6"/>
  <c r="H89" i="6"/>
  <c r="J91" i="6"/>
  <c r="I91" i="6"/>
  <c r="G91" i="6"/>
  <c r="Q91" i="6"/>
  <c r="E91" i="6"/>
  <c r="P91" i="6"/>
  <c r="D91" i="6"/>
  <c r="O91" i="6"/>
  <c r="C91" i="6"/>
  <c r="N91" i="6"/>
  <c r="B91" i="6"/>
  <c r="K91" i="6"/>
  <c r="E28" i="6"/>
  <c r="Q28" i="6"/>
  <c r="E30" i="6"/>
  <c r="Q30" i="6"/>
  <c r="E32" i="6"/>
  <c r="Q32" i="6"/>
  <c r="E34" i="6"/>
  <c r="Q34" i="6"/>
  <c r="E36" i="6"/>
  <c r="Q36" i="6"/>
  <c r="K37" i="6"/>
  <c r="E38" i="6"/>
  <c r="Q38" i="6"/>
  <c r="K39" i="6"/>
  <c r="E40" i="6"/>
  <c r="R40" i="6"/>
  <c r="B46" i="6"/>
  <c r="G48" i="6"/>
  <c r="B54" i="6"/>
  <c r="G56" i="6"/>
  <c r="B62" i="6"/>
  <c r="G64" i="6"/>
  <c r="J65" i="6"/>
  <c r="M66" i="6"/>
  <c r="B70" i="6"/>
  <c r="G72" i="6"/>
  <c r="J73" i="6"/>
  <c r="M74" i="6"/>
  <c r="B78" i="6"/>
  <c r="G80" i="6"/>
  <c r="J81" i="6"/>
  <c r="M82" i="6"/>
  <c r="B86" i="6"/>
  <c r="G88" i="6"/>
  <c r="L89" i="6"/>
  <c r="F91" i="6"/>
  <c r="R93" i="6"/>
  <c r="F93" i="6"/>
  <c r="N93" i="6"/>
  <c r="K93" i="6"/>
  <c r="J93" i="6"/>
  <c r="H93" i="6"/>
  <c r="E93" i="6"/>
  <c r="D93" i="6"/>
  <c r="Q93" i="6"/>
  <c r="C93" i="6"/>
  <c r="P93" i="6"/>
  <c r="B93" i="6"/>
  <c r="L93" i="6"/>
  <c r="Q164" i="6"/>
  <c r="E164" i="6"/>
  <c r="L164" i="6"/>
  <c r="J164" i="6"/>
  <c r="G164" i="6"/>
  <c r="D164" i="6"/>
  <c r="N164" i="6"/>
  <c r="O164" i="6"/>
  <c r="M164" i="6"/>
  <c r="K164" i="6"/>
  <c r="I164" i="6"/>
  <c r="H164" i="6"/>
  <c r="C164" i="6"/>
  <c r="B164" i="6"/>
  <c r="R164" i="6"/>
  <c r="P164" i="6"/>
  <c r="F164" i="6"/>
  <c r="K183" i="6"/>
  <c r="R183" i="6"/>
  <c r="F183" i="6"/>
  <c r="N183" i="6"/>
  <c r="J183" i="6"/>
  <c r="H183" i="6"/>
  <c r="Q183" i="6"/>
  <c r="C183" i="6"/>
  <c r="M183" i="6"/>
  <c r="I183" i="6"/>
  <c r="G183" i="6"/>
  <c r="E183" i="6"/>
  <c r="D183" i="6"/>
  <c r="B183" i="6"/>
  <c r="O183" i="6"/>
  <c r="P183" i="6"/>
  <c r="L183" i="6"/>
  <c r="I77" i="6"/>
  <c r="Q77" i="6"/>
  <c r="E77" i="6"/>
  <c r="O77" i="6"/>
  <c r="C77" i="6"/>
  <c r="N77" i="6"/>
  <c r="B77" i="6"/>
  <c r="K77" i="6"/>
  <c r="I85" i="6"/>
  <c r="Q85" i="6"/>
  <c r="E85" i="6"/>
  <c r="O85" i="6"/>
  <c r="C85" i="6"/>
  <c r="N85" i="6"/>
  <c r="B85" i="6"/>
  <c r="K85" i="6"/>
  <c r="M37" i="6"/>
  <c r="M39" i="6"/>
  <c r="O42" i="6"/>
  <c r="C42" i="6"/>
  <c r="K42" i="6"/>
  <c r="I42" i="6"/>
  <c r="Q42" i="6"/>
  <c r="E42" i="6"/>
  <c r="I43" i="6"/>
  <c r="Q43" i="6"/>
  <c r="E43" i="6"/>
  <c r="O43" i="6"/>
  <c r="C43" i="6"/>
  <c r="K43" i="6"/>
  <c r="O44" i="6"/>
  <c r="C44" i="6"/>
  <c r="K44" i="6"/>
  <c r="I44" i="6"/>
  <c r="H44" i="6"/>
  <c r="Q44" i="6"/>
  <c r="E44" i="6"/>
  <c r="O52" i="6"/>
  <c r="C52" i="6"/>
  <c r="K52" i="6"/>
  <c r="I52" i="6"/>
  <c r="H52" i="6"/>
  <c r="Q52" i="6"/>
  <c r="E52" i="6"/>
  <c r="O60" i="6"/>
  <c r="C60" i="6"/>
  <c r="K60" i="6"/>
  <c r="I60" i="6"/>
  <c r="H60" i="6"/>
  <c r="Q60" i="6"/>
  <c r="E60" i="6"/>
  <c r="M65" i="6"/>
  <c r="P66" i="6"/>
  <c r="O68" i="6"/>
  <c r="C68" i="6"/>
  <c r="K68" i="6"/>
  <c r="I68" i="6"/>
  <c r="H68" i="6"/>
  <c r="Q68" i="6"/>
  <c r="E68" i="6"/>
  <c r="M73" i="6"/>
  <c r="P74" i="6"/>
  <c r="O76" i="6"/>
  <c r="C76" i="6"/>
  <c r="K76" i="6"/>
  <c r="I76" i="6"/>
  <c r="H76" i="6"/>
  <c r="Q76" i="6"/>
  <c r="E76" i="6"/>
  <c r="D77" i="6"/>
  <c r="M81" i="6"/>
  <c r="P82" i="6"/>
  <c r="O84" i="6"/>
  <c r="C84" i="6"/>
  <c r="K84" i="6"/>
  <c r="I84" i="6"/>
  <c r="H84" i="6"/>
  <c r="Q84" i="6"/>
  <c r="E84" i="6"/>
  <c r="D85" i="6"/>
  <c r="K179" i="6"/>
  <c r="R179" i="6"/>
  <c r="F179" i="6"/>
  <c r="N179" i="6"/>
  <c r="J179" i="6"/>
  <c r="H179" i="6"/>
  <c r="Q179" i="6"/>
  <c r="C179" i="6"/>
  <c r="P179" i="6"/>
  <c r="O179" i="6"/>
  <c r="M179" i="6"/>
  <c r="L179" i="6"/>
  <c r="G179" i="6"/>
  <c r="E179" i="6"/>
  <c r="B179" i="6"/>
  <c r="I179" i="6"/>
  <c r="D179" i="6"/>
  <c r="F77" i="6"/>
  <c r="F85" i="6"/>
  <c r="I28" i="6"/>
  <c r="I30" i="6"/>
  <c r="I32" i="6"/>
  <c r="I34" i="6"/>
  <c r="I36" i="6"/>
  <c r="C37" i="6"/>
  <c r="O37" i="6"/>
  <c r="I38" i="6"/>
  <c r="C39" i="6"/>
  <c r="O39" i="6"/>
  <c r="I40" i="6"/>
  <c r="D42" i="6"/>
  <c r="D43" i="6"/>
  <c r="D44" i="6"/>
  <c r="J46" i="6"/>
  <c r="N48" i="6"/>
  <c r="I51" i="6"/>
  <c r="Q51" i="6"/>
  <c r="E51" i="6"/>
  <c r="O51" i="6"/>
  <c r="C51" i="6"/>
  <c r="N51" i="6"/>
  <c r="B51" i="6"/>
  <c r="K51" i="6"/>
  <c r="D52" i="6"/>
  <c r="J54" i="6"/>
  <c r="N56" i="6"/>
  <c r="I59" i="6"/>
  <c r="Q59" i="6"/>
  <c r="E59" i="6"/>
  <c r="O59" i="6"/>
  <c r="C59" i="6"/>
  <c r="N59" i="6"/>
  <c r="B59" i="6"/>
  <c r="K59" i="6"/>
  <c r="D60" i="6"/>
  <c r="J62" i="6"/>
  <c r="N64" i="6"/>
  <c r="I67" i="6"/>
  <c r="Q67" i="6"/>
  <c r="E67" i="6"/>
  <c r="O67" i="6"/>
  <c r="C67" i="6"/>
  <c r="N67" i="6"/>
  <c r="B67" i="6"/>
  <c r="K67" i="6"/>
  <c r="D68" i="6"/>
  <c r="J70" i="6"/>
  <c r="N72" i="6"/>
  <c r="I75" i="6"/>
  <c r="Q75" i="6"/>
  <c r="E75" i="6"/>
  <c r="O75" i="6"/>
  <c r="C75" i="6"/>
  <c r="N75" i="6"/>
  <c r="B75" i="6"/>
  <c r="K75" i="6"/>
  <c r="D76" i="6"/>
  <c r="G77" i="6"/>
  <c r="J78" i="6"/>
  <c r="N80" i="6"/>
  <c r="I83" i="6"/>
  <c r="Q83" i="6"/>
  <c r="E83" i="6"/>
  <c r="O83" i="6"/>
  <c r="C83" i="6"/>
  <c r="N83" i="6"/>
  <c r="B83" i="6"/>
  <c r="K83" i="6"/>
  <c r="D84" i="6"/>
  <c r="G85" i="6"/>
  <c r="J86" i="6"/>
  <c r="N88" i="6"/>
  <c r="R91" i="6"/>
  <c r="O93" i="6"/>
  <c r="J146" i="6"/>
  <c r="G146" i="6"/>
  <c r="N146" i="6"/>
  <c r="M146" i="6"/>
  <c r="L146" i="6"/>
  <c r="K146" i="6"/>
  <c r="I146" i="6"/>
  <c r="F146" i="6"/>
  <c r="E146" i="6"/>
  <c r="Q146" i="6"/>
  <c r="C146" i="6"/>
  <c r="R146" i="6"/>
  <c r="P146" i="6"/>
  <c r="O146" i="6"/>
  <c r="H146" i="6"/>
  <c r="D146" i="6"/>
  <c r="O66" i="6"/>
  <c r="C66" i="6"/>
  <c r="K66" i="6"/>
  <c r="I66" i="6"/>
  <c r="H66" i="6"/>
  <c r="Q66" i="6"/>
  <c r="E66" i="6"/>
  <c r="O74" i="6"/>
  <c r="C74" i="6"/>
  <c r="K74" i="6"/>
  <c r="I74" i="6"/>
  <c r="H74" i="6"/>
  <c r="Q74" i="6"/>
  <c r="E74" i="6"/>
  <c r="H77" i="6"/>
  <c r="O82" i="6"/>
  <c r="C82" i="6"/>
  <c r="K82" i="6"/>
  <c r="I82" i="6"/>
  <c r="H82" i="6"/>
  <c r="Q82" i="6"/>
  <c r="E82" i="6"/>
  <c r="H85" i="6"/>
  <c r="E37" i="6"/>
  <c r="E39" i="6"/>
  <c r="K40" i="6"/>
  <c r="G42" i="6"/>
  <c r="G43" i="6"/>
  <c r="G44" i="6"/>
  <c r="M46" i="6"/>
  <c r="R48" i="6"/>
  <c r="F51" i="6"/>
  <c r="G52" i="6"/>
  <c r="M54" i="6"/>
  <c r="R56" i="6"/>
  <c r="F59" i="6"/>
  <c r="G60" i="6"/>
  <c r="M62" i="6"/>
  <c r="R64" i="6"/>
  <c r="B66" i="6"/>
  <c r="F67" i="6"/>
  <c r="G68" i="6"/>
  <c r="M70" i="6"/>
  <c r="R72" i="6"/>
  <c r="B74" i="6"/>
  <c r="F75" i="6"/>
  <c r="G76" i="6"/>
  <c r="J77" i="6"/>
  <c r="M78" i="6"/>
  <c r="R80" i="6"/>
  <c r="B82" i="6"/>
  <c r="F83" i="6"/>
  <c r="G84" i="6"/>
  <c r="J85" i="6"/>
  <c r="M86" i="6"/>
  <c r="R88" i="6"/>
  <c r="I65" i="6"/>
  <c r="Q65" i="6"/>
  <c r="E65" i="6"/>
  <c r="O65" i="6"/>
  <c r="C65" i="6"/>
  <c r="N65" i="6"/>
  <c r="B65" i="6"/>
  <c r="K65" i="6"/>
  <c r="D66" i="6"/>
  <c r="I73" i="6"/>
  <c r="Q73" i="6"/>
  <c r="E73" i="6"/>
  <c r="O73" i="6"/>
  <c r="C73" i="6"/>
  <c r="N73" i="6"/>
  <c r="B73" i="6"/>
  <c r="K73" i="6"/>
  <c r="D74" i="6"/>
  <c r="L77" i="6"/>
  <c r="I81" i="6"/>
  <c r="Q81" i="6"/>
  <c r="E81" i="6"/>
  <c r="O81" i="6"/>
  <c r="C81" i="6"/>
  <c r="N81" i="6"/>
  <c r="B81" i="6"/>
  <c r="K81" i="6"/>
  <c r="D82" i="6"/>
  <c r="L85" i="6"/>
  <c r="J89" i="6"/>
  <c r="I89" i="6"/>
  <c r="Q89" i="6"/>
  <c r="E89" i="6"/>
  <c r="O89" i="6"/>
  <c r="C89" i="6"/>
  <c r="N89" i="6"/>
  <c r="B89" i="6"/>
  <c r="K89" i="6"/>
  <c r="E90" i="6"/>
  <c r="Q90" i="6"/>
  <c r="E92" i="6"/>
  <c r="Q92" i="6"/>
  <c r="K130" i="6"/>
  <c r="G10" i="7"/>
  <c r="H10" i="7"/>
  <c r="I10" i="7" s="1"/>
  <c r="H90" i="6"/>
  <c r="H92" i="6"/>
  <c r="J138" i="6"/>
  <c r="F138" i="6"/>
  <c r="R138" i="6"/>
  <c r="E138" i="6"/>
  <c r="Q138" i="6"/>
  <c r="D138" i="6"/>
  <c r="P138" i="6"/>
  <c r="M138" i="6"/>
  <c r="L138" i="6"/>
  <c r="I138" i="6"/>
  <c r="I90" i="6"/>
  <c r="I92" i="6"/>
  <c r="B138" i="6"/>
  <c r="Q166" i="6"/>
  <c r="E166" i="6"/>
  <c r="L166" i="6"/>
  <c r="R166" i="6"/>
  <c r="C166" i="6"/>
  <c r="N166" i="6"/>
  <c r="K166" i="6"/>
  <c r="G166" i="6"/>
  <c r="P166" i="6"/>
  <c r="O166" i="6"/>
  <c r="M166" i="6"/>
  <c r="I166" i="6"/>
  <c r="H166" i="6"/>
  <c r="D166" i="6"/>
  <c r="J90" i="6"/>
  <c r="J92" i="6"/>
  <c r="J134" i="6"/>
  <c r="M134" i="6"/>
  <c r="L134" i="6"/>
  <c r="K134" i="6"/>
  <c r="F134" i="6"/>
  <c r="R134" i="6"/>
  <c r="E134" i="6"/>
  <c r="P134" i="6"/>
  <c r="C134" i="6"/>
  <c r="K171" i="6"/>
  <c r="R171" i="6"/>
  <c r="F171" i="6"/>
  <c r="N171" i="6"/>
  <c r="J171" i="6"/>
  <c r="H171" i="6"/>
  <c r="Q171" i="6"/>
  <c r="C171" i="6"/>
  <c r="O171" i="6"/>
  <c r="M171" i="6"/>
  <c r="L171" i="6"/>
  <c r="I171" i="6"/>
  <c r="G171" i="6"/>
  <c r="D171" i="6"/>
  <c r="B171" i="6"/>
  <c r="K90" i="6"/>
  <c r="K92" i="6"/>
  <c r="B134" i="6"/>
  <c r="G138" i="6"/>
  <c r="F166" i="6"/>
  <c r="E171" i="6"/>
  <c r="J130" i="6"/>
  <c r="F130" i="6"/>
  <c r="R130" i="6"/>
  <c r="E130" i="6"/>
  <c r="Q130" i="6"/>
  <c r="D130" i="6"/>
  <c r="M130" i="6"/>
  <c r="L130" i="6"/>
  <c r="I130" i="6"/>
  <c r="I31" i="7"/>
  <c r="M90" i="6"/>
  <c r="M92" i="6"/>
  <c r="B130" i="6"/>
  <c r="G134" i="6"/>
  <c r="J140" i="6"/>
  <c r="G140" i="6"/>
  <c r="K140" i="6"/>
  <c r="I140" i="6"/>
  <c r="H140" i="6"/>
  <c r="F140" i="6"/>
  <c r="Q140" i="6"/>
  <c r="C140" i="6"/>
  <c r="P140" i="6"/>
  <c r="B140" i="6"/>
  <c r="N140" i="6"/>
  <c r="Q172" i="6"/>
  <c r="E172" i="6"/>
  <c r="L172" i="6"/>
  <c r="J172" i="6"/>
  <c r="G172" i="6"/>
  <c r="D172" i="6"/>
  <c r="N172" i="6"/>
  <c r="R172" i="6"/>
  <c r="P172" i="6"/>
  <c r="O172" i="6"/>
  <c r="M172" i="6"/>
  <c r="K172" i="6"/>
  <c r="H172" i="6"/>
  <c r="F172" i="6"/>
  <c r="B172" i="6"/>
  <c r="Q176" i="6"/>
  <c r="E176" i="6"/>
  <c r="L176" i="6"/>
  <c r="J176" i="6"/>
  <c r="G176" i="6"/>
  <c r="D176" i="6"/>
  <c r="N176" i="6"/>
  <c r="I176" i="6"/>
  <c r="H176" i="6"/>
  <c r="F176" i="6"/>
  <c r="C176" i="6"/>
  <c r="B176" i="6"/>
  <c r="R176" i="6"/>
  <c r="O176" i="6"/>
  <c r="C90" i="6"/>
  <c r="O90" i="6"/>
  <c r="C92" i="6"/>
  <c r="O92" i="6"/>
  <c r="G130" i="6"/>
  <c r="P133" i="6"/>
  <c r="D133" i="6"/>
  <c r="R133" i="6"/>
  <c r="E133" i="6"/>
  <c r="Q133" i="6"/>
  <c r="C133" i="6"/>
  <c r="O133" i="6"/>
  <c r="B133" i="6"/>
  <c r="K133" i="6"/>
  <c r="J133" i="6"/>
  <c r="H133" i="6"/>
  <c r="I134" i="6"/>
  <c r="O138" i="6"/>
  <c r="E140" i="6"/>
  <c r="I172" i="6"/>
  <c r="K176" i="6"/>
  <c r="D90" i="6"/>
  <c r="D92" i="6"/>
  <c r="H130" i="6"/>
  <c r="N134" i="6"/>
  <c r="M176" i="6"/>
  <c r="Q178" i="6"/>
  <c r="E178" i="6"/>
  <c r="L178" i="6"/>
  <c r="R178" i="6"/>
  <c r="C178" i="6"/>
  <c r="N178" i="6"/>
  <c r="K178" i="6"/>
  <c r="G178" i="6"/>
  <c r="O178" i="6"/>
  <c r="M178" i="6"/>
  <c r="J178" i="6"/>
  <c r="I178" i="6"/>
  <c r="H178" i="6"/>
  <c r="D178" i="6"/>
  <c r="B178" i="6"/>
  <c r="P129" i="6"/>
  <c r="D129" i="6"/>
  <c r="N129" i="6"/>
  <c r="E131" i="6"/>
  <c r="R131" i="6"/>
  <c r="P137" i="6"/>
  <c r="D137" i="6"/>
  <c r="N137" i="6"/>
  <c r="E139" i="6"/>
  <c r="R139" i="6"/>
  <c r="I148" i="6"/>
  <c r="M162" i="6"/>
  <c r="K168" i="6"/>
  <c r="L175" i="6"/>
  <c r="F180" i="6"/>
  <c r="J182" i="6"/>
  <c r="Q186" i="6"/>
  <c r="E186" i="6"/>
  <c r="L186" i="6"/>
  <c r="R186" i="6"/>
  <c r="C186" i="6"/>
  <c r="N186" i="6"/>
  <c r="M186" i="6"/>
  <c r="K186" i="6"/>
  <c r="G186" i="6"/>
  <c r="E187" i="6"/>
  <c r="M188" i="6"/>
  <c r="K191" i="6"/>
  <c r="R191" i="6"/>
  <c r="F191" i="6"/>
  <c r="N191" i="6"/>
  <c r="J191" i="6"/>
  <c r="I191" i="6"/>
  <c r="H191" i="6"/>
  <c r="Q191" i="6"/>
  <c r="C191" i="6"/>
  <c r="H192" i="6"/>
  <c r="J194" i="6"/>
  <c r="Q196" i="6"/>
  <c r="E196" i="6"/>
  <c r="L196" i="6"/>
  <c r="J196" i="6"/>
  <c r="G196" i="6"/>
  <c r="F196" i="6"/>
  <c r="D196" i="6"/>
  <c r="N196" i="6"/>
  <c r="F198" i="6"/>
  <c r="M199" i="6"/>
  <c r="Q202" i="6"/>
  <c r="E202" i="6"/>
  <c r="L202" i="6"/>
  <c r="R202" i="6"/>
  <c r="C202" i="6"/>
  <c r="N202" i="6"/>
  <c r="M202" i="6"/>
  <c r="K202" i="6"/>
  <c r="G202" i="6"/>
  <c r="E203" i="6"/>
  <c r="M204" i="6"/>
  <c r="G94" i="6"/>
  <c r="M95" i="6"/>
  <c r="G96" i="6"/>
  <c r="M97" i="6"/>
  <c r="G98" i="6"/>
  <c r="M99" i="6"/>
  <c r="G100" i="6"/>
  <c r="M101" i="6"/>
  <c r="G102" i="6"/>
  <c r="M103" i="6"/>
  <c r="G104" i="6"/>
  <c r="M105" i="6"/>
  <c r="G106" i="6"/>
  <c r="M107" i="6"/>
  <c r="G108" i="6"/>
  <c r="M109" i="6"/>
  <c r="G110" i="6"/>
  <c r="G112" i="6"/>
  <c r="G114" i="6"/>
  <c r="G116" i="6"/>
  <c r="G118" i="6"/>
  <c r="G120" i="6"/>
  <c r="G122" i="6"/>
  <c r="G124" i="6"/>
  <c r="G126" i="6"/>
  <c r="M127" i="6"/>
  <c r="H128" i="6"/>
  <c r="C129" i="6"/>
  <c r="Q129" i="6"/>
  <c r="G131" i="6"/>
  <c r="H136" i="6"/>
  <c r="C137" i="6"/>
  <c r="Q137" i="6"/>
  <c r="G139" i="6"/>
  <c r="H142" i="6"/>
  <c r="L148" i="6"/>
  <c r="L167" i="6"/>
  <c r="O168" i="6"/>
  <c r="J174" i="6"/>
  <c r="O175" i="6"/>
  <c r="I180" i="6"/>
  <c r="O182" i="6"/>
  <c r="Q184" i="6"/>
  <c r="E184" i="6"/>
  <c r="L184" i="6"/>
  <c r="J184" i="6"/>
  <c r="G184" i="6"/>
  <c r="D184" i="6"/>
  <c r="N184" i="6"/>
  <c r="D186" i="6"/>
  <c r="L187" i="6"/>
  <c r="P188" i="6"/>
  <c r="D191" i="6"/>
  <c r="K192" i="6"/>
  <c r="C196" i="6"/>
  <c r="I198" i="6"/>
  <c r="D202" i="6"/>
  <c r="L203" i="6"/>
  <c r="P204" i="6"/>
  <c r="I8" i="7"/>
  <c r="H94" i="6"/>
  <c r="B95" i="6"/>
  <c r="N95" i="6"/>
  <c r="H96" i="6"/>
  <c r="B97" i="6"/>
  <c r="N97" i="6"/>
  <c r="H98" i="6"/>
  <c r="B99" i="6"/>
  <c r="N99" i="6"/>
  <c r="H100" i="6"/>
  <c r="B101" i="6"/>
  <c r="N101" i="6"/>
  <c r="H102" i="6"/>
  <c r="B103" i="6"/>
  <c r="N103" i="6"/>
  <c r="H104" i="6"/>
  <c r="B105" i="6"/>
  <c r="N105" i="6"/>
  <c r="H106" i="6"/>
  <c r="N107" i="6"/>
  <c r="H108" i="6"/>
  <c r="H110" i="6"/>
  <c r="H112" i="6"/>
  <c r="H114" i="6"/>
  <c r="H116" i="6"/>
  <c r="H118" i="6"/>
  <c r="H120" i="6"/>
  <c r="H122" i="6"/>
  <c r="H124" i="6"/>
  <c r="H126" i="6"/>
  <c r="E129" i="6"/>
  <c r="R129" i="6"/>
  <c r="H131" i="6"/>
  <c r="P135" i="6"/>
  <c r="D135" i="6"/>
  <c r="N135" i="6"/>
  <c r="E137" i="6"/>
  <c r="R137" i="6"/>
  <c r="H139" i="6"/>
  <c r="I142" i="6"/>
  <c r="J144" i="6"/>
  <c r="G144" i="6"/>
  <c r="O144" i="6"/>
  <c r="K163" i="6"/>
  <c r="R163" i="6"/>
  <c r="F163" i="6"/>
  <c r="N163" i="6"/>
  <c r="J163" i="6"/>
  <c r="H163" i="6"/>
  <c r="Q163" i="6"/>
  <c r="C163" i="6"/>
  <c r="Q170" i="6"/>
  <c r="E170" i="6"/>
  <c r="L170" i="6"/>
  <c r="R170" i="6"/>
  <c r="C170" i="6"/>
  <c r="N170" i="6"/>
  <c r="K170" i="6"/>
  <c r="G170" i="6"/>
  <c r="K180" i="6"/>
  <c r="F186" i="6"/>
  <c r="Q190" i="6"/>
  <c r="E190" i="6"/>
  <c r="L190" i="6"/>
  <c r="R190" i="6"/>
  <c r="C190" i="6"/>
  <c r="N190" i="6"/>
  <c r="M190" i="6"/>
  <c r="K190" i="6"/>
  <c r="G190" i="6"/>
  <c r="E191" i="6"/>
  <c r="K195" i="6"/>
  <c r="R195" i="6"/>
  <c r="F195" i="6"/>
  <c r="N195" i="6"/>
  <c r="J195" i="6"/>
  <c r="I195" i="6"/>
  <c r="H195" i="6"/>
  <c r="Q195" i="6"/>
  <c r="C195" i="6"/>
  <c r="H196" i="6"/>
  <c r="Q200" i="6"/>
  <c r="E200" i="6"/>
  <c r="L200" i="6"/>
  <c r="J200" i="6"/>
  <c r="G200" i="6"/>
  <c r="F200" i="6"/>
  <c r="D200" i="6"/>
  <c r="N200" i="6"/>
  <c r="F202" i="6"/>
  <c r="Q206" i="6"/>
  <c r="E206" i="6"/>
  <c r="L206" i="6"/>
  <c r="R206" i="6"/>
  <c r="C206" i="6"/>
  <c r="N206" i="6"/>
  <c r="M206" i="6"/>
  <c r="K206" i="6"/>
  <c r="G206" i="6"/>
  <c r="G9" i="7"/>
  <c r="H9" i="7"/>
  <c r="G24" i="7"/>
  <c r="H24" i="7"/>
  <c r="G42" i="7"/>
  <c r="H42" i="7"/>
  <c r="I42" i="7" s="1"/>
  <c r="J148" i="6"/>
  <c r="G148" i="6"/>
  <c r="O148" i="6"/>
  <c r="Q162" i="6"/>
  <c r="E162" i="6"/>
  <c r="L162" i="6"/>
  <c r="R162" i="6"/>
  <c r="C162" i="6"/>
  <c r="N162" i="6"/>
  <c r="K162" i="6"/>
  <c r="G162" i="6"/>
  <c r="B148" i="6"/>
  <c r="P148" i="6"/>
  <c r="B162" i="6"/>
  <c r="Q168" i="6"/>
  <c r="E168" i="6"/>
  <c r="L168" i="6"/>
  <c r="J168" i="6"/>
  <c r="G168" i="6"/>
  <c r="D168" i="6"/>
  <c r="N168" i="6"/>
  <c r="K175" i="6"/>
  <c r="R175" i="6"/>
  <c r="F175" i="6"/>
  <c r="N175" i="6"/>
  <c r="J175" i="6"/>
  <c r="H175" i="6"/>
  <c r="Q175" i="6"/>
  <c r="C175" i="6"/>
  <c r="Q182" i="6"/>
  <c r="E182" i="6"/>
  <c r="L182" i="6"/>
  <c r="R182" i="6"/>
  <c r="C182" i="6"/>
  <c r="N182" i="6"/>
  <c r="K182" i="6"/>
  <c r="G182" i="6"/>
  <c r="Q188" i="6"/>
  <c r="E188" i="6"/>
  <c r="L188" i="6"/>
  <c r="J188" i="6"/>
  <c r="G188" i="6"/>
  <c r="F188" i="6"/>
  <c r="D188" i="6"/>
  <c r="N188" i="6"/>
  <c r="Q194" i="6"/>
  <c r="E194" i="6"/>
  <c r="L194" i="6"/>
  <c r="R194" i="6"/>
  <c r="C194" i="6"/>
  <c r="N194" i="6"/>
  <c r="M194" i="6"/>
  <c r="K194" i="6"/>
  <c r="G194" i="6"/>
  <c r="K199" i="6"/>
  <c r="R199" i="6"/>
  <c r="F199" i="6"/>
  <c r="N199" i="6"/>
  <c r="J199" i="6"/>
  <c r="I199" i="6"/>
  <c r="H199" i="6"/>
  <c r="Q199" i="6"/>
  <c r="C199" i="6"/>
  <c r="Q204" i="6"/>
  <c r="E204" i="6"/>
  <c r="L204" i="6"/>
  <c r="J204" i="6"/>
  <c r="G204" i="6"/>
  <c r="F204" i="6"/>
  <c r="D204" i="6"/>
  <c r="N204" i="6"/>
  <c r="I19" i="7"/>
  <c r="I37" i="7"/>
  <c r="L94" i="6"/>
  <c r="F95" i="6"/>
  <c r="R95" i="6"/>
  <c r="L96" i="6"/>
  <c r="F97" i="6"/>
  <c r="R97" i="6"/>
  <c r="L98" i="6"/>
  <c r="F99" i="6"/>
  <c r="R99" i="6"/>
  <c r="L100" i="6"/>
  <c r="F101" i="6"/>
  <c r="L102" i="6"/>
  <c r="F103" i="6"/>
  <c r="L104" i="6"/>
  <c r="F105" i="6"/>
  <c r="L106" i="6"/>
  <c r="F107" i="6"/>
  <c r="L108" i="6"/>
  <c r="F109" i="6"/>
  <c r="L110" i="6"/>
  <c r="L112" i="6"/>
  <c r="L114" i="6"/>
  <c r="L116" i="6"/>
  <c r="L118" i="6"/>
  <c r="L120" i="6"/>
  <c r="L122" i="6"/>
  <c r="L124" i="6"/>
  <c r="L126" i="6"/>
  <c r="N128" i="6"/>
  <c r="I129" i="6"/>
  <c r="L131" i="6"/>
  <c r="F135" i="6"/>
  <c r="N136" i="6"/>
  <c r="I137" i="6"/>
  <c r="L139" i="6"/>
  <c r="E144" i="6"/>
  <c r="C148" i="6"/>
  <c r="Q148" i="6"/>
  <c r="D162" i="6"/>
  <c r="B168" i="6"/>
  <c r="B175" i="6"/>
  <c r="B182" i="6"/>
  <c r="O186" i="6"/>
  <c r="B188" i="6"/>
  <c r="O191" i="6"/>
  <c r="B194" i="6"/>
  <c r="O196" i="6"/>
  <c r="B199" i="6"/>
  <c r="O202" i="6"/>
  <c r="B204" i="6"/>
  <c r="J129" i="6"/>
  <c r="J137" i="6"/>
  <c r="J142" i="6"/>
  <c r="G142" i="6"/>
  <c r="O142" i="6"/>
  <c r="D148" i="6"/>
  <c r="R148" i="6"/>
  <c r="F162" i="6"/>
  <c r="K167" i="6"/>
  <c r="R167" i="6"/>
  <c r="F167" i="6"/>
  <c r="N167" i="6"/>
  <c r="J167" i="6"/>
  <c r="H167" i="6"/>
  <c r="Q167" i="6"/>
  <c r="C167" i="6"/>
  <c r="C168" i="6"/>
  <c r="Q174" i="6"/>
  <c r="E174" i="6"/>
  <c r="L174" i="6"/>
  <c r="R174" i="6"/>
  <c r="C174" i="6"/>
  <c r="N174" i="6"/>
  <c r="K174" i="6"/>
  <c r="G174" i="6"/>
  <c r="D175" i="6"/>
  <c r="D182" i="6"/>
  <c r="P186" i="6"/>
  <c r="C188" i="6"/>
  <c r="P191" i="6"/>
  <c r="D194" i="6"/>
  <c r="P196" i="6"/>
  <c r="D199" i="6"/>
  <c r="P202" i="6"/>
  <c r="C204" i="6"/>
  <c r="P131" i="6"/>
  <c r="D131" i="6"/>
  <c r="N131" i="6"/>
  <c r="P139" i="6"/>
  <c r="D139" i="6"/>
  <c r="N139" i="6"/>
  <c r="E148" i="6"/>
  <c r="H162" i="6"/>
  <c r="F168" i="6"/>
  <c r="E175" i="6"/>
  <c r="Q180" i="6"/>
  <c r="E180" i="6"/>
  <c r="L180" i="6"/>
  <c r="J180" i="6"/>
  <c r="G180" i="6"/>
  <c r="D180" i="6"/>
  <c r="N180" i="6"/>
  <c r="F182" i="6"/>
  <c r="K187" i="6"/>
  <c r="R187" i="6"/>
  <c r="F187" i="6"/>
  <c r="N187" i="6"/>
  <c r="J187" i="6"/>
  <c r="I187" i="6"/>
  <c r="H187" i="6"/>
  <c r="Q187" i="6"/>
  <c r="C187" i="6"/>
  <c r="H188" i="6"/>
  <c r="Q192" i="6"/>
  <c r="E192" i="6"/>
  <c r="L192" i="6"/>
  <c r="J192" i="6"/>
  <c r="G192" i="6"/>
  <c r="F192" i="6"/>
  <c r="D192" i="6"/>
  <c r="N192" i="6"/>
  <c r="F194" i="6"/>
  <c r="Q198" i="6"/>
  <c r="E198" i="6"/>
  <c r="L198" i="6"/>
  <c r="R198" i="6"/>
  <c r="C198" i="6"/>
  <c r="N198" i="6"/>
  <c r="M198" i="6"/>
  <c r="K198" i="6"/>
  <c r="G198" i="6"/>
  <c r="E199" i="6"/>
  <c r="K203" i="6"/>
  <c r="R203" i="6"/>
  <c r="F203" i="6"/>
  <c r="N203" i="6"/>
  <c r="J203" i="6"/>
  <c r="I203" i="6"/>
  <c r="H203" i="6"/>
  <c r="Q203" i="6"/>
  <c r="C203" i="6"/>
  <c r="H204" i="6"/>
  <c r="I21" i="7"/>
  <c r="G21" i="7"/>
  <c r="G33" i="7"/>
  <c r="H33" i="7"/>
  <c r="I33" i="7" s="1"/>
  <c r="I47" i="7"/>
  <c r="H7" i="7"/>
  <c r="I7" i="7" s="1"/>
  <c r="G7" i="7"/>
  <c r="M150" i="6"/>
  <c r="M152" i="6"/>
  <c r="M154" i="6"/>
  <c r="M156" i="6"/>
  <c r="M158" i="6"/>
  <c r="Q160" i="6"/>
  <c r="L160" i="6"/>
  <c r="N160" i="6"/>
  <c r="H20" i="7"/>
  <c r="I20" i="7" s="1"/>
  <c r="G20" i="7"/>
  <c r="H29" i="7"/>
  <c r="I29" i="7" s="1"/>
  <c r="G29" i="7"/>
  <c r="H38" i="7"/>
  <c r="G38" i="7"/>
  <c r="I30" i="7"/>
  <c r="G30" i="7"/>
  <c r="G39" i="7"/>
  <c r="K161" i="6"/>
  <c r="R161" i="6"/>
  <c r="F161" i="6"/>
  <c r="O161" i="6"/>
  <c r="K165" i="6"/>
  <c r="R165" i="6"/>
  <c r="F165" i="6"/>
  <c r="O165" i="6"/>
  <c r="K169" i="6"/>
  <c r="R169" i="6"/>
  <c r="F169" i="6"/>
  <c r="O169" i="6"/>
  <c r="K173" i="6"/>
  <c r="R173" i="6"/>
  <c r="F173" i="6"/>
  <c r="O173" i="6"/>
  <c r="K177" i="6"/>
  <c r="R177" i="6"/>
  <c r="F177" i="6"/>
  <c r="O177" i="6"/>
  <c r="K181" i="6"/>
  <c r="R181" i="6"/>
  <c r="F181" i="6"/>
  <c r="O181" i="6"/>
  <c r="K185" i="6"/>
  <c r="R185" i="6"/>
  <c r="F185" i="6"/>
  <c r="O185" i="6"/>
  <c r="K189" i="6"/>
  <c r="R189" i="6"/>
  <c r="F189" i="6"/>
  <c r="O189" i="6"/>
  <c r="K193" i="6"/>
  <c r="R193" i="6"/>
  <c r="F193" i="6"/>
  <c r="O193" i="6"/>
  <c r="K197" i="6"/>
  <c r="R197" i="6"/>
  <c r="F197" i="6"/>
  <c r="O197" i="6"/>
  <c r="K201" i="6"/>
  <c r="R201" i="6"/>
  <c r="F201" i="6"/>
  <c r="O201" i="6"/>
  <c r="K205" i="6"/>
  <c r="R205" i="6"/>
  <c r="F205" i="6"/>
  <c r="O205" i="6"/>
  <c r="D11" i="7"/>
  <c r="H26" i="7"/>
  <c r="I26" i="7" s="1"/>
  <c r="G26" i="7"/>
  <c r="H35" i="7"/>
  <c r="I35" i="7" s="1"/>
  <c r="G35" i="7"/>
  <c r="H44" i="7"/>
  <c r="I44" i="7" s="1"/>
  <c r="G44" i="7"/>
  <c r="M141" i="6"/>
  <c r="M143" i="6"/>
  <c r="M145" i="6"/>
  <c r="M147" i="6"/>
  <c r="M149" i="6"/>
  <c r="G150" i="6"/>
  <c r="M151" i="6"/>
  <c r="G152" i="6"/>
  <c r="M153" i="6"/>
  <c r="G154" i="6"/>
  <c r="M155" i="6"/>
  <c r="G156" i="6"/>
  <c r="M157" i="6"/>
  <c r="G158" i="6"/>
  <c r="M159" i="6"/>
  <c r="G160" i="6"/>
  <c r="C161" i="6"/>
  <c r="Q161" i="6"/>
  <c r="C165" i="6"/>
  <c r="Q165" i="6"/>
  <c r="C169" i="6"/>
  <c r="Q169" i="6"/>
  <c r="C173" i="6"/>
  <c r="Q173" i="6"/>
  <c r="C177" i="6"/>
  <c r="Q177" i="6"/>
  <c r="C181" i="6"/>
  <c r="Q181" i="6"/>
  <c r="C185" i="6"/>
  <c r="Q185" i="6"/>
  <c r="C189" i="6"/>
  <c r="Q189" i="6"/>
  <c r="C193" i="6"/>
  <c r="Q193" i="6"/>
  <c r="C197" i="6"/>
  <c r="Q197" i="6"/>
  <c r="C201" i="6"/>
  <c r="Q201" i="6"/>
  <c r="C205" i="6"/>
  <c r="Q205" i="6"/>
  <c r="G18" i="7"/>
  <c r="I27" i="7"/>
  <c r="G27" i="7"/>
  <c r="I36" i="7"/>
  <c r="G36" i="7"/>
  <c r="I45" i="7"/>
  <c r="G45" i="7"/>
  <c r="D12" i="7"/>
  <c r="I24" i="7" s="1"/>
  <c r="H23" i="7"/>
  <c r="I23" i="7" s="1"/>
  <c r="G23" i="7"/>
  <c r="H32" i="7"/>
  <c r="I32" i="7" s="1"/>
  <c r="G32" i="7"/>
  <c r="H41" i="7"/>
  <c r="G41" i="7"/>
  <c r="H46" i="7"/>
  <c r="I46" i="7" s="1"/>
  <c r="D141" i="6"/>
  <c r="D143" i="6"/>
  <c r="D145" i="6"/>
  <c r="D147" i="6"/>
  <c r="D149" i="6"/>
  <c r="D151" i="6"/>
  <c r="D153" i="6"/>
  <c r="D155" i="6"/>
  <c r="D157" i="6"/>
  <c r="D159" i="6"/>
  <c r="J160" i="6"/>
  <c r="G161" i="6"/>
  <c r="G165" i="6"/>
  <c r="G169" i="6"/>
  <c r="G173" i="6"/>
  <c r="G177" i="6"/>
  <c r="G181" i="6"/>
  <c r="G185" i="6"/>
  <c r="G189" i="6"/>
  <c r="G193" i="6"/>
  <c r="G197" i="6"/>
  <c r="G201" i="6"/>
  <c r="G205" i="6"/>
  <c r="I41" i="7"/>
  <c r="G46" i="7"/>
  <c r="D13" i="7"/>
  <c r="I25" i="7" s="1"/>
  <c r="I48" i="7"/>
  <c r="G47" i="7"/>
  <c r="G48" i="7"/>
  <c r="H48" i="7"/>
  <c r="AH6" i="5" l="1"/>
  <c r="AJ6" i="5"/>
  <c r="O6" i="5" s="1"/>
  <c r="AI6" i="5"/>
  <c r="L6" i="5" s="1"/>
  <c r="AK6" i="5"/>
  <c r="P6" i="5" s="1"/>
  <c r="AH8" i="5"/>
  <c r="AI8" i="5"/>
  <c r="L8" i="5" s="1"/>
  <c r="AN8" i="5"/>
  <c r="Q8" i="5" s="1"/>
  <c r="AJ8" i="5"/>
  <c r="AM8" i="5"/>
  <c r="AO8" i="5"/>
  <c r="R8" i="5" s="1"/>
  <c r="AK8" i="5"/>
  <c r="P8" i="5" s="1"/>
  <c r="AH7" i="5"/>
  <c r="K7" i="5" s="1"/>
  <c r="AJ7" i="5"/>
  <c r="O7" i="5" s="1"/>
  <c r="AK7" i="5"/>
  <c r="P7" i="5" s="1"/>
  <c r="AM7" i="5"/>
  <c r="N7" i="5" s="1"/>
  <c r="AO7" i="5"/>
  <c r="R7" i="5" s="1"/>
  <c r="AI7" i="5"/>
  <c r="L7" i="5" s="1"/>
  <c r="AK490" i="5"/>
  <c r="AN458" i="5"/>
  <c r="AM477" i="5"/>
  <c r="AO477" i="5"/>
  <c r="AL477" i="5"/>
  <c r="AM493" i="5"/>
  <c r="AL493" i="5"/>
  <c r="AN490" i="5"/>
  <c r="AL490" i="5"/>
  <c r="AM490" i="5"/>
  <c r="AO412" i="5"/>
  <c r="AH394" i="5"/>
  <c r="AK394" i="5"/>
  <c r="AI394" i="5"/>
  <c r="AI445" i="5"/>
  <c r="AH445" i="5"/>
  <c r="AK400" i="5"/>
  <c r="AI400" i="5"/>
  <c r="AH400" i="5"/>
  <c r="AM400" i="5"/>
  <c r="AL460" i="5"/>
  <c r="AM460" i="5"/>
  <c r="AN460" i="5"/>
  <c r="AK424" i="5"/>
  <c r="AI424" i="5"/>
  <c r="AH424" i="5"/>
  <c r="AL454" i="5"/>
  <c r="AM454" i="5"/>
  <c r="AI433" i="5"/>
  <c r="AH433" i="5"/>
  <c r="AH368" i="5"/>
  <c r="AI368" i="5"/>
  <c r="AM463" i="5"/>
  <c r="AI414" i="5"/>
  <c r="AH414" i="5"/>
  <c r="AL444" i="5"/>
  <c r="AI353" i="5"/>
  <c r="AH353" i="5"/>
  <c r="AO398" i="5"/>
  <c r="AI382" i="5"/>
  <c r="AH382" i="5"/>
  <c r="AM368" i="5"/>
  <c r="AM293" i="5"/>
  <c r="AK311" i="5"/>
  <c r="AI311" i="5"/>
  <c r="AH311" i="5"/>
  <c r="AJ337" i="5"/>
  <c r="AI337" i="5"/>
  <c r="AH337" i="5"/>
  <c r="AJ251" i="5"/>
  <c r="AH251" i="5"/>
  <c r="AO289" i="5"/>
  <c r="AM289" i="5"/>
  <c r="AL289" i="5"/>
  <c r="AI264" i="5"/>
  <c r="AH264" i="5"/>
  <c r="AM333" i="5"/>
  <c r="AL333" i="5"/>
  <c r="AH283" i="5"/>
  <c r="AI283" i="5"/>
  <c r="AJ319" i="5"/>
  <c r="AI319" i="5"/>
  <c r="AH319" i="5"/>
  <c r="AI291" i="5"/>
  <c r="AH291" i="5"/>
  <c r="AK291" i="5"/>
  <c r="AK264" i="5"/>
  <c r="AH222" i="5"/>
  <c r="AJ222" i="5"/>
  <c r="AN262" i="5"/>
  <c r="AL262" i="5"/>
  <c r="AI215" i="5"/>
  <c r="AN215" i="5"/>
  <c r="AH215" i="5"/>
  <c r="AM249" i="5"/>
  <c r="AI214" i="5"/>
  <c r="AH214" i="5"/>
  <c r="AN265" i="5"/>
  <c r="AL265" i="5"/>
  <c r="AH213" i="5"/>
  <c r="AK213" i="5"/>
  <c r="AI177" i="5"/>
  <c r="AN259" i="5"/>
  <c r="AL259" i="5"/>
  <c r="AL228" i="5"/>
  <c r="AJ186" i="5"/>
  <c r="AH186" i="5"/>
  <c r="AL186" i="5"/>
  <c r="AL234" i="5"/>
  <c r="AO283" i="5"/>
  <c r="AI176" i="5"/>
  <c r="AK120" i="5"/>
  <c r="AH191" i="5"/>
  <c r="AJ191" i="5"/>
  <c r="AN159" i="5"/>
  <c r="AN141" i="5"/>
  <c r="AH56" i="5"/>
  <c r="AK56" i="5"/>
  <c r="AN176" i="5"/>
  <c r="AM149" i="5"/>
  <c r="AL162" i="5"/>
  <c r="AI51" i="5"/>
  <c r="AH51" i="5"/>
  <c r="AM51" i="5"/>
  <c r="AN207" i="5"/>
  <c r="AJ56" i="5"/>
  <c r="AN201" i="5"/>
  <c r="AJ131" i="5"/>
  <c r="AL210" i="5"/>
  <c r="AL158" i="5"/>
  <c r="AN158" i="5"/>
  <c r="AN129" i="5"/>
  <c r="AJ57" i="5"/>
  <c r="AJ195" i="5"/>
  <c r="AK153" i="5"/>
  <c r="AL203" i="5"/>
  <c r="AN132" i="5"/>
  <c r="AJ189" i="5"/>
  <c r="AO180" i="5"/>
  <c r="AM153" i="5"/>
  <c r="AO131" i="5"/>
  <c r="AH101" i="5"/>
  <c r="AJ101" i="5"/>
  <c r="AL80" i="5"/>
  <c r="AN51" i="5"/>
  <c r="AO11" i="5"/>
  <c r="AL44" i="5"/>
  <c r="AN52" i="5"/>
  <c r="AL52" i="5"/>
  <c r="AO52" i="5"/>
  <c r="AJ11" i="5"/>
  <c r="AM92" i="5"/>
  <c r="AL53" i="5"/>
  <c r="AM152" i="5"/>
  <c r="AH26" i="5"/>
  <c r="AK26" i="5"/>
  <c r="AJ26" i="5"/>
  <c r="AL155" i="5"/>
  <c r="AI24" i="5"/>
  <c r="AK24" i="5"/>
  <c r="AH24" i="5"/>
  <c r="AL71" i="5"/>
  <c r="AK174" i="5"/>
  <c r="AN112" i="5"/>
  <c r="AM80" i="5"/>
  <c r="AN57" i="5"/>
  <c r="AJ30" i="5"/>
  <c r="AO83" i="5"/>
  <c r="AI59" i="5"/>
  <c r="AJ18" i="5"/>
  <c r="AO26" i="5"/>
  <c r="AK486" i="5"/>
  <c r="AI489" i="5"/>
  <c r="AH489" i="5"/>
  <c r="AJ489" i="5"/>
  <c r="AK489" i="5"/>
  <c r="AH477" i="5"/>
  <c r="AK477" i="5"/>
  <c r="AI477" i="5"/>
  <c r="AJ477" i="5"/>
  <c r="AN459" i="5"/>
  <c r="AN424" i="5"/>
  <c r="AN502" i="5"/>
  <c r="AM502" i="5"/>
  <c r="AL502" i="5"/>
  <c r="AM445" i="5"/>
  <c r="AL445" i="5"/>
  <c r="AO462" i="5"/>
  <c r="AM419" i="5"/>
  <c r="AL419" i="5"/>
  <c r="AO419" i="5"/>
  <c r="AJ450" i="5"/>
  <c r="AI426" i="5"/>
  <c r="AH426" i="5"/>
  <c r="AN397" i="5"/>
  <c r="AH455" i="5"/>
  <c r="AI455" i="5"/>
  <c r="AI397" i="5"/>
  <c r="AK448" i="5"/>
  <c r="AI448" i="5"/>
  <c r="AH448" i="5"/>
  <c r="AL463" i="5"/>
  <c r="AM414" i="5"/>
  <c r="AL414" i="5"/>
  <c r="AK368" i="5"/>
  <c r="AM444" i="5"/>
  <c r="AH396" i="5"/>
  <c r="AM396" i="5"/>
  <c r="AK396" i="5"/>
  <c r="AJ384" i="5"/>
  <c r="AI384" i="5"/>
  <c r="AH384" i="5"/>
  <c r="AM381" i="5"/>
  <c r="AH339" i="5"/>
  <c r="AK339" i="5"/>
  <c r="AI339" i="5"/>
  <c r="AL398" i="5"/>
  <c r="AK306" i="5"/>
  <c r="AK370" i="5"/>
  <c r="AI344" i="5"/>
  <c r="AM297" i="5"/>
  <c r="AL297" i="5"/>
  <c r="AI267" i="5"/>
  <c r="AH267" i="5"/>
  <c r="AM315" i="5"/>
  <c r="AL315" i="5"/>
  <c r="AJ275" i="5"/>
  <c r="AH275" i="5"/>
  <c r="AL351" i="5"/>
  <c r="AH286" i="5"/>
  <c r="AM286" i="5"/>
  <c r="AI286" i="5"/>
  <c r="AI329" i="5"/>
  <c r="AH329" i="5"/>
  <c r="AM339" i="5"/>
  <c r="AI295" i="5"/>
  <c r="AH295" i="5"/>
  <c r="AK284" i="5"/>
  <c r="AM263" i="5"/>
  <c r="AM214" i="5"/>
  <c r="AL214" i="5"/>
  <c r="AO243" i="5"/>
  <c r="AL249" i="5"/>
  <c r="AN246" i="5"/>
  <c r="AO287" i="5"/>
  <c r="AM221" i="5"/>
  <c r="AM269" i="5"/>
  <c r="AL233" i="5"/>
  <c r="AM198" i="5"/>
  <c r="AM180" i="5"/>
  <c r="AN277" i="5"/>
  <c r="AL277" i="5"/>
  <c r="AJ137" i="5"/>
  <c r="AH137" i="5"/>
  <c r="AJ143" i="5"/>
  <c r="AH143" i="5"/>
  <c r="AN121" i="5"/>
  <c r="AI159" i="5"/>
  <c r="AN212" i="5"/>
  <c r="AL212" i="5"/>
  <c r="AN125" i="5"/>
  <c r="AM125" i="5"/>
  <c r="AL125" i="5"/>
  <c r="AH209" i="5"/>
  <c r="AJ209" i="5"/>
  <c r="AJ51" i="5"/>
  <c r="AK195" i="5"/>
  <c r="AN153" i="5"/>
  <c r="AO153" i="5"/>
  <c r="AO262" i="5"/>
  <c r="AK189" i="5"/>
  <c r="AI144" i="5"/>
  <c r="AO103" i="5"/>
  <c r="AH77" i="5"/>
  <c r="AJ77" i="5"/>
  <c r="AL103" i="5"/>
  <c r="AH78" i="5"/>
  <c r="AL78" i="5"/>
  <c r="AI39" i="5"/>
  <c r="AH39" i="5"/>
  <c r="AL63" i="5"/>
  <c r="AL86" i="5"/>
  <c r="AI52" i="5"/>
  <c r="AH52" i="5"/>
  <c r="AO74" i="5"/>
  <c r="AI131" i="5"/>
  <c r="AL92" i="5"/>
  <c r="AI34" i="5"/>
  <c r="AH34" i="5"/>
  <c r="AL98" i="5"/>
  <c r="AO112" i="5"/>
  <c r="AM78" i="5"/>
  <c r="AI10" i="5"/>
  <c r="L10" i="5" s="1"/>
  <c r="AH10" i="5"/>
  <c r="AL84" i="5"/>
  <c r="AN499" i="5"/>
  <c r="AN486" i="5"/>
  <c r="AL455" i="5"/>
  <c r="M7" i="6"/>
  <c r="N7" i="6"/>
  <c r="AK498" i="5"/>
  <c r="AN403" i="5"/>
  <c r="AL498" i="5"/>
  <c r="AO489" i="5"/>
  <c r="AM489" i="5"/>
  <c r="AL489" i="5"/>
  <c r="AJ433" i="5"/>
  <c r="AM499" i="5"/>
  <c r="AL499" i="5"/>
  <c r="AN469" i="5"/>
  <c r="AH480" i="5"/>
  <c r="AI480" i="5"/>
  <c r="AM500" i="5"/>
  <c r="AL500" i="5"/>
  <c r="AO500" i="5"/>
  <c r="AJ424" i="5"/>
  <c r="AL459" i="5"/>
  <c r="AL430" i="5"/>
  <c r="AI405" i="5"/>
  <c r="AH405" i="5"/>
  <c r="AK405" i="5"/>
  <c r="AH452" i="5"/>
  <c r="AI452" i="5"/>
  <c r="AI423" i="5"/>
  <c r="AH423" i="5"/>
  <c r="AK423" i="5"/>
  <c r="AJ382" i="5"/>
  <c r="AJ455" i="5"/>
  <c r="AM462" i="5"/>
  <c r="AI417" i="5"/>
  <c r="AH417" i="5"/>
  <c r="AK417" i="5"/>
  <c r="AJ389" i="5"/>
  <c r="AK425" i="5"/>
  <c r="AI425" i="5"/>
  <c r="AH425" i="5"/>
  <c r="AO425" i="5"/>
  <c r="AJ396" i="5"/>
  <c r="AL448" i="5"/>
  <c r="AM448" i="5"/>
  <c r="AK468" i="5"/>
  <c r="AI435" i="5"/>
  <c r="AH435" i="5"/>
  <c r="AK435" i="5"/>
  <c r="AN388" i="5"/>
  <c r="AN352" i="5"/>
  <c r="AO423" i="5"/>
  <c r="AL400" i="5"/>
  <c r="AO353" i="5"/>
  <c r="AM346" i="5"/>
  <c r="AO384" i="5"/>
  <c r="AN381" i="5"/>
  <c r="AL389" i="5"/>
  <c r="AN300" i="5"/>
  <c r="AM398" i="5"/>
  <c r="AI377" i="5"/>
  <c r="AH377" i="5"/>
  <c r="AJ329" i="5"/>
  <c r="AK388" i="5"/>
  <c r="AJ318" i="5"/>
  <c r="AM424" i="5"/>
  <c r="AI369" i="5"/>
  <c r="AH369" i="5"/>
  <c r="AK369" i="5"/>
  <c r="AK295" i="5"/>
  <c r="AN287" i="5"/>
  <c r="AJ288" i="5"/>
  <c r="AN261" i="5"/>
  <c r="AJ219" i="5"/>
  <c r="AH219" i="5"/>
  <c r="AK281" i="5"/>
  <c r="AL311" i="5"/>
  <c r="AL288" i="5"/>
  <c r="AM337" i="5"/>
  <c r="AK297" i="5"/>
  <c r="AH297" i="5"/>
  <c r="AN333" i="5"/>
  <c r="AI312" i="5"/>
  <c r="AJ273" i="5"/>
  <c r="AJ245" i="5"/>
  <c r="AH245" i="5"/>
  <c r="AM351" i="5"/>
  <c r="AJ295" i="5"/>
  <c r="AI258" i="5"/>
  <c r="AH258" i="5"/>
  <c r="AO329" i="5"/>
  <c r="AM329" i="5"/>
  <c r="AL329" i="5"/>
  <c r="AK275" i="5"/>
  <c r="AK251" i="5"/>
  <c r="AO339" i="5"/>
  <c r="AL280" i="5"/>
  <c r="AO260" i="5"/>
  <c r="AI221" i="5"/>
  <c r="AN315" i="5"/>
  <c r="AJ254" i="5"/>
  <c r="AH254" i="5"/>
  <c r="AO216" i="5"/>
  <c r="AL255" i="5"/>
  <c r="AK243" i="5"/>
  <c r="AL263" i="5"/>
  <c r="AM231" i="5"/>
  <c r="AL258" i="5"/>
  <c r="AI237" i="5"/>
  <c r="AO286" i="5"/>
  <c r="AN245" i="5"/>
  <c r="AI207" i="5"/>
  <c r="AO281" i="5"/>
  <c r="AL252" i="5"/>
  <c r="AJ210" i="5"/>
  <c r="AH210" i="5"/>
  <c r="AJ268" i="5"/>
  <c r="AH268" i="5"/>
  <c r="AO222" i="5"/>
  <c r="AK143" i="5"/>
  <c r="AM176" i="5"/>
  <c r="AN145" i="5"/>
  <c r="AL145" i="5"/>
  <c r="AM114" i="5"/>
  <c r="AJ188" i="5"/>
  <c r="AH188" i="5"/>
  <c r="AL137" i="5"/>
  <c r="AM112" i="5"/>
  <c r="AN92" i="5"/>
  <c r="AN74" i="5"/>
  <c r="AL143" i="5"/>
  <c r="AM159" i="5"/>
  <c r="AJ161" i="5"/>
  <c r="AH161" i="5"/>
  <c r="AM207" i="5"/>
  <c r="AJ123" i="5"/>
  <c r="AI123" i="5"/>
  <c r="AH123" i="5"/>
  <c r="AL209" i="5"/>
  <c r="AO117" i="5"/>
  <c r="AN195" i="5"/>
  <c r="AL122" i="5"/>
  <c r="AN122" i="5"/>
  <c r="AN189" i="5"/>
  <c r="AJ177" i="5"/>
  <c r="AI143" i="5"/>
  <c r="AK103" i="5"/>
  <c r="AJ118" i="5"/>
  <c r="AL77" i="5"/>
  <c r="AL198" i="5"/>
  <c r="AH102" i="5"/>
  <c r="AL102" i="5"/>
  <c r="AI53" i="5"/>
  <c r="AM39" i="5"/>
  <c r="AL39" i="5"/>
  <c r="AO20" i="5"/>
  <c r="AL20" i="5"/>
  <c r="AM84" i="5"/>
  <c r="AM63" i="5"/>
  <c r="AL112" i="5"/>
  <c r="AH83" i="5"/>
  <c r="AJ83" i="5"/>
  <c r="AL114" i="5"/>
  <c r="AL51" i="5"/>
  <c r="AH20" i="5"/>
  <c r="AK20" i="5"/>
  <c r="AJ20" i="5"/>
  <c r="AI20" i="5"/>
  <c r="AM131" i="5"/>
  <c r="AH89" i="5"/>
  <c r="AJ89" i="5"/>
  <c r="AI70" i="5"/>
  <c r="AH70" i="5"/>
  <c r="AH95" i="5"/>
  <c r="AJ95" i="5"/>
  <c r="AJ111" i="5"/>
  <c r="AH17" i="5"/>
  <c r="AI17" i="5"/>
  <c r="AO57" i="5"/>
  <c r="AM14" i="5"/>
  <c r="AL7" i="5"/>
  <c r="M7" i="5" s="1"/>
  <c r="U7" i="5" s="1"/>
  <c r="I7" i="5"/>
  <c r="AN7" i="5"/>
  <c r="Q7" i="5" s="1"/>
  <c r="AL10" i="5"/>
  <c r="AM10" i="5"/>
  <c r="N10" i="5" s="1"/>
  <c r="I10" i="5"/>
  <c r="AO12" i="5"/>
  <c r="I18" i="7"/>
  <c r="AO486" i="5"/>
  <c r="AI495" i="5"/>
  <c r="AH495" i="5"/>
  <c r="AK495" i="5"/>
  <c r="AJ495" i="5"/>
  <c r="AO469" i="5"/>
  <c r="AM405" i="5"/>
  <c r="AL405" i="5"/>
  <c r="AI453" i="5"/>
  <c r="AH453" i="5"/>
  <c r="AK453" i="5"/>
  <c r="AH393" i="5"/>
  <c r="AO393" i="5"/>
  <c r="AI393" i="5"/>
  <c r="AJ444" i="5"/>
  <c r="AI450" i="5"/>
  <c r="AH450" i="5"/>
  <c r="AO468" i="5"/>
  <c r="AL395" i="5"/>
  <c r="AN395" i="5"/>
  <c r="AO395" i="5"/>
  <c r="AM395" i="5"/>
  <c r="AM362" i="5"/>
  <c r="AL362" i="5"/>
  <c r="AO368" i="5"/>
  <c r="AK393" i="5"/>
  <c r="AK300" i="5"/>
  <c r="AK288" i="5"/>
  <c r="AI261" i="5"/>
  <c r="AH261" i="5"/>
  <c r="AM288" i="5"/>
  <c r="AN252" i="5"/>
  <c r="AL339" i="5"/>
  <c r="AO300" i="5"/>
  <c r="AH290" i="5"/>
  <c r="AI290" i="5"/>
  <c r="AJ252" i="5"/>
  <c r="AK249" i="5"/>
  <c r="AK273" i="5"/>
  <c r="AJ241" i="5"/>
  <c r="AH241" i="5"/>
  <c r="AO252" i="5"/>
  <c r="AM275" i="5"/>
  <c r="AJ180" i="5"/>
  <c r="AH180" i="5"/>
  <c r="AL180" i="5"/>
  <c r="AM261" i="5"/>
  <c r="AI174" i="5"/>
  <c r="AL111" i="5"/>
  <c r="AN111" i="5"/>
  <c r="AO141" i="5"/>
  <c r="AH185" i="5"/>
  <c r="AJ185" i="5"/>
  <c r="AJ147" i="5"/>
  <c r="AO214" i="5"/>
  <c r="AL189" i="5"/>
  <c r="AM213" i="5"/>
  <c r="AH150" i="5"/>
  <c r="AJ150" i="5"/>
  <c r="AM123" i="5"/>
  <c r="AL123" i="5"/>
  <c r="AJ206" i="5"/>
  <c r="AH206" i="5"/>
  <c r="AM145" i="5"/>
  <c r="AO121" i="5"/>
  <c r="AO195" i="5"/>
  <c r="AL147" i="5"/>
  <c r="AM121" i="5"/>
  <c r="AO255" i="5"/>
  <c r="AI222" i="5"/>
  <c r="AO188" i="5"/>
  <c r="AN177" i="5"/>
  <c r="AM143" i="5"/>
  <c r="AK118" i="5"/>
  <c r="AO68" i="5"/>
  <c r="AI82" i="5"/>
  <c r="AH82" i="5"/>
  <c r="AO114" i="5"/>
  <c r="AL50" i="5"/>
  <c r="AH35" i="5"/>
  <c r="AJ35" i="5"/>
  <c r="AI18" i="5"/>
  <c r="AH18" i="5"/>
  <c r="AL120" i="5"/>
  <c r="AO70" i="5"/>
  <c r="AN70" i="5"/>
  <c r="AL70" i="5"/>
  <c r="AH72" i="5"/>
  <c r="AL72" i="5"/>
  <c r="AJ110" i="5"/>
  <c r="AH47" i="5"/>
  <c r="AK47" i="5"/>
  <c r="AO56" i="5"/>
  <c r="I39" i="7"/>
  <c r="AM471" i="5"/>
  <c r="AO471" i="5"/>
  <c r="AL471" i="5"/>
  <c r="AH459" i="5"/>
  <c r="AK459" i="5"/>
  <c r="AI459" i="5"/>
  <c r="AJ459" i="5"/>
  <c r="AO495" i="5"/>
  <c r="AM495" i="5"/>
  <c r="AL495" i="5"/>
  <c r="AJ469" i="5"/>
  <c r="AJ476" i="5"/>
  <c r="AI476" i="5"/>
  <c r="AH476" i="5"/>
  <c r="AJ408" i="5"/>
  <c r="AI403" i="5"/>
  <c r="AH403" i="5"/>
  <c r="AM403" i="5"/>
  <c r="AJ412" i="5"/>
  <c r="AK444" i="5"/>
  <c r="AM450" i="5"/>
  <c r="AL450" i="5"/>
  <c r="AJ468" i="5"/>
  <c r="AI466" i="5"/>
  <c r="AH466" i="5"/>
  <c r="AK466" i="5"/>
  <c r="AJ394" i="5"/>
  <c r="AL344" i="5"/>
  <c r="AM344" i="5"/>
  <c r="AI346" i="5"/>
  <c r="AH346" i="5"/>
  <c r="AI358" i="5"/>
  <c r="AH358" i="5"/>
  <c r="AI371" i="5"/>
  <c r="AH371" i="5"/>
  <c r="AH350" i="5"/>
  <c r="AI350" i="5"/>
  <c r="AM350" i="5"/>
  <c r="AO404" i="5"/>
  <c r="AO346" i="5"/>
  <c r="AL279" i="5"/>
  <c r="AM279" i="5"/>
  <c r="AN288" i="5"/>
  <c r="AI332" i="5"/>
  <c r="AH332" i="5"/>
  <c r="AK293" i="5"/>
  <c r="AI293" i="5"/>
  <c r="AH293" i="5"/>
  <c r="AL306" i="5"/>
  <c r="AJ269" i="5"/>
  <c r="AH269" i="5"/>
  <c r="AI338" i="5"/>
  <c r="AH338" i="5"/>
  <c r="AH284" i="5"/>
  <c r="AI284" i="5"/>
  <c r="AI252" i="5"/>
  <c r="AH252" i="5"/>
  <c r="AJ279" i="5"/>
  <c r="AH281" i="5"/>
  <c r="AI281" i="5"/>
  <c r="AM309" i="5"/>
  <c r="AL309" i="5"/>
  <c r="AM272" i="5"/>
  <c r="AN256" i="5"/>
  <c r="AL256" i="5"/>
  <c r="AN251" i="5"/>
  <c r="AJ274" i="5"/>
  <c r="AH274" i="5"/>
  <c r="AL274" i="5"/>
  <c r="AI201" i="5"/>
  <c r="AJ204" i="5"/>
  <c r="AH204" i="5"/>
  <c r="AO264" i="5"/>
  <c r="AO215" i="5"/>
  <c r="AH138" i="5"/>
  <c r="AJ138" i="5"/>
  <c r="AJ182" i="5"/>
  <c r="AH182" i="5"/>
  <c r="AJ135" i="5"/>
  <c r="AO135" i="5"/>
  <c r="AK147" i="5"/>
  <c r="AO213" i="5"/>
  <c r="AL183" i="5"/>
  <c r="AJ149" i="5"/>
  <c r="AH149" i="5"/>
  <c r="AO201" i="5"/>
  <c r="AJ114" i="5"/>
  <c r="AN144" i="5"/>
  <c r="AL146" i="5"/>
  <c r="AN146" i="5"/>
  <c r="AK254" i="5"/>
  <c r="AL207" i="5"/>
  <c r="AN118" i="5"/>
  <c r="AO51" i="5"/>
  <c r="AO82" i="5"/>
  <c r="AN82" i="5"/>
  <c r="AL82" i="5"/>
  <c r="AL109" i="5"/>
  <c r="AN109" i="5"/>
  <c r="AL118" i="5"/>
  <c r="AO189" i="5"/>
  <c r="AO101" i="5"/>
  <c r="AK108" i="5"/>
  <c r="AI78" i="5"/>
  <c r="AN44" i="5"/>
  <c r="AN457" i="5"/>
  <c r="AL476" i="5"/>
  <c r="AO476" i="5"/>
  <c r="AM476" i="5"/>
  <c r="AO433" i="5"/>
  <c r="AH416" i="5"/>
  <c r="AI416" i="5"/>
  <c r="AM453" i="5"/>
  <c r="AK414" i="5"/>
  <c r="AI441" i="5"/>
  <c r="AH441" i="5"/>
  <c r="AK441" i="5"/>
  <c r="AN468" i="5"/>
  <c r="AJ393" i="5"/>
  <c r="AM466" i="5"/>
  <c r="AL466" i="5"/>
  <c r="AO389" i="5"/>
  <c r="AL347" i="5"/>
  <c r="AM347" i="5"/>
  <c r="AO362" i="5"/>
  <c r="AH345" i="5"/>
  <c r="AI345" i="5"/>
  <c r="AL358" i="5"/>
  <c r="AM358" i="5"/>
  <c r="AL350" i="5"/>
  <c r="AL382" i="5"/>
  <c r="AI351" i="5"/>
  <c r="AH351" i="5"/>
  <c r="AN339" i="5"/>
  <c r="AL404" i="5"/>
  <c r="AJ346" i="5"/>
  <c r="AL285" i="5"/>
  <c r="AM285" i="5"/>
  <c r="AI255" i="5"/>
  <c r="AH255" i="5"/>
  <c r="AK332" i="5"/>
  <c r="AO306" i="5"/>
  <c r="AL332" i="5"/>
  <c r="AM332" i="5"/>
  <c r="AM306" i="5"/>
  <c r="AJ267" i="5"/>
  <c r="AJ239" i="5"/>
  <c r="AH239" i="5"/>
  <c r="AL338" i="5"/>
  <c r="AM338" i="5"/>
  <c r="AM318" i="5"/>
  <c r="AL318" i="5"/>
  <c r="AM281" i="5"/>
  <c r="AI246" i="5"/>
  <c r="AH246" i="5"/>
  <c r="AK269" i="5"/>
  <c r="AN279" i="5"/>
  <c r="AI279" i="5"/>
  <c r="AK309" i="5"/>
  <c r="AH309" i="5"/>
  <c r="AJ248" i="5"/>
  <c r="AH248" i="5"/>
  <c r="AN247" i="5"/>
  <c r="AL247" i="5"/>
  <c r="AN271" i="5"/>
  <c r="AL271" i="5"/>
  <c r="AN241" i="5"/>
  <c r="AH216" i="5"/>
  <c r="AJ216" i="5"/>
  <c r="AO251" i="5"/>
  <c r="AL225" i="5"/>
  <c r="AJ250" i="5"/>
  <c r="AH250" i="5"/>
  <c r="AM267" i="5"/>
  <c r="AN274" i="5"/>
  <c r="AM245" i="5"/>
  <c r="AN174" i="5"/>
  <c r="AL251" i="5"/>
  <c r="AM138" i="5"/>
  <c r="AN214" i="5"/>
  <c r="AM183" i="5"/>
  <c r="AO171" i="5"/>
  <c r="AL138" i="5"/>
  <c r="AK135" i="5"/>
  <c r="AN147" i="5"/>
  <c r="AL177" i="5"/>
  <c r="AI147" i="5"/>
  <c r="AJ98" i="5"/>
  <c r="AJ165" i="5"/>
  <c r="AL149" i="5"/>
  <c r="AL141" i="5"/>
  <c r="AO111" i="5"/>
  <c r="AO192" i="5"/>
  <c r="AO144" i="5"/>
  <c r="AO186" i="5"/>
  <c r="AO118" i="5"/>
  <c r="AI56" i="5"/>
  <c r="AJ50" i="5"/>
  <c r="AH14" i="5"/>
  <c r="AI14" i="5"/>
  <c r="AI68" i="5"/>
  <c r="AL57" i="5"/>
  <c r="AM185" i="5"/>
  <c r="AL113" i="5"/>
  <c r="AM113" i="5"/>
  <c r="AL119" i="5"/>
  <c r="AN119" i="5"/>
  <c r="AM119" i="5"/>
  <c r="AO128" i="5"/>
  <c r="AI28" i="5"/>
  <c r="AH28" i="5"/>
  <c r="AI42" i="5"/>
  <c r="AH42" i="5"/>
  <c r="AI76" i="5"/>
  <c r="AH76" i="5"/>
  <c r="AK223" i="5"/>
  <c r="AO63" i="5"/>
  <c r="AO44" i="5"/>
  <c r="AK458" i="5"/>
  <c r="AJ458" i="5"/>
  <c r="AH458" i="5"/>
  <c r="AI458" i="5"/>
  <c r="AI432" i="5"/>
  <c r="AH432" i="5"/>
  <c r="AI408" i="5"/>
  <c r="AH408" i="5"/>
  <c r="AK408" i="5"/>
  <c r="AH446" i="5"/>
  <c r="AI446" i="5"/>
  <c r="AK412" i="5"/>
  <c r="AI412" i="5"/>
  <c r="AH412" i="5"/>
  <c r="AO458" i="5"/>
  <c r="AH428" i="5"/>
  <c r="AI428" i="5"/>
  <c r="AI444" i="5"/>
  <c r="AH444" i="5"/>
  <c r="AM404" i="5"/>
  <c r="AK305" i="5"/>
  <c r="AI305" i="5"/>
  <c r="AH305" i="5"/>
  <c r="AH288" i="5"/>
  <c r="AI288" i="5"/>
  <c r="AI308" i="5"/>
  <c r="AH308" i="5"/>
  <c r="AI314" i="5"/>
  <c r="AH314" i="5"/>
  <c r="AN305" i="5"/>
  <c r="AJ272" i="5"/>
  <c r="AH272" i="5"/>
  <c r="AO273" i="5"/>
  <c r="AM273" i="5"/>
  <c r="AN244" i="5"/>
  <c r="AL244" i="5"/>
  <c r="AJ198" i="5"/>
  <c r="AH198" i="5"/>
  <c r="AJ174" i="5"/>
  <c r="AH174" i="5"/>
  <c r="AL174" i="5"/>
  <c r="AM262" i="5"/>
  <c r="AJ213" i="5"/>
  <c r="AI182" i="5"/>
  <c r="AJ176" i="5"/>
  <c r="AH176" i="5"/>
  <c r="AN135" i="5"/>
  <c r="AI120" i="5"/>
  <c r="AL195" i="5"/>
  <c r="AN163" i="5"/>
  <c r="AL163" i="5"/>
  <c r="AL132" i="5"/>
  <c r="AH179" i="5"/>
  <c r="AJ179" i="5"/>
  <c r="AI141" i="5"/>
  <c r="AK116" i="5"/>
  <c r="AH116" i="5"/>
  <c r="AJ173" i="5"/>
  <c r="AH173" i="5"/>
  <c r="AO207" i="5"/>
  <c r="AM147" i="5"/>
  <c r="AJ92" i="5"/>
  <c r="AM206" i="5"/>
  <c r="AK165" i="5"/>
  <c r="AK57" i="5"/>
  <c r="AN198" i="5"/>
  <c r="AN206" i="5"/>
  <c r="AL206" i="5"/>
  <c r="AO191" i="5"/>
  <c r="AM191" i="5"/>
  <c r="AO143" i="5"/>
  <c r="AO185" i="5"/>
  <c r="AO174" i="5"/>
  <c r="AH197" i="5"/>
  <c r="AJ197" i="5"/>
  <c r="AM56" i="5"/>
  <c r="AK180" i="5"/>
  <c r="AN50" i="5"/>
  <c r="AO35" i="5"/>
  <c r="AK68" i="5"/>
  <c r="AL56" i="5"/>
  <c r="AO183" i="5"/>
  <c r="AL115" i="5"/>
  <c r="AN115" i="5"/>
  <c r="AM34" i="5"/>
  <c r="AJ171" i="5"/>
  <c r="AN47" i="5"/>
  <c r="AJ14" i="5"/>
  <c r="AN127" i="5"/>
  <c r="AI94" i="5"/>
  <c r="AH94" i="5"/>
  <c r="AL124" i="5"/>
  <c r="AO124" i="5"/>
  <c r="AH41" i="5"/>
  <c r="AJ41" i="5"/>
  <c r="AO76" i="5"/>
  <c r="AN76" i="5"/>
  <c r="AL76" i="5"/>
  <c r="AI62" i="5"/>
  <c r="AN32" i="5"/>
  <c r="AL30" i="5"/>
  <c r="AC5" i="5"/>
  <c r="AL14" i="5"/>
  <c r="AJ482" i="5"/>
  <c r="AI482" i="5"/>
  <c r="AH482" i="5"/>
  <c r="AI490" i="5"/>
  <c r="AH490" i="5"/>
  <c r="I49" i="7"/>
  <c r="AJ490" i="5"/>
  <c r="AO493" i="5"/>
  <c r="AJ500" i="5"/>
  <c r="AI500" i="5"/>
  <c r="AH500" i="5"/>
  <c r="AM482" i="5"/>
  <c r="AL482" i="5"/>
  <c r="AO482" i="5"/>
  <c r="AN445" i="5"/>
  <c r="AO496" i="5"/>
  <c r="AJ504" i="5"/>
  <c r="AI504" i="5"/>
  <c r="AJ457" i="5"/>
  <c r="AL504" i="5"/>
  <c r="AN480" i="5"/>
  <c r="AN453" i="5"/>
  <c r="AM458" i="5"/>
  <c r="AK428" i="5"/>
  <c r="AN475" i="5"/>
  <c r="AN474" i="5"/>
  <c r="AI501" i="5"/>
  <c r="AH501" i="5"/>
  <c r="AK501" i="5"/>
  <c r="AJ501" i="5"/>
  <c r="AJ407" i="5"/>
  <c r="AN393" i="5"/>
  <c r="AM432" i="5"/>
  <c r="AL432" i="5"/>
  <c r="AL407" i="5"/>
  <c r="AM446" i="5"/>
  <c r="AM408" i="5"/>
  <c r="AL408" i="5"/>
  <c r="AL433" i="5"/>
  <c r="AO441" i="5"/>
  <c r="AO414" i="5"/>
  <c r="AL441" i="5"/>
  <c r="AL412" i="5"/>
  <c r="AM412" i="5"/>
  <c r="AI483" i="5"/>
  <c r="AH483" i="5"/>
  <c r="AK483" i="5"/>
  <c r="AJ483" i="5"/>
  <c r="AM428" i="5"/>
  <c r="AK350" i="5"/>
  <c r="AM457" i="5"/>
  <c r="AK443" i="5"/>
  <c r="AI443" i="5"/>
  <c r="AH443" i="5"/>
  <c r="AI415" i="5"/>
  <c r="AH415" i="5"/>
  <c r="AN371" i="5"/>
  <c r="AI347" i="5"/>
  <c r="AJ332" i="5"/>
  <c r="AI383" i="5"/>
  <c r="AL356" i="5"/>
  <c r="AK318" i="5"/>
  <c r="AI360" i="5"/>
  <c r="AH360" i="5"/>
  <c r="AN338" i="5"/>
  <c r="AO309" i="5"/>
  <c r="AL345" i="5"/>
  <c r="AO305" i="5"/>
  <c r="AM305" i="5"/>
  <c r="AL305" i="5"/>
  <c r="AN286" i="5"/>
  <c r="AI249" i="5"/>
  <c r="AH249" i="5"/>
  <c r="AJ284" i="5"/>
  <c r="AN323" i="5"/>
  <c r="AI287" i="5"/>
  <c r="AH287" i="5"/>
  <c r="AK287" i="5"/>
  <c r="AM323" i="5"/>
  <c r="AI294" i="5"/>
  <c r="AJ263" i="5"/>
  <c r="AH263" i="5"/>
  <c r="AN281" i="5"/>
  <c r="AL312" i="5"/>
  <c r="AN222" i="5"/>
  <c r="AL308" i="5"/>
  <c r="AM222" i="5"/>
  <c r="AL295" i="5"/>
  <c r="AL314" i="5"/>
  <c r="AI275" i="5"/>
  <c r="AI251" i="5"/>
  <c r="AK272" i="5"/>
  <c r="AL239" i="5"/>
  <c r="AL264" i="5"/>
  <c r="AI213" i="5"/>
  <c r="AL248" i="5"/>
  <c r="AI219" i="5"/>
  <c r="AO275" i="5"/>
  <c r="AL243" i="5"/>
  <c r="AI217" i="5"/>
  <c r="AH217" i="5"/>
  <c r="AL217" i="5"/>
  <c r="AK252" i="5"/>
  <c r="AL267" i="5"/>
  <c r="AJ235" i="5"/>
  <c r="AH235" i="5"/>
  <c r="AO269" i="5"/>
  <c r="AO239" i="5"/>
  <c r="AL260" i="5"/>
  <c r="AK210" i="5"/>
  <c r="AK182" i="5"/>
  <c r="AL165" i="5"/>
  <c r="AH144" i="5"/>
  <c r="AJ144" i="5"/>
  <c r="AO159" i="5"/>
  <c r="AL179" i="5"/>
  <c r="AM141" i="5"/>
  <c r="AL173" i="5"/>
  <c r="AO147" i="5"/>
  <c r="AN204" i="5"/>
  <c r="AJ86" i="5"/>
  <c r="AN165" i="5"/>
  <c r="AN116" i="5"/>
  <c r="AL116" i="5"/>
  <c r="AK51" i="5"/>
  <c r="AN138" i="5"/>
  <c r="AJ108" i="5"/>
  <c r="AM201" i="5"/>
  <c r="AH168" i="5"/>
  <c r="AJ168" i="5"/>
  <c r="AK138" i="5"/>
  <c r="AJ167" i="5"/>
  <c r="AH167" i="5"/>
  <c r="AI138" i="5"/>
  <c r="AO247" i="5"/>
  <c r="AM195" i="5"/>
  <c r="AJ183" i="5"/>
  <c r="AM163" i="5"/>
  <c r="AJ116" i="5"/>
  <c r="AO86" i="5"/>
  <c r="AI86" i="5"/>
  <c r="AO50" i="5"/>
  <c r="AI11" i="5"/>
  <c r="AH11" i="5"/>
  <c r="AL108" i="5"/>
  <c r="AM68" i="5"/>
  <c r="AK11" i="5"/>
  <c r="AI64" i="5"/>
  <c r="AH64" i="5"/>
  <c r="AI36" i="5"/>
  <c r="AK36" i="5"/>
  <c r="AH36" i="5"/>
  <c r="AK162" i="5"/>
  <c r="AK186" i="5"/>
  <c r="AO32" i="5"/>
  <c r="AK14" i="5"/>
  <c r="AK171" i="5"/>
  <c r="AI74" i="5"/>
  <c r="AO47" i="5"/>
  <c r="AI132" i="5"/>
  <c r="AO94" i="5"/>
  <c r="AN94" i="5"/>
  <c r="AL94" i="5"/>
  <c r="AN108" i="5"/>
  <c r="AN114" i="5"/>
  <c r="AK62" i="5"/>
  <c r="AK35" i="5"/>
  <c r="AL18" i="5"/>
  <c r="AL36" i="5"/>
  <c r="AO6" i="5"/>
  <c r="R6" i="5" s="1"/>
  <c r="AN6" i="5"/>
  <c r="AM6" i="5"/>
  <c r="AL6" i="5"/>
  <c r="M6" i="5" s="1"/>
  <c r="D17" i="7"/>
  <c r="A18" i="7" s="1"/>
  <c r="I38" i="7"/>
  <c r="AI475" i="5"/>
  <c r="AH475" i="5"/>
  <c r="AN492" i="5"/>
  <c r="AK457" i="5"/>
  <c r="AL492" i="5"/>
  <c r="AJ493" i="5"/>
  <c r="AK504" i="5"/>
  <c r="AM487" i="5"/>
  <c r="AL487" i="5"/>
  <c r="AN501" i="5"/>
  <c r="AO480" i="5"/>
  <c r="AN484" i="5"/>
  <c r="AL484" i="5"/>
  <c r="AM484" i="5"/>
  <c r="AO424" i="5"/>
  <c r="AN471" i="5"/>
  <c r="AO501" i="5"/>
  <c r="AM501" i="5"/>
  <c r="AL501" i="5"/>
  <c r="AN446" i="5"/>
  <c r="AI472" i="5"/>
  <c r="AH472" i="5"/>
  <c r="AO446" i="5"/>
  <c r="AM433" i="5"/>
  <c r="AK406" i="5"/>
  <c r="AI406" i="5"/>
  <c r="AH406" i="5"/>
  <c r="AN344" i="5"/>
  <c r="AM441" i="5"/>
  <c r="AO483" i="5"/>
  <c r="AM483" i="5"/>
  <c r="AL483" i="5"/>
  <c r="AH434" i="5"/>
  <c r="AI434" i="5"/>
  <c r="AL396" i="5"/>
  <c r="AN351" i="5"/>
  <c r="AO428" i="5"/>
  <c r="AO382" i="5"/>
  <c r="AK344" i="5"/>
  <c r="AM415" i="5"/>
  <c r="AN370" i="5"/>
  <c r="AO371" i="5"/>
  <c r="AN389" i="5"/>
  <c r="AL346" i="5"/>
  <c r="AI354" i="5"/>
  <c r="AH354" i="5"/>
  <c r="AH282" i="5"/>
  <c r="AK282" i="5"/>
  <c r="AJ305" i="5"/>
  <c r="AO314" i="5"/>
  <c r="AJ306" i="5"/>
  <c r="AN297" i="5"/>
  <c r="AM282" i="5"/>
  <c r="AN243" i="5"/>
  <c r="AI306" i="5"/>
  <c r="AM321" i="5"/>
  <c r="AL321" i="5"/>
  <c r="AM284" i="5"/>
  <c r="AO318" i="5"/>
  <c r="AJ282" i="5"/>
  <c r="AJ261" i="5"/>
  <c r="AJ233" i="5"/>
  <c r="AH233" i="5"/>
  <c r="AK279" i="5"/>
  <c r="AM312" i="5"/>
  <c r="AI276" i="5"/>
  <c r="AH276" i="5"/>
  <c r="AJ220" i="5"/>
  <c r="AI307" i="5"/>
  <c r="AH307" i="5"/>
  <c r="AK263" i="5"/>
  <c r="AK239" i="5"/>
  <c r="AK221" i="5"/>
  <c r="AM295" i="5"/>
  <c r="AI313" i="5"/>
  <c r="AH313" i="5"/>
  <c r="AO272" i="5"/>
  <c r="AO248" i="5"/>
  <c r="AJ266" i="5"/>
  <c r="AH266" i="5"/>
  <c r="AJ242" i="5"/>
  <c r="AH242" i="5"/>
  <c r="AO258" i="5"/>
  <c r="AI225" i="5"/>
  <c r="AK258" i="5"/>
  <c r="AO274" i="5"/>
  <c r="AM243" i="5"/>
  <c r="AM219" i="5"/>
  <c r="AM274" i="5"/>
  <c r="AO237" i="5"/>
  <c r="AK177" i="5"/>
  <c r="AM251" i="5"/>
  <c r="AO261" i="5"/>
  <c r="AL231" i="5"/>
  <c r="AI189" i="5"/>
  <c r="AM268" i="5"/>
  <c r="AJ238" i="5"/>
  <c r="AH238" i="5"/>
  <c r="AK255" i="5"/>
  <c r="AI149" i="5"/>
  <c r="AM182" i="5"/>
  <c r="AL164" i="5"/>
  <c r="AN164" i="5"/>
  <c r="AL223" i="5"/>
  <c r="AI171" i="5"/>
  <c r="AL144" i="5"/>
  <c r="AN133" i="5"/>
  <c r="AL133" i="5"/>
  <c r="AI118" i="5"/>
  <c r="AL105" i="5"/>
  <c r="AN105" i="5"/>
  <c r="AN62" i="5"/>
  <c r="AN188" i="5"/>
  <c r="AM212" i="5"/>
  <c r="AK168" i="5"/>
  <c r="AO146" i="5"/>
  <c r="AJ80" i="5"/>
  <c r="AM146" i="5"/>
  <c r="AN169" i="5"/>
  <c r="AL169" i="5"/>
  <c r="AO138" i="5"/>
  <c r="AO105" i="5"/>
  <c r="AL168" i="5"/>
  <c r="AO137" i="5"/>
  <c r="AL167" i="5"/>
  <c r="AI137" i="5"/>
  <c r="AN84" i="5"/>
  <c r="AL246" i="5"/>
  <c r="AK183" i="5"/>
  <c r="AO162" i="5"/>
  <c r="AK114" i="5"/>
  <c r="AK86" i="5"/>
  <c r="AL62" i="5"/>
  <c r="AO108" i="5"/>
  <c r="AI50" i="5"/>
  <c r="O10" i="5"/>
  <c r="AO92" i="5"/>
  <c r="AO64" i="5"/>
  <c r="AN64" i="5"/>
  <c r="AL64" i="5"/>
  <c r="AI30" i="5"/>
  <c r="AK30" i="5"/>
  <c r="AH30" i="5"/>
  <c r="AJ70" i="5"/>
  <c r="AH38" i="5"/>
  <c r="AK38" i="5"/>
  <c r="AJ38" i="5"/>
  <c r="AO95" i="5"/>
  <c r="AH65" i="5"/>
  <c r="AJ65" i="5"/>
  <c r="AH29" i="5"/>
  <c r="AJ29" i="5"/>
  <c r="AN171" i="5"/>
  <c r="AO98" i="5"/>
  <c r="AK74" i="5"/>
  <c r="AM41" i="5"/>
  <c r="AK18" i="5"/>
  <c r="AH126" i="5"/>
  <c r="AJ126" i="5"/>
  <c r="AO77" i="5"/>
  <c r="AH21" i="5"/>
  <c r="AK21" i="5"/>
  <c r="AI21" i="5"/>
  <c r="AI103" i="5"/>
  <c r="AO80" i="5"/>
  <c r="AO62" i="5"/>
  <c r="AM62" i="5"/>
  <c r="AH23" i="5"/>
  <c r="AJ23" i="5"/>
  <c r="AH15" i="5"/>
  <c r="AI15" i="5"/>
  <c r="AK50" i="5"/>
  <c r="AN34" i="5"/>
  <c r="AL8" i="5"/>
  <c r="M8" i="5" s="1"/>
  <c r="AM18" i="5"/>
  <c r="AM36" i="5"/>
  <c r="AJ494" i="5"/>
  <c r="AI494" i="5"/>
  <c r="AH494" i="5"/>
  <c r="AL475" i="5"/>
  <c r="AM475" i="5"/>
  <c r="AN477" i="5"/>
  <c r="AN489" i="5"/>
  <c r="AN433" i="5"/>
  <c r="AN504" i="5"/>
  <c r="AK445" i="5"/>
  <c r="AK500" i="5"/>
  <c r="AN482" i="5"/>
  <c r="AN400" i="5"/>
  <c r="AL403" i="5"/>
  <c r="AH404" i="5"/>
  <c r="AI404" i="5"/>
  <c r="AN472" i="5"/>
  <c r="AM472" i="5"/>
  <c r="AL472" i="5"/>
  <c r="AL394" i="5"/>
  <c r="AI451" i="5"/>
  <c r="AH451" i="5"/>
  <c r="AN404" i="5"/>
  <c r="AJ368" i="5"/>
  <c r="AJ432" i="5"/>
  <c r="AI388" i="5"/>
  <c r="AH388" i="5"/>
  <c r="AM394" i="5"/>
  <c r="AI370" i="5"/>
  <c r="AH370" i="5"/>
  <c r="AO350" i="5"/>
  <c r="AJ351" i="5"/>
  <c r="AK385" i="5"/>
  <c r="AI385" i="5"/>
  <c r="AH385" i="5"/>
  <c r="AI349" i="5"/>
  <c r="AH349" i="5"/>
  <c r="AK349" i="5"/>
  <c r="AO443" i="5"/>
  <c r="AK373" i="5"/>
  <c r="AI373" i="5"/>
  <c r="AH373" i="5"/>
  <c r="AM352" i="5"/>
  <c r="AM388" i="5"/>
  <c r="AH356" i="5"/>
  <c r="AI356" i="5"/>
  <c r="AN332" i="5"/>
  <c r="AK384" i="5"/>
  <c r="AI341" i="5"/>
  <c r="AH341" i="5"/>
  <c r="AM341" i="5"/>
  <c r="AM336" i="5"/>
  <c r="AL336" i="5"/>
  <c r="AI296" i="5"/>
  <c r="AH296" i="5"/>
  <c r="AJ280" i="5"/>
  <c r="AH280" i="5"/>
  <c r="AI280" i="5"/>
  <c r="AI317" i="5"/>
  <c r="AH317" i="5"/>
  <c r="AK225" i="5"/>
  <c r="AI323" i="5"/>
  <c r="AH323" i="5"/>
  <c r="AM308" i="5"/>
  <c r="AN216" i="5"/>
  <c r="AO295" i="5"/>
  <c r="AM271" i="5"/>
  <c r="AM247" i="5"/>
  <c r="AJ264" i="5"/>
  <c r="AK241" i="5"/>
  <c r="AM225" i="5"/>
  <c r="AO231" i="5"/>
  <c r="AL273" i="5"/>
  <c r="AN237" i="5"/>
  <c r="AL272" i="5"/>
  <c r="AL250" i="5"/>
  <c r="AK260" i="5"/>
  <c r="AL227" i="5"/>
  <c r="AJ192" i="5"/>
  <c r="AH192" i="5"/>
  <c r="AL237" i="5"/>
  <c r="AM204" i="5"/>
  <c r="AM186" i="5"/>
  <c r="AM254" i="5"/>
  <c r="AK204" i="5"/>
  <c r="AL201" i="5"/>
  <c r="AI180" i="5"/>
  <c r="AM171" i="5"/>
  <c r="AH129" i="5"/>
  <c r="AJ129" i="5"/>
  <c r="AI129" i="5"/>
  <c r="AM118" i="5"/>
  <c r="AL182" i="5"/>
  <c r="AL153" i="5"/>
  <c r="AK128" i="5"/>
  <c r="AJ128" i="5"/>
  <c r="AH128" i="5"/>
  <c r="AK110" i="5"/>
  <c r="AH110" i="5"/>
  <c r="AI210" i="5"/>
  <c r="AL171" i="5"/>
  <c r="AJ74" i="5"/>
  <c r="AI204" i="5"/>
  <c r="AO165" i="5"/>
  <c r="AI165" i="5"/>
  <c r="AM137" i="5"/>
  <c r="AL275" i="5"/>
  <c r="AM246" i="5"/>
  <c r="AN183" i="5"/>
  <c r="AH156" i="5"/>
  <c r="AJ156" i="5"/>
  <c r="AK132" i="5"/>
  <c r="AM111" i="5"/>
  <c r="AK84" i="5"/>
  <c r="AJ120" i="5"/>
  <c r="AM86" i="5"/>
  <c r="AI45" i="5"/>
  <c r="AH45" i="5"/>
  <c r="AM50" i="5"/>
  <c r="AL68" i="5"/>
  <c r="AM74" i="5"/>
  <c r="AB5" i="5"/>
  <c r="AI98" i="5"/>
  <c r="AL17" i="5"/>
  <c r="AO17" i="5"/>
  <c r="AJ76" i="5"/>
  <c r="AN11" i="5"/>
  <c r="AM103" i="5"/>
  <c r="AO36" i="5"/>
  <c r="AN113" i="5"/>
  <c r="AJ82" i="5"/>
  <c r="AK59" i="5"/>
  <c r="AO39" i="5"/>
  <c r="AN102" i="5"/>
  <c r="AN20" i="5"/>
  <c r="AL15" i="5"/>
  <c r="AN15" i="5"/>
  <c r="AM15" i="5"/>
  <c r="AM42" i="5"/>
  <c r="AO34" i="5"/>
  <c r="AK29" i="5"/>
  <c r="AM21" i="5"/>
  <c r="AO24" i="5"/>
  <c r="I9" i="7"/>
  <c r="I13" i="7" s="1"/>
  <c r="F14" i="7" s="1"/>
  <c r="AJ488" i="5"/>
  <c r="AI488" i="5"/>
  <c r="AH488" i="5"/>
  <c r="R7" i="6"/>
  <c r="AK488" i="5"/>
  <c r="AI487" i="5"/>
  <c r="AO504" i="5"/>
  <c r="AK475" i="5"/>
  <c r="AJ499" i="5"/>
  <c r="AI499" i="5"/>
  <c r="AJ445" i="5"/>
  <c r="AJ481" i="5"/>
  <c r="AO454" i="5"/>
  <c r="AO494" i="5"/>
  <c r="AK464" i="5"/>
  <c r="AI464" i="5"/>
  <c r="AH464" i="5"/>
  <c r="AJ464" i="5"/>
  <c r="AM464" i="5"/>
  <c r="AM468" i="5"/>
  <c r="AL416" i="5"/>
  <c r="AM397" i="5"/>
  <c r="AL470" i="5"/>
  <c r="AM470" i="5"/>
  <c r="AO470" i="5"/>
  <c r="AL393" i="5"/>
  <c r="AM481" i="5"/>
  <c r="AL481" i="5"/>
  <c r="AL426" i="5"/>
  <c r="AM455" i="5"/>
  <c r="AI409" i="5"/>
  <c r="AH409" i="5"/>
  <c r="AN466" i="5"/>
  <c r="AL434" i="5"/>
  <c r="AJ385" i="5"/>
  <c r="AK442" i="5"/>
  <c r="AI442" i="5"/>
  <c r="AH442" i="5"/>
  <c r="AM451" i="5"/>
  <c r="AL451" i="5"/>
  <c r="AI399" i="5"/>
  <c r="AH399" i="5"/>
  <c r="AK432" i="5"/>
  <c r="AN405" i="5"/>
  <c r="AM365" i="5"/>
  <c r="AL365" i="5"/>
  <c r="AI362" i="5"/>
  <c r="AJ308" i="5"/>
  <c r="AL371" i="5"/>
  <c r="AM349" i="5"/>
  <c r="AL349" i="5"/>
  <c r="AK382" i="5"/>
  <c r="AH348" i="5"/>
  <c r="AO348" i="5"/>
  <c r="AI348" i="5"/>
  <c r="AN312" i="5"/>
  <c r="AL443" i="5"/>
  <c r="AM386" i="5"/>
  <c r="AL386" i="5"/>
  <c r="AM373" i="5"/>
  <c r="AL373" i="5"/>
  <c r="AK312" i="5"/>
  <c r="AJ387" i="5"/>
  <c r="AI387" i="5"/>
  <c r="AH387" i="5"/>
  <c r="AJ300" i="5"/>
  <c r="AL383" i="5"/>
  <c r="AK337" i="5"/>
  <c r="AM303" i="5"/>
  <c r="AL303" i="5"/>
  <c r="AI336" i="5"/>
  <c r="AL300" i="5"/>
  <c r="AJ325" i="5"/>
  <c r="AI325" i="5"/>
  <c r="AH325" i="5"/>
  <c r="AN293" i="5"/>
  <c r="AN225" i="5"/>
  <c r="AI292" i="5"/>
  <c r="AH292" i="5"/>
  <c r="AO317" i="5"/>
  <c r="AM317" i="5"/>
  <c r="AL317" i="5"/>
  <c r="AH278" i="5"/>
  <c r="AK278" i="5"/>
  <c r="AO282" i="5"/>
  <c r="AJ257" i="5"/>
  <c r="AH257" i="5"/>
  <c r="AJ227" i="5"/>
  <c r="AH227" i="5"/>
  <c r="AO323" i="5"/>
  <c r="AL323" i="5"/>
  <c r="AM294" i="5"/>
  <c r="AL294" i="5"/>
  <c r="AI270" i="5"/>
  <c r="AH270" i="5"/>
  <c r="AJ214" i="5"/>
  <c r="AO259" i="5"/>
  <c r="AO217" i="5"/>
  <c r="AM324" i="5"/>
  <c r="AL324" i="5"/>
  <c r="AI335" i="5"/>
  <c r="AH335" i="5"/>
  <c r="AI309" i="5"/>
  <c r="AI269" i="5"/>
  <c r="AK246" i="5"/>
  <c r="AI227" i="5"/>
  <c r="AM330" i="5"/>
  <c r="AL330" i="5"/>
  <c r="AM296" i="5"/>
  <c r="AO284" i="5"/>
  <c r="AO225" i="5"/>
  <c r="AL269" i="5"/>
  <c r="AK217" i="5"/>
  <c r="AM256" i="5"/>
  <c r="AN228" i="5"/>
  <c r="AO267" i="5"/>
  <c r="AK267" i="5"/>
  <c r="AO234" i="5"/>
  <c r="AN250" i="5"/>
  <c r="AM220" i="5"/>
  <c r="AO221" i="5"/>
  <c r="AI183" i="5"/>
  <c r="AK261" i="5"/>
  <c r="AN229" i="5"/>
  <c r="AL229" i="5"/>
  <c r="AN150" i="5"/>
  <c r="AN235" i="5"/>
  <c r="AL235" i="5"/>
  <c r="AK185" i="5"/>
  <c r="AK149" i="5"/>
  <c r="AN253" i="5"/>
  <c r="AL253" i="5"/>
  <c r="AN194" i="5"/>
  <c r="AL194" i="5"/>
  <c r="AM161" i="5"/>
  <c r="AN123" i="5"/>
  <c r="AJ159" i="5"/>
  <c r="AJ141" i="5"/>
  <c r="AL129" i="5"/>
  <c r="AL117" i="5"/>
  <c r="AN117" i="5"/>
  <c r="AN98" i="5"/>
  <c r="AN80" i="5"/>
  <c r="AN182" i="5"/>
  <c r="AL152" i="5"/>
  <c r="AN152" i="5"/>
  <c r="AN103" i="5"/>
  <c r="AI135" i="5"/>
  <c r="AI63" i="5"/>
  <c r="AH63" i="5"/>
  <c r="AJ207" i="5"/>
  <c r="AL131" i="5"/>
  <c r="AL170" i="5"/>
  <c r="AN170" i="5"/>
  <c r="AJ68" i="5"/>
  <c r="AJ201" i="5"/>
  <c r="AO164" i="5"/>
  <c r="AM135" i="5"/>
  <c r="AL135" i="5"/>
  <c r="AM165" i="5"/>
  <c r="AO129" i="5"/>
  <c r="AL134" i="5"/>
  <c r="AN134" i="5"/>
  <c r="AM270" i="5"/>
  <c r="AM239" i="5"/>
  <c r="AM194" i="5"/>
  <c r="AO182" i="5"/>
  <c r="AL156" i="5"/>
  <c r="AK131" i="5"/>
  <c r="AM179" i="5"/>
  <c r="AH104" i="5"/>
  <c r="AJ104" i="5"/>
  <c r="AI104" i="5"/>
  <c r="AN120" i="5"/>
  <c r="AI84" i="5"/>
  <c r="AN58" i="5"/>
  <c r="AL58" i="5"/>
  <c r="AO58" i="5"/>
  <c r="AM45" i="5"/>
  <c r="AL45" i="5"/>
  <c r="AL107" i="5"/>
  <c r="AM107" i="5"/>
  <c r="AL204" i="5"/>
  <c r="AO14" i="5"/>
  <c r="AI92" i="5"/>
  <c r="AJ34" i="5"/>
  <c r="AI88" i="5"/>
  <c r="AH88" i="5"/>
  <c r="AK28" i="5"/>
  <c r="AB9" i="5"/>
  <c r="J9" i="5"/>
  <c r="AK98" i="5"/>
  <c r="AJ59" i="5"/>
  <c r="AI12" i="5"/>
  <c r="AK12" i="5"/>
  <c r="AJ12" i="5"/>
  <c r="AH12" i="5"/>
  <c r="AN107" i="5"/>
  <c r="AL74" i="5"/>
  <c r="AK102" i="5"/>
  <c r="AK78" i="5"/>
  <c r="AO30" i="5"/>
  <c r="AJ112" i="5"/>
  <c r="AI80" i="5"/>
  <c r="AN59" i="5"/>
  <c r="AJ36" i="5"/>
  <c r="AI100" i="5"/>
  <c r="AH100" i="5"/>
  <c r="AL34" i="5"/>
  <c r="AN28" i="5"/>
  <c r="AN21" i="5"/>
  <c r="AO23" i="5"/>
  <c r="AI457" i="5"/>
  <c r="AH457" i="5"/>
  <c r="AI469" i="5"/>
  <c r="AK469" i="5"/>
  <c r="AH469" i="5"/>
  <c r="AM486" i="5"/>
  <c r="AO459" i="5"/>
  <c r="AH471" i="5"/>
  <c r="AK471" i="5"/>
  <c r="AJ471" i="5"/>
  <c r="AI471" i="5"/>
  <c r="AI496" i="5"/>
  <c r="AH496" i="5"/>
  <c r="AM496" i="5"/>
  <c r="AN476" i="5"/>
  <c r="AJ403" i="5"/>
  <c r="AM480" i="5"/>
  <c r="AL494" i="5"/>
  <c r="AN394" i="5"/>
  <c r="AI463" i="5"/>
  <c r="AH463" i="5"/>
  <c r="AI460" i="5"/>
  <c r="AH460" i="5"/>
  <c r="AK430" i="5"/>
  <c r="AI430" i="5"/>
  <c r="AH430" i="5"/>
  <c r="AM430" i="5"/>
  <c r="AM393" i="5"/>
  <c r="AK470" i="5"/>
  <c r="AJ470" i="5"/>
  <c r="AI470" i="5"/>
  <c r="AH470" i="5"/>
  <c r="AL424" i="5"/>
  <c r="AK463" i="5"/>
  <c r="AK454" i="5"/>
  <c r="AI454" i="5"/>
  <c r="AH454" i="5"/>
  <c r="AK407" i="5"/>
  <c r="AH407" i="5"/>
  <c r="AO407" i="5"/>
  <c r="AI407" i="5"/>
  <c r="AN368" i="5"/>
  <c r="AL397" i="5"/>
  <c r="AL442" i="5"/>
  <c r="AM442" i="5"/>
  <c r="AO445" i="5"/>
  <c r="AH398" i="5"/>
  <c r="AI398" i="5"/>
  <c r="AN432" i="5"/>
  <c r="AO405" i="5"/>
  <c r="AM353" i="5"/>
  <c r="AL353" i="5"/>
  <c r="AK389" i="5"/>
  <c r="AH389" i="5"/>
  <c r="AM371" i="5"/>
  <c r="AJ381" i="5"/>
  <c r="AI381" i="5"/>
  <c r="AH381" i="5"/>
  <c r="AK381" i="5"/>
  <c r="AL368" i="5"/>
  <c r="AO344" i="5"/>
  <c r="AI352" i="5"/>
  <c r="AH352" i="5"/>
  <c r="AM383" i="5"/>
  <c r="AM300" i="5"/>
  <c r="AI273" i="5"/>
  <c r="AH273" i="5"/>
  <c r="AL293" i="5"/>
  <c r="AJ255" i="5"/>
  <c r="AJ225" i="5"/>
  <c r="AI318" i="5"/>
  <c r="AI289" i="5"/>
  <c r="AH289" i="5"/>
  <c r="AM314" i="5"/>
  <c r="AM290" i="5"/>
  <c r="AM335" i="5"/>
  <c r="AL335" i="5"/>
  <c r="AI300" i="5"/>
  <c r="AM291" i="5"/>
  <c r="AL291" i="5"/>
  <c r="AJ260" i="5"/>
  <c r="AH260" i="5"/>
  <c r="AM264" i="5"/>
  <c r="AI216" i="5"/>
  <c r="AO245" i="5"/>
  <c r="AL219" i="5"/>
  <c r="AL220" i="5"/>
  <c r="AM260" i="5"/>
  <c r="AH228" i="5"/>
  <c r="AJ228" i="5"/>
  <c r="AH234" i="5"/>
  <c r="AJ234" i="5"/>
  <c r="AK198" i="5"/>
  <c r="AM189" i="5"/>
  <c r="AM177" i="5"/>
  <c r="AL192" i="5"/>
  <c r="AK159" i="5"/>
  <c r="AK141" i="5"/>
  <c r="AL176" i="5"/>
  <c r="AI150" i="5"/>
  <c r="AJ125" i="5"/>
  <c r="AH125" i="5"/>
  <c r="AH162" i="5"/>
  <c r="AJ162" i="5"/>
  <c r="AI57" i="5"/>
  <c r="AH57" i="5"/>
  <c r="AK207" i="5"/>
  <c r="AL128" i="5"/>
  <c r="AJ62" i="5"/>
  <c r="AK201" i="5"/>
  <c r="AN110" i="5"/>
  <c r="AL110" i="5"/>
  <c r="AL159" i="5"/>
  <c r="AJ132" i="5"/>
  <c r="AI198" i="5"/>
  <c r="AJ153" i="5"/>
  <c r="AH203" i="5"/>
  <c r="AJ203" i="5"/>
  <c r="AM164" i="5"/>
  <c r="AM133" i="5"/>
  <c r="AL268" i="5"/>
  <c r="AL238" i="5"/>
  <c r="AI192" i="5"/>
  <c r="AI153" i="5"/>
  <c r="AN131" i="5"/>
  <c r="AO177" i="5"/>
  <c r="AN104" i="5"/>
  <c r="AL104" i="5"/>
  <c r="AO120" i="5"/>
  <c r="AO161" i="5"/>
  <c r="AH44" i="5"/>
  <c r="AK44" i="5"/>
  <c r="AJ44" i="5"/>
  <c r="AM12" i="5"/>
  <c r="AL12" i="5"/>
  <c r="AK92" i="5"/>
  <c r="AH53" i="5"/>
  <c r="AJ53" i="5"/>
  <c r="AH32" i="5"/>
  <c r="AK32" i="5"/>
  <c r="AJ32" i="5"/>
  <c r="AO88" i="5"/>
  <c r="AN88" i="5"/>
  <c r="AL88" i="5"/>
  <c r="AI54" i="5"/>
  <c r="AH54" i="5"/>
  <c r="AL54" i="5"/>
  <c r="AJ155" i="5"/>
  <c r="AH155" i="5"/>
  <c r="AM98" i="5"/>
  <c r="AH71" i="5"/>
  <c r="AJ71" i="5"/>
  <c r="AI101" i="5"/>
  <c r="AI77" i="5"/>
  <c r="AK112" i="5"/>
  <c r="AK80" i="5"/>
  <c r="AO59" i="5"/>
  <c r="AI35" i="5"/>
  <c r="AO100" i="5"/>
  <c r="AN100" i="5"/>
  <c r="AL100" i="5"/>
  <c r="AN18" i="5"/>
  <c r="AM11" i="5"/>
  <c r="AL26" i="5"/>
  <c r="AO28" i="5"/>
  <c r="AC9" i="5"/>
  <c r="N6" i="5" l="1"/>
  <c r="T6" i="5" s="1"/>
  <c r="AL9" i="5"/>
  <c r="AM9" i="5"/>
  <c r="AN9" i="5"/>
  <c r="AO9" i="5"/>
  <c r="R9" i="5" s="1"/>
  <c r="I9" i="5"/>
  <c r="Q6" i="5"/>
  <c r="N8" i="5"/>
  <c r="T8" i="5" s="1"/>
  <c r="O8" i="5"/>
  <c r="I50" i="7"/>
  <c r="K10" i="5"/>
  <c r="K8" i="5"/>
  <c r="AH5" i="5"/>
  <c r="AJ5" i="5"/>
  <c r="AI5" i="5"/>
  <c r="AK5" i="5"/>
  <c r="P5" i="5" s="1"/>
  <c r="H8" i="6" s="1"/>
  <c r="H207" i="6" s="1"/>
  <c r="AM5" i="5"/>
  <c r="N5" i="5" s="1"/>
  <c r="AL5" i="5"/>
  <c r="AN5" i="5"/>
  <c r="Q5" i="5" s="1"/>
  <c r="I5" i="5"/>
  <c r="AO5" i="5"/>
  <c r="R5" i="5" s="1"/>
  <c r="J8" i="6" s="1"/>
  <c r="J207" i="6" s="1"/>
  <c r="M10" i="5"/>
  <c r="U10" i="5" s="1"/>
  <c r="AH9" i="5"/>
  <c r="AK9" i="5"/>
  <c r="P9" i="5" s="1"/>
  <c r="AJ9" i="5"/>
  <c r="AI9" i="5"/>
  <c r="L9" i="5" s="1"/>
  <c r="T7" i="5"/>
  <c r="U6" i="5"/>
  <c r="K6" i="5"/>
  <c r="M5" i="5" l="1"/>
  <c r="U8" i="5"/>
  <c r="O5" i="5"/>
  <c r="G8" i="6" s="1"/>
  <c r="G207" i="6" s="1"/>
  <c r="K9" i="5"/>
  <c r="K5" i="5"/>
  <c r="Q9" i="5"/>
  <c r="L5" i="5"/>
  <c r="N9" i="5"/>
  <c r="F8" i="6" s="1"/>
  <c r="F207" i="6" s="1"/>
  <c r="I8" i="6"/>
  <c r="I207" i="6" s="1"/>
  <c r="M9" i="5"/>
  <c r="U9" i="5" s="1"/>
  <c r="O9" i="5"/>
  <c r="T10" i="5"/>
  <c r="T9" i="5" l="1"/>
  <c r="D8" i="6"/>
  <c r="T5" i="5"/>
  <c r="L8" i="6" s="1"/>
  <c r="E8" i="6"/>
  <c r="U5" i="5"/>
  <c r="K8" i="6" l="1"/>
  <c r="K207" i="6" s="1"/>
  <c r="E207" i="6"/>
  <c r="O8" i="6"/>
  <c r="O207" i="6" s="1"/>
  <c r="N8" i="6"/>
  <c r="N207" i="6" s="1"/>
  <c r="M8" i="6"/>
  <c r="M207" i="6" s="1"/>
  <c r="Q8" i="6"/>
  <c r="Q207" i="6" s="1"/>
  <c r="L207" i="6"/>
  <c r="P8" i="6"/>
  <c r="P207" i="6" s="1"/>
  <c r="D207" i="6"/>
  <c r="R8" i="6" l="1"/>
  <c r="R20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100-000001000000}">
      <text>
        <r>
          <rPr>
            <sz val="10"/>
            <rFont val="Arial"/>
            <family val="2"/>
          </rPr>
          <t>Valor 2026. Actualícelo cada enero.</t>
        </r>
      </text>
    </comment>
    <comment ref="B5" authorId="0" shapeId="0" xr:uid="{00000000-0006-0000-0100-000002000000}">
      <text>
        <r>
          <rPr>
            <sz val="10"/>
            <rFont val="Arial"/>
            <family val="2"/>
          </rPr>
          <t>Jornada máxima legal desde el 15 de julio de 2026 (Ley 2101 de 2021). Si la empresa pactó una menor, escríbala aquí o en cada trabajador.</t>
        </r>
      </text>
    </comment>
    <comment ref="B6" authorId="0" shapeId="0" xr:uid="{00000000-0006-0000-0100-000003000000}">
      <text>
        <r>
          <rPr>
            <sz val="10"/>
            <rFont val="Arial"/>
            <family val="2"/>
          </rPr>
          <t>5 = lunes a viernes; 6 = lunes a sábado.</t>
        </r>
      </text>
    </comment>
    <comment ref="B8" authorId="0" shapeId="0" xr:uid="{00000000-0006-0000-0100-000004000000}">
      <text>
        <r>
          <rPr>
            <sz val="10"/>
            <rFont val="Arial"/>
            <family val="2"/>
          </rPr>
          <t>Artículo 168 del C.S.T.</t>
        </r>
      </text>
    </comment>
    <comment ref="B9" authorId="0" shapeId="0" xr:uid="{00000000-0006-0000-0100-000005000000}">
      <text>
        <r>
          <rPr>
            <sz val="10"/>
            <rFont val="Arial"/>
            <family val="2"/>
          </rPr>
          <t>Artículo 168 del C.S.T.</t>
        </r>
      </text>
    </comment>
    <comment ref="B10" authorId="0" shapeId="0" xr:uid="{00000000-0006-0000-0100-000006000000}">
      <text>
        <r>
          <rPr>
            <sz val="10"/>
            <rFont val="Arial"/>
            <family val="2"/>
          </rPr>
          <t>Artículo 168 del C.S.T.</t>
        </r>
      </text>
    </comment>
    <comment ref="B14" authorId="0" shapeId="0" xr:uid="{00000000-0006-0000-0100-000007000000}">
      <text>
        <r>
          <rPr>
            <sz val="10"/>
            <rFont val="Arial"/>
            <family val="2"/>
          </rPr>
          <t>Se toma de la tabla de abajo según la fecha de cada turno: 9:00 p. m. hasta el 24-dic-2025 y 7:00 p. m. desde el 25-dic-2025.</t>
        </r>
      </text>
    </comment>
    <comment ref="B15" authorId="0" shapeId="0" xr:uid="{00000000-0006-0000-0100-000008000000}">
      <text>
        <r>
          <rPr>
            <sz val="10"/>
            <rFont val="Arial"/>
            <family val="2"/>
          </rPr>
          <t>Se toma de la tabla de abajo según la fecha de cada turno.</t>
        </r>
      </text>
    </comment>
    <comment ref="B18" authorId="0" shapeId="0" xr:uid="{00000000-0006-0000-0100-000009000000}">
      <text>
        <r>
          <rPr>
            <sz val="10"/>
            <rFont val="Arial"/>
            <family val="2"/>
          </rPr>
          <t>Artículo 179 del C.S.T., modificado por la Ley 2466 de 2025: 80% desde el 1-jul-2025, 90% desde el 1-jul-2026 y 100% desde el 1-jul-2027.</t>
        </r>
      </text>
    </comment>
    <comment ref="B25" authorId="0" shapeId="0" xr:uid="{00000000-0006-0000-0100-00000A000000}">
      <text>
        <r>
          <rPr>
            <sz val="10"/>
            <rFont val="Arial"/>
            <family val="2"/>
          </rPr>
          <t>Artículo 160 del C.S.T., modificado por el artículo 10 de la Ley 2466 de 2025.</t>
        </r>
      </text>
    </comment>
    <comment ref="B28" authorId="0" shapeId="0" xr:uid="{00000000-0006-0000-0100-00000B000000}">
      <text>
        <r>
          <rPr>
            <sz val="10"/>
            <rFont val="Arial"/>
            <family val="2"/>
          </rPr>
          <t>Ley 2101 de 2021. Solo de referencia; la jornada de cada trabajador se define en la hoja «Trabajadores».</t>
        </r>
      </text>
    </comment>
  </commentList>
</comments>
</file>

<file path=xl/sharedStrings.xml><?xml version="1.0" encoding="utf-8"?>
<sst xmlns="http://schemas.openxmlformats.org/spreadsheetml/2006/main" count="571" uniqueCount="166">
  <si>
    <t>Plantilla de cálculo de horas extras y recargos</t>
  </si>
  <si>
    <t>Para qué sirve</t>
  </si>
  <si>
    <t>Registra los turnos de cada trabajador y clasifica automáticamente cada hora en ordinaria, nocturna, extra, dominical o festiva, con su valor. También calcula cuántas horas se deben trabajar en una semana o en un mes con festivos y descansos compensatorios.</t>
  </si>
  <si>
    <t>Cómo se usa</t>
  </si>
  <si>
    <t>1. En «Parámetros», revise el salario mínimo y la jornada semanal, y en «Festivos», la lista de festivos de 2020 a 2040. Los recargos dominicales, la jornada máxima y el inicio de la jornada nocturna ya cambian solos según la fecha.</t>
  </si>
  <si>
    <t>2. En «Trabajadores», registre la cédula, el nombre, el salario mensual y la jornada semanal pactada de cada trabajador.</t>
  </si>
  <si>
    <t>3. En «Registro de turnos», registre un turno por fila: fecha, cédula, hora de entrada, hora de salida y minutos de descanso. Si el turno termina al día siguiente, escriba la salida tal cual (por ejemplo 04:00): la plantilla entiende que es del día siguiente.</t>
  </si>
  <si>
    <t>4. En la columna «Jornada ordinaria del día» aparece la jornada diaria por defecto. Cámbiela si ese día tiene una jornada distinta, o escriba 0 si el turno fue en un día que no era de trabajo (por ejemplo, el sábado de quien trabaja de lunes a viernes): todas las horas serán extras.</t>
  </si>
  <si>
    <t>5. En «Resumen» elija el periodo y verá, por trabajador, las horas de cada clase, el valor a pagar, lo que generan de prestaciones y el descuento de salud y pensión.</t>
  </si>
  <si>
    <t>6. En «Horas a trabajar» elija una fecha para saber cuántas horas se deben trabajar esa semana y ese mes, descontando festivos y compensatorios.</t>
  </si>
  <si>
    <t>Convenciones de color</t>
  </si>
  <si>
    <t>Celdas con fondo amarillo y texto azul: datos que usted ingresa. Celdas en negro: fórmulas, no las modifique. Las filas de ejemplo del registro se pueden borrar.</t>
  </si>
  <si>
    <t>Criterios de cálculo</t>
  </si>
  <si>
    <t>• Valor de la hora ordinaria: salario mensual ÷ (jornada semanal ÷ 6 × 30).</t>
  </si>
  <si>
    <t>• Las horas que superan la jornada ordinaria del día son extras. El descanso se resta al final del turno.</t>
  </si>
  <si>
    <t>• En la hora nocturna de la jornada ordinaria solo se paga el recargo del 35%, porque el salario ya remunera la hora. Las demás clases se pagan completas: valor de la hora más el recargo.</t>
  </si>
  <si>
    <t>• Las horas que caen en domingo o festivo llevan el recargo dominical vigente en la fecha del turno; en un turno que cruza la medianoche, cada hora toma el recargo del día en que cae.</t>
  </si>
  <si>
    <t>• La alerta indica cuándo un turno supera el límite legal de horas extras diarias.</t>
  </si>
  <si>
    <t>Más herramientas: calculadora de horas extras en https://www.gerencie.com/calculadora-de-horas-extras.html</t>
  </si>
  <si>
    <t>Parámetros</t>
  </si>
  <si>
    <t>Concepto</t>
  </si>
  <si>
    <t>Valor</t>
  </si>
  <si>
    <t>Salario mínimo mensual</t>
  </si>
  <si>
    <t>Jornada semanal por defecto (horas)</t>
  </si>
  <si>
    <t>Días en que se distribuye la jornada</t>
  </si>
  <si>
    <t>Jornada diaria por defecto (horas)</t>
  </si>
  <si>
    <t>Recargo nocturno</t>
  </si>
  <si>
    <t>Recargo hora extra diurna</t>
  </si>
  <si>
    <t>Recargo hora extra nocturna</t>
  </si>
  <si>
    <t>Fin de la jornada nocturna</t>
  </si>
  <si>
    <t>Límite de horas extras diarias</t>
  </si>
  <si>
    <t>Límite de horas extras semanales</t>
  </si>
  <si>
    <t>Inicio de la jornada nocturna (vigente hoy)</t>
  </si>
  <si>
    <t>Se toma de la tabla de abajo según la fecha de cada turno: 9:00 p. m. hasta el 24-dic-2025 y 7:00 p. m. desde el 25-dic-2025.</t>
  </si>
  <si>
    <t>Recargo dominical y festivo (vigente hoy)</t>
  </si>
  <si>
    <t>Se toma de la tabla de abajo según la fecha de cada turno.</t>
  </si>
  <si>
    <t>No es necesario configurar la jornada nocturna ni el recargo dominical: la plantilla los toma de estas tablas según la fecha de cada turno.</t>
  </si>
  <si>
    <t>Recargo dominical y festivo: vigente desde</t>
  </si>
  <si>
    <t>Recargo</t>
  </si>
  <si>
    <t>Jornada nocturna: vigente desde</t>
  </si>
  <si>
    <t>Inicia a las</t>
  </si>
  <si>
    <t>Jornada máxima: vigente desde</t>
  </si>
  <si>
    <t>Horas semanales</t>
  </si>
  <si>
    <t>Festivos</t>
  </si>
  <si>
    <t>Festivos de Colombia de 2020 a 2040. Agregue al final los de años siguientes.</t>
  </si>
  <si>
    <t>Fecha</t>
  </si>
  <si>
    <t>Día</t>
  </si>
  <si>
    <t>Celebración</t>
  </si>
  <si>
    <t>Año Nuevo</t>
  </si>
  <si>
    <t>Reyes Magos</t>
  </si>
  <si>
    <t>San José</t>
  </si>
  <si>
    <t>Jueves Santo</t>
  </si>
  <si>
    <t>Viernes Santo</t>
  </si>
  <si>
    <t>Festivo</t>
  </si>
  <si>
    <t>Día del Trabajo</t>
  </si>
  <si>
    <t>Ascensión del Señor</t>
  </si>
  <si>
    <t>Corpus Christi</t>
  </si>
  <si>
    <t>Sagrado Corazón de Jesús</t>
  </si>
  <si>
    <t>San Pedro y San Pablo</t>
  </si>
  <si>
    <t>Día de la Independencia</t>
  </si>
  <si>
    <t>Batalla de Boyacá</t>
  </si>
  <si>
    <t>Asunción de la Virgen</t>
  </si>
  <si>
    <t>Día de la Raza</t>
  </si>
  <si>
    <t>Todos los Santos</t>
  </si>
  <si>
    <t>Independencia de Cartagena</t>
  </si>
  <si>
    <t>Inmaculada Concepción</t>
  </si>
  <si>
    <t>Navidad</t>
  </si>
  <si>
    <t>San Pedro y San Pablo y Sagrado Corazón de Jesús</t>
  </si>
  <si>
    <t>Virgen del Rosario de Chiquinquirá (Ley 2578 de 2026)</t>
  </si>
  <si>
    <t>Trabajadores</t>
  </si>
  <si>
    <t>Registre un trabajador por fila. La jornada en blanco toma la de «Parámetros».</t>
  </si>
  <si>
    <t>Cédula</t>
  </si>
  <si>
    <t>Nombre completo</t>
  </si>
  <si>
    <t>Cargo</t>
  </si>
  <si>
    <t>Salario mensual</t>
  </si>
  <si>
    <t>Jornada semanal (horas)</t>
  </si>
  <si>
    <t>Horas al mes</t>
  </si>
  <si>
    <t>Valor hora ordinaria</t>
  </si>
  <si>
    <t>Jaime Barragán</t>
  </si>
  <si>
    <t>Vigilante</t>
  </si>
  <si>
    <t>Ana Torres</t>
  </si>
  <si>
    <t>Operaria</t>
  </si>
  <si>
    <t>Registro de turnos</t>
  </si>
  <si>
    <t>Un turno por fila. Si la salida es menor que la entrada, el turno termina al día siguiente. Las filas de ejemplo se pueden borrar.</t>
  </si>
  <si>
    <t>Nombre</t>
  </si>
  <si>
    <t>Entrada</t>
  </si>
  <si>
    <t>Salida</t>
  </si>
  <si>
    <t>Descanso (min)</t>
  </si>
  <si>
    <t>Jornada ordinaria del día (h)</t>
  </si>
  <si>
    <t>Recargo dominical o festivo</t>
  </si>
  <si>
    <t>Horas trabajadas</t>
  </si>
  <si>
    <t>Ordinaria diurna</t>
  </si>
  <si>
    <t>Ordinaria nocturna (35%)</t>
  </si>
  <si>
    <t>Extra diurna (25%)</t>
  </si>
  <si>
    <t>Extra nocturna (75%)</t>
  </si>
  <si>
    <t>Dominical o festiva diurna</t>
  </si>
  <si>
    <t>Dominical o festiva nocturna</t>
  </si>
  <si>
    <t>Extra diurna dominical o festiva</t>
  </si>
  <si>
    <t>Extra nocturna dominical o festiva</t>
  </si>
  <si>
    <t>Valor a pagar adicional al salario</t>
  </si>
  <si>
    <t>Alerta</t>
  </si>
  <si>
    <t>inicio</t>
  </si>
  <si>
    <t>duración</t>
  </si>
  <si>
    <t>efectiva</t>
  </si>
  <si>
    <t>J</t>
  </si>
  <si>
    <t>fin ord</t>
  </si>
  <si>
    <t>fin</t>
  </si>
  <si>
    <t>N</t>
  </si>
  <si>
    <t>dom1</t>
  </si>
  <si>
    <t>dom2</t>
  </si>
  <si>
    <t>d</t>
  </si>
  <si>
    <t>ord len</t>
  </si>
  <si>
    <t>ord noche</t>
  </si>
  <si>
    <t>ord dom</t>
  </si>
  <si>
    <t>ord noche dom</t>
  </si>
  <si>
    <t>ext len</t>
  </si>
  <si>
    <t>ext noche</t>
  </si>
  <si>
    <t>ext dom</t>
  </si>
  <si>
    <t>ext noche dom</t>
  </si>
  <si>
    <t>Resumen por trabajador</t>
  </si>
  <si>
    <t>Desde:</t>
  </si>
  <si>
    <t>Elija el periodo que va a liquidar. Los valores son lo que se paga adicional al salario.</t>
  </si>
  <si>
    <t>Hasta:</t>
  </si>
  <si>
    <t>Valor hora</t>
  </si>
  <si>
    <t>Ordinaria nocturna</t>
  </si>
  <si>
    <t>Extra diurna</t>
  </si>
  <si>
    <t>Extra nocturna</t>
  </si>
  <si>
    <t>Dominical diurna</t>
  </si>
  <si>
    <t>Dominical nocturna</t>
  </si>
  <si>
    <t>Extra diurna dominical</t>
  </si>
  <si>
    <t>Extra nocturna dominical</t>
  </si>
  <si>
    <t>Total horas extras</t>
  </si>
  <si>
    <t>Valor a pagar</t>
  </si>
  <si>
    <t>Prima (8,33%)</t>
  </si>
  <si>
    <t>Cesantías (8,33%)</t>
  </si>
  <si>
    <t>Intereses (1%)</t>
  </si>
  <si>
    <t>Vacaciones (4,17% del recargo nocturno)</t>
  </si>
  <si>
    <t>Descuento salud y pensión (8%)</t>
  </si>
  <si>
    <t>Neto para el trabajador</t>
  </si>
  <si>
    <t>Total</t>
  </si>
  <si>
    <t>Las horas extras y los recargos son salario: aumentan la prima, las cesantías y sus intereses. A las vacaciones solo se suma el recargo nocturno de la jornada ordinaria (artículo 192 del C.S.T.). Si el salario supera 4 salarios mínimos, también se descuenta el fondo de solidaridad pensional.</t>
  </si>
  <si>
    <t>¿Cuántas horas se deben trabajar?</t>
  </si>
  <si>
    <t>Elija cualquier día de la semana o del mes, marque los días de trabajo y, si los hay, los descansos compensatorios. Los festivos se toman de la hoja «Festivos».</t>
  </si>
  <si>
    <t>Fecha de referencia</t>
  </si>
  <si>
    <t>Semana</t>
  </si>
  <si>
    <t>Condición</t>
  </si>
  <si>
    <t>Horas a trabajar</t>
  </si>
  <si>
    <t>Descansos compensatorios (fechas)</t>
  </si>
  <si>
    <t>Si la jornada es igual todos los días, deje en blanco «Horas del día»: se reparte la jornada semanal entre los días de trabajo.</t>
  </si>
  <si>
    <t>¿Trabaja?</t>
  </si>
  <si>
    <t>Horas del día (opcional)</t>
  </si>
  <si>
    <t>Jornada del día</t>
  </si>
  <si>
    <t>Lunes</t>
  </si>
  <si>
    <t>Sí</t>
  </si>
  <si>
    <t>Martes</t>
  </si>
  <si>
    <t>Miércoles</t>
  </si>
  <si>
    <t>Jueves</t>
  </si>
  <si>
    <t>Total de la semana</t>
  </si>
  <si>
    <t>Viernes</t>
  </si>
  <si>
    <t>Sábado</t>
  </si>
  <si>
    <t>No</t>
  </si>
  <si>
    <t>Domingo</t>
  </si>
  <si>
    <t>Mes</t>
  </si>
  <si>
    <t>Jornada semanal resultante</t>
  </si>
  <si>
    <t>Días laborables</t>
  </si>
  <si>
    <t>Total del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</si>
</sst>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;&quot;-$&quot;#,##0;\-"/>
    <numFmt numFmtId="165" formatCode="0.##"/>
    <numFmt numFmtId="166" formatCode="hh:mm"/>
    <numFmt numFmtId="167" formatCode="dd/mm/yyyy"/>
    <numFmt numFmtId="168" formatCode="0.00;\-0.00;\-"/>
    <numFmt numFmtId="169" formatCode="0.0000"/>
  </numFmts>
  <fonts count="12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b/>
      <sz val="11"/>
      <color rgb="FF1F3864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i/>
      <sz val="9"/>
      <color rgb="FF555555"/>
      <name val="Arial"/>
      <charset val="1"/>
    </font>
    <font>
      <sz val="10"/>
      <name val="Arial"/>
      <family val="2"/>
    </font>
    <font>
      <b/>
      <sz val="10"/>
      <name val="Arial"/>
      <charset val="1"/>
    </font>
    <font>
      <sz val="10"/>
      <color rgb="FF008000"/>
      <name val="Arial"/>
      <charset val="1"/>
    </font>
    <font>
      <b/>
      <sz val="12"/>
      <color rgb="FF1F3864"/>
      <name val="Arial"/>
      <charset val="1"/>
    </font>
    <font>
      <b/>
      <sz val="10"/>
      <color rgb="FFC0392B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6DD"/>
      </patternFill>
    </fill>
    <fill>
      <patternFill patternType="solid">
        <fgColor rgb="FFE8EDF2"/>
        <bgColor rgb="FFFDECEA"/>
      </patternFill>
    </fill>
  </fills>
  <borders count="2">
    <border>
      <left/>
      <right/>
      <top/>
      <bottom/>
      <diagonal/>
    </border>
    <border>
      <left style="thin">
        <color rgb="FFC9D1DB"/>
      </left>
      <right style="thin">
        <color rgb="FFC9D1DB"/>
      </right>
      <top style="thin">
        <color rgb="FFC9D1DB"/>
      </top>
      <bottom style="thin">
        <color rgb="FFC9D1DB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" fontId="5" fillId="3" borderId="1" xfId="0" applyNumberFormat="1" applyFont="1" applyFill="1" applyBorder="1"/>
    <xf numFmtId="2" fontId="3" fillId="0" borderId="1" xfId="0" applyNumberFormat="1" applyFont="1" applyBorder="1"/>
    <xf numFmtId="9" fontId="5" fillId="3" borderId="1" xfId="0" applyNumberFormat="1" applyFont="1" applyFill="1" applyBorder="1"/>
    <xf numFmtId="166" fontId="5" fillId="3" borderId="1" xfId="0" applyNumberFormat="1" applyFont="1" applyFill="1" applyBorder="1"/>
    <xf numFmtId="166" fontId="3" fillId="0" borderId="1" xfId="0" applyNumberFormat="1" applyFont="1" applyBorder="1"/>
    <xf numFmtId="0" fontId="6" fillId="0" borderId="0" xfId="0" applyFont="1"/>
    <xf numFmtId="9" fontId="3" fillId="0" borderId="1" xfId="0" applyNumberFormat="1" applyFont="1" applyBorder="1"/>
    <xf numFmtId="167" fontId="5" fillId="3" borderId="1" xfId="0" applyNumberFormat="1" applyFont="1" applyFill="1" applyBorder="1"/>
    <xf numFmtId="0" fontId="5" fillId="3" borderId="1" xfId="0" applyFont="1" applyFill="1" applyBorder="1"/>
    <xf numFmtId="164" fontId="3" fillId="0" borderId="1" xfId="0" applyNumberFormat="1" applyFont="1" applyBorder="1"/>
    <xf numFmtId="2" fontId="5" fillId="3" borderId="1" xfId="0" applyNumberFormat="1" applyFont="1" applyFill="1" applyBorder="1"/>
    <xf numFmtId="168" fontId="3" fillId="0" borderId="1" xfId="0" applyNumberFormat="1" applyFont="1" applyBorder="1"/>
    <xf numFmtId="169" fontId="3" fillId="0" borderId="1" xfId="0" applyNumberFormat="1" applyFont="1" applyBorder="1"/>
    <xf numFmtId="0" fontId="8" fillId="0" borderId="0" xfId="0" applyFont="1"/>
    <xf numFmtId="1" fontId="9" fillId="0" borderId="1" xfId="0" applyNumberFormat="1" applyFont="1" applyBorder="1"/>
    <xf numFmtId="0" fontId="9" fillId="0" borderId="1" xfId="0" applyFont="1" applyBorder="1"/>
    <xf numFmtId="164" fontId="9" fillId="0" borderId="1" xfId="0" applyNumberFormat="1" applyFont="1" applyBorder="1"/>
    <xf numFmtId="168" fontId="8" fillId="4" borderId="1" xfId="0" applyNumberFormat="1" applyFont="1" applyFill="1" applyBorder="1"/>
    <xf numFmtId="164" fontId="8" fillId="4" borderId="1" xfId="0" applyNumberFormat="1" applyFont="1" applyFill="1" applyBorder="1"/>
    <xf numFmtId="0" fontId="10" fillId="0" borderId="0" xfId="0" applyFont="1"/>
    <xf numFmtId="167" fontId="3" fillId="0" borderId="1" xfId="0" applyNumberFormat="1" applyFont="1" applyBorder="1"/>
    <xf numFmtId="0" fontId="8" fillId="0" borderId="1" xfId="0" applyFont="1" applyBorder="1"/>
    <xf numFmtId="2" fontId="8" fillId="4" borderId="1" xfId="0" applyNumberFormat="1" applyFont="1" applyFill="1" applyBorder="1"/>
    <xf numFmtId="2" fontId="8" fillId="0" borderId="1" xfId="0" applyNumberFormat="1" applyFont="1" applyBorder="1"/>
    <xf numFmtId="0" fontId="11" fillId="0" borderId="0" xfId="0" applyFont="1"/>
    <xf numFmtId="1" fontId="8" fillId="0" borderId="1" xfId="0" applyNumberFormat="1" applyFont="1" applyBorder="1"/>
  </cellXfs>
  <cellStyles count="1">
    <cellStyle name="Normal" xfId="0" builtinId="0"/>
  </cellStyles>
  <dxfs count="4">
    <dxf>
      <fill>
        <patternFill>
          <bgColor rgb="FFFFF6DD"/>
        </patternFill>
      </fill>
    </dxf>
    <dxf>
      <fill>
        <patternFill>
          <bgColor rgb="FFFDECEA"/>
        </patternFill>
      </fill>
    </dxf>
    <dxf>
      <font>
        <b/>
        <color rgb="FFC0392B"/>
        <name val="Arial"/>
        <charset val="1"/>
      </font>
    </dxf>
    <dxf>
      <fill>
        <patternFill>
          <bgColor rgb="FFFDEC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D"/>
      <rgbColor rgb="FFE8EDF2"/>
      <rgbColor rgb="FF660066"/>
      <rgbColor rgb="FFFF8080"/>
      <rgbColor rgb="FF0066CC"/>
      <rgbColor rgb="FFC9D1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CEA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C0392B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A1:A20"/>
  <sheetViews>
    <sheetView showGridLines="0" zoomScaleNormal="100" workbookViewId="0"/>
  </sheetViews>
  <sheetFormatPr baseColWidth="10" defaultColWidth="8.7109375" defaultRowHeight="15" x14ac:dyDescent="0.25"/>
  <cols>
    <col min="1" max="1" width="120" customWidth="1"/>
  </cols>
  <sheetData>
    <row r="1" spans="1:1" ht="18" x14ac:dyDescent="0.25">
      <c r="A1" s="1" t="s">
        <v>0</v>
      </c>
    </row>
    <row r="3" spans="1:1" x14ac:dyDescent="0.25">
      <c r="A3" s="2" t="s">
        <v>1</v>
      </c>
    </row>
    <row r="4" spans="1:1" ht="31.5" customHeight="1" x14ac:dyDescent="0.25">
      <c r="A4" s="3" t="s">
        <v>2</v>
      </c>
    </row>
    <row r="5" spans="1:1" x14ac:dyDescent="0.25">
      <c r="A5" s="2" t="s">
        <v>3</v>
      </c>
    </row>
    <row r="6" spans="1:1" ht="31.5" customHeight="1" x14ac:dyDescent="0.25">
      <c r="A6" s="3" t="s">
        <v>4</v>
      </c>
    </row>
    <row r="7" spans="1:1" ht="31.5" customHeight="1" x14ac:dyDescent="0.25">
      <c r="A7" s="3" t="s">
        <v>5</v>
      </c>
    </row>
    <row r="8" spans="1:1" ht="31.5" customHeight="1" x14ac:dyDescent="0.25">
      <c r="A8" s="3" t="s">
        <v>6</v>
      </c>
    </row>
    <row r="9" spans="1:1" ht="31.5" customHeight="1" x14ac:dyDescent="0.25">
      <c r="A9" s="3" t="s">
        <v>7</v>
      </c>
    </row>
    <row r="10" spans="1:1" ht="31.5" customHeight="1" x14ac:dyDescent="0.25">
      <c r="A10" s="3" t="s">
        <v>8</v>
      </c>
    </row>
    <row r="11" spans="1:1" ht="31.5" customHeight="1" x14ac:dyDescent="0.25">
      <c r="A11" s="3" t="s">
        <v>9</v>
      </c>
    </row>
    <row r="12" spans="1:1" x14ac:dyDescent="0.25">
      <c r="A12" s="2" t="s">
        <v>10</v>
      </c>
    </row>
    <row r="13" spans="1:1" ht="31.5" customHeight="1" x14ac:dyDescent="0.25">
      <c r="A13" s="3" t="s">
        <v>11</v>
      </c>
    </row>
    <row r="14" spans="1:1" x14ac:dyDescent="0.25">
      <c r="A14" s="2" t="s">
        <v>12</v>
      </c>
    </row>
    <row r="15" spans="1:1" ht="31.5" customHeight="1" x14ac:dyDescent="0.25">
      <c r="A15" s="3" t="s">
        <v>13</v>
      </c>
    </row>
    <row r="16" spans="1:1" ht="31.5" customHeight="1" x14ac:dyDescent="0.25">
      <c r="A16" s="3" t="s">
        <v>14</v>
      </c>
    </row>
    <row r="17" spans="1:1" ht="31.5" customHeight="1" x14ac:dyDescent="0.25">
      <c r="A17" s="3" t="s">
        <v>15</v>
      </c>
    </row>
    <row r="18" spans="1:1" ht="31.5" customHeight="1" x14ac:dyDescent="0.25">
      <c r="A18" s="3" t="s">
        <v>16</v>
      </c>
    </row>
    <row r="19" spans="1:1" ht="31.5" customHeight="1" x14ac:dyDescent="0.25">
      <c r="A19" s="3" t="s">
        <v>17</v>
      </c>
    </row>
    <row r="20" spans="1:1" ht="31.5" customHeight="1" x14ac:dyDescent="0.25">
      <c r="A20" s="3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2"/>
  <sheetViews>
    <sheetView showGridLines="0" tabSelected="1" zoomScaleNormal="100" workbookViewId="0">
      <pane ySplit="3" topLeftCell="A4" activePane="bottomLeft" state="frozen"/>
      <selection pane="bottomLeft" activeCell="D7" sqref="D7"/>
    </sheetView>
  </sheetViews>
  <sheetFormatPr baseColWidth="10" defaultColWidth="8.7109375" defaultRowHeight="15" x14ac:dyDescent="0.25"/>
  <cols>
    <col min="1" max="1" width="42" customWidth="1"/>
    <col min="2" max="2" width="16" customWidth="1"/>
  </cols>
  <sheetData>
    <row r="1" spans="1:3" ht="18" x14ac:dyDescent="0.25">
      <c r="A1" s="1" t="s">
        <v>19</v>
      </c>
    </row>
    <row r="3" spans="1:3" ht="30" customHeight="1" x14ac:dyDescent="0.25">
      <c r="A3" s="4" t="s">
        <v>20</v>
      </c>
      <c r="B3" s="4" t="s">
        <v>21</v>
      </c>
    </row>
    <row r="4" spans="1:3" x14ac:dyDescent="0.25">
      <c r="A4" s="5" t="s">
        <v>22</v>
      </c>
      <c r="B4" s="6">
        <v>1750905</v>
      </c>
    </row>
    <row r="5" spans="1:3" x14ac:dyDescent="0.25">
      <c r="A5" s="5" t="s">
        <v>23</v>
      </c>
      <c r="B5" s="7">
        <v>42</v>
      </c>
    </row>
    <row r="6" spans="1:3" x14ac:dyDescent="0.25">
      <c r="A6" s="5" t="s">
        <v>24</v>
      </c>
      <c r="B6" s="8">
        <v>5</v>
      </c>
    </row>
    <row r="7" spans="1:3" x14ac:dyDescent="0.25">
      <c r="A7" s="5" t="s">
        <v>25</v>
      </c>
      <c r="B7" s="9">
        <f>B5/B6</f>
        <v>8.4</v>
      </c>
    </row>
    <row r="8" spans="1:3" x14ac:dyDescent="0.25">
      <c r="A8" s="5" t="s">
        <v>26</v>
      </c>
      <c r="B8" s="10">
        <v>0.35</v>
      </c>
    </row>
    <row r="9" spans="1:3" x14ac:dyDescent="0.25">
      <c r="A9" s="5" t="s">
        <v>27</v>
      </c>
      <c r="B9" s="10">
        <v>0.25</v>
      </c>
    </row>
    <row r="10" spans="1:3" x14ac:dyDescent="0.25">
      <c r="A10" s="5" t="s">
        <v>28</v>
      </c>
      <c r="B10" s="10">
        <v>0.75</v>
      </c>
    </row>
    <row r="11" spans="1:3" x14ac:dyDescent="0.25">
      <c r="A11" s="5" t="s">
        <v>29</v>
      </c>
      <c r="B11" s="11">
        <v>0.25</v>
      </c>
    </row>
    <row r="12" spans="1:3" x14ac:dyDescent="0.25">
      <c r="A12" s="5" t="s">
        <v>30</v>
      </c>
      <c r="B12" s="8">
        <v>2</v>
      </c>
    </row>
    <row r="13" spans="1:3" x14ac:dyDescent="0.25">
      <c r="A13" s="5" t="s">
        <v>31</v>
      </c>
      <c r="B13" s="8">
        <v>12</v>
      </c>
    </row>
    <row r="14" spans="1:3" x14ac:dyDescent="0.25">
      <c r="A14" s="5" t="s">
        <v>32</v>
      </c>
      <c r="B14" s="12">
        <f ca="1">VLOOKUP(TODAY(),$A$24:$B$25,2,TRUE())</f>
        <v>0.79166666666666696</v>
      </c>
      <c r="C14" s="13" t="s">
        <v>33</v>
      </c>
    </row>
    <row r="15" spans="1:3" x14ac:dyDescent="0.25">
      <c r="A15" s="5" t="s">
        <v>34</v>
      </c>
      <c r="B15" s="14">
        <f ca="1">VLOOKUP(TODAY(),$A$18:$B$21,2,TRUE())</f>
        <v>0.9</v>
      </c>
      <c r="C15" s="13" t="s">
        <v>35</v>
      </c>
    </row>
    <row r="16" spans="1:3" x14ac:dyDescent="0.25">
      <c r="A16" s="13" t="s">
        <v>36</v>
      </c>
    </row>
    <row r="17" spans="1:2" ht="30" customHeight="1" x14ac:dyDescent="0.25">
      <c r="A17" s="4" t="s">
        <v>37</v>
      </c>
      <c r="B17" s="4" t="s">
        <v>38</v>
      </c>
    </row>
    <row r="18" spans="1:2" x14ac:dyDescent="0.25">
      <c r="A18" s="15">
        <v>1</v>
      </c>
      <c r="B18" s="10">
        <v>0.75</v>
      </c>
    </row>
    <row r="19" spans="1:2" x14ac:dyDescent="0.25">
      <c r="A19" s="15">
        <v>45839</v>
      </c>
      <c r="B19" s="10">
        <v>0.8</v>
      </c>
    </row>
    <row r="20" spans="1:2" x14ac:dyDescent="0.25">
      <c r="A20" s="15">
        <v>46204</v>
      </c>
      <c r="B20" s="10">
        <v>0.9</v>
      </c>
    </row>
    <row r="21" spans="1:2" x14ac:dyDescent="0.25">
      <c r="A21" s="15">
        <v>46569</v>
      </c>
      <c r="B21" s="10">
        <v>1</v>
      </c>
    </row>
    <row r="23" spans="1:2" ht="30" customHeight="1" x14ac:dyDescent="0.25">
      <c r="A23" s="4" t="s">
        <v>39</v>
      </c>
      <c r="B23" s="4" t="s">
        <v>40</v>
      </c>
    </row>
    <row r="24" spans="1:2" x14ac:dyDescent="0.25">
      <c r="A24" s="15">
        <v>1</v>
      </c>
      <c r="B24" s="11">
        <v>0.875</v>
      </c>
    </row>
    <row r="25" spans="1:2" x14ac:dyDescent="0.25">
      <c r="A25" s="15">
        <v>46016</v>
      </c>
      <c r="B25" s="11">
        <v>0.79166666666666696</v>
      </c>
    </row>
    <row r="27" spans="1:2" ht="30" customHeight="1" x14ac:dyDescent="0.25">
      <c r="A27" s="4" t="s">
        <v>41</v>
      </c>
      <c r="B27" s="4" t="s">
        <v>42</v>
      </c>
    </row>
    <row r="28" spans="1:2" x14ac:dyDescent="0.25">
      <c r="A28" s="15">
        <v>1</v>
      </c>
      <c r="B28" s="8">
        <v>48</v>
      </c>
    </row>
    <row r="29" spans="1:2" x14ac:dyDescent="0.25">
      <c r="A29" s="15">
        <v>45122</v>
      </c>
      <c r="B29" s="8">
        <v>47</v>
      </c>
    </row>
    <row r="30" spans="1:2" x14ac:dyDescent="0.25">
      <c r="A30" s="15">
        <v>45488</v>
      </c>
      <c r="B30" s="8">
        <v>46</v>
      </c>
    </row>
    <row r="31" spans="1:2" x14ac:dyDescent="0.25">
      <c r="A31" s="15">
        <v>45853</v>
      </c>
      <c r="B31" s="8">
        <v>44</v>
      </c>
    </row>
    <row r="32" spans="1:2" x14ac:dyDescent="0.25">
      <c r="A32" s="15">
        <v>46218</v>
      </c>
      <c r="B32" s="8">
        <v>42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51"/>
  <sheetViews>
    <sheetView showGridLines="0" zoomScaleNormal="100" workbookViewId="0">
      <pane ySplit="4" topLeftCell="A152" activePane="bottomLeft" state="frozen"/>
      <selection pane="bottomLeft"/>
    </sheetView>
  </sheetViews>
  <sheetFormatPr baseColWidth="10" defaultColWidth="8.7109375" defaultRowHeight="15" x14ac:dyDescent="0.25"/>
  <cols>
    <col min="1" max="1" width="13" customWidth="1"/>
    <col min="2" max="2" width="12" customWidth="1"/>
    <col min="3" max="3" width="58" customWidth="1"/>
  </cols>
  <sheetData>
    <row r="1" spans="1:3" ht="18" x14ac:dyDescent="0.25">
      <c r="A1" s="1" t="s">
        <v>43</v>
      </c>
    </row>
    <row r="2" spans="1:3" x14ac:dyDescent="0.25">
      <c r="A2" s="13" t="s">
        <v>44</v>
      </c>
    </row>
    <row r="4" spans="1:3" ht="30" customHeight="1" x14ac:dyDescent="0.25">
      <c r="A4" s="4" t="s">
        <v>45</v>
      </c>
      <c r="B4" s="4" t="s">
        <v>46</v>
      </c>
      <c r="C4" s="4" t="s">
        <v>47</v>
      </c>
    </row>
    <row r="5" spans="1:3" x14ac:dyDescent="0.25">
      <c r="A5" s="15">
        <v>43831</v>
      </c>
      <c r="B5" s="5" t="str">
        <f t="shared" ref="B5:B68" si="0">IF(A5="","",CHOOSE(WEEKDAY(A5,2),"Lunes","Martes","Miércoles","Jueves","Viernes","Sábado","Domingo"))</f>
        <v>Miércoles</v>
      </c>
      <c r="C5" s="16" t="s">
        <v>48</v>
      </c>
    </row>
    <row r="6" spans="1:3" x14ac:dyDescent="0.25">
      <c r="A6" s="15">
        <v>43836</v>
      </c>
      <c r="B6" s="5" t="str">
        <f t="shared" si="0"/>
        <v>Lunes</v>
      </c>
      <c r="C6" s="16" t="s">
        <v>49</v>
      </c>
    </row>
    <row r="7" spans="1:3" x14ac:dyDescent="0.25">
      <c r="A7" s="15">
        <v>43913</v>
      </c>
      <c r="B7" s="5" t="str">
        <f t="shared" si="0"/>
        <v>Lunes</v>
      </c>
      <c r="C7" s="16" t="s">
        <v>50</v>
      </c>
    </row>
    <row r="8" spans="1:3" x14ac:dyDescent="0.25">
      <c r="A8" s="15">
        <v>43930</v>
      </c>
      <c r="B8" s="5" t="str">
        <f t="shared" si="0"/>
        <v>Jueves</v>
      </c>
      <c r="C8" s="16" t="s">
        <v>51</v>
      </c>
    </row>
    <row r="9" spans="1:3" x14ac:dyDescent="0.25">
      <c r="A9" s="15">
        <v>43931</v>
      </c>
      <c r="B9" s="5" t="str">
        <f t="shared" si="0"/>
        <v>Viernes</v>
      </c>
      <c r="C9" s="16" t="s">
        <v>52</v>
      </c>
    </row>
    <row r="10" spans="1:3" x14ac:dyDescent="0.25">
      <c r="A10" s="15">
        <v>43938</v>
      </c>
      <c r="B10" s="5" t="str">
        <f t="shared" si="0"/>
        <v>Viernes</v>
      </c>
      <c r="C10" s="16" t="s">
        <v>53</v>
      </c>
    </row>
    <row r="11" spans="1:3" x14ac:dyDescent="0.25">
      <c r="A11" s="15">
        <v>43952</v>
      </c>
      <c r="B11" s="5" t="str">
        <f t="shared" si="0"/>
        <v>Viernes</v>
      </c>
      <c r="C11" s="16" t="s">
        <v>54</v>
      </c>
    </row>
    <row r="12" spans="1:3" x14ac:dyDescent="0.25">
      <c r="A12" s="15">
        <v>43976</v>
      </c>
      <c r="B12" s="5" t="str">
        <f t="shared" si="0"/>
        <v>Lunes</v>
      </c>
      <c r="C12" s="16" t="s">
        <v>55</v>
      </c>
    </row>
    <row r="13" spans="1:3" x14ac:dyDescent="0.25">
      <c r="A13" s="15">
        <v>43997</v>
      </c>
      <c r="B13" s="5" t="str">
        <f t="shared" si="0"/>
        <v>Lunes</v>
      </c>
      <c r="C13" s="16" t="s">
        <v>56</v>
      </c>
    </row>
    <row r="14" spans="1:3" x14ac:dyDescent="0.25">
      <c r="A14" s="15">
        <v>44004</v>
      </c>
      <c r="B14" s="5" t="str">
        <f t="shared" si="0"/>
        <v>Lunes</v>
      </c>
      <c r="C14" s="16" t="s">
        <v>57</v>
      </c>
    </row>
    <row r="15" spans="1:3" x14ac:dyDescent="0.25">
      <c r="A15" s="15">
        <v>44011</v>
      </c>
      <c r="B15" s="5" t="str">
        <f t="shared" si="0"/>
        <v>Lunes</v>
      </c>
      <c r="C15" s="16" t="s">
        <v>58</v>
      </c>
    </row>
    <row r="16" spans="1:3" x14ac:dyDescent="0.25">
      <c r="A16" s="15">
        <v>44032</v>
      </c>
      <c r="B16" s="5" t="str">
        <f t="shared" si="0"/>
        <v>Lunes</v>
      </c>
      <c r="C16" s="16" t="s">
        <v>59</v>
      </c>
    </row>
    <row r="17" spans="1:3" x14ac:dyDescent="0.25">
      <c r="A17" s="15">
        <v>44050</v>
      </c>
      <c r="B17" s="5" t="str">
        <f t="shared" si="0"/>
        <v>Viernes</v>
      </c>
      <c r="C17" s="16" t="s">
        <v>60</v>
      </c>
    </row>
    <row r="18" spans="1:3" x14ac:dyDescent="0.25">
      <c r="A18" s="15">
        <v>44060</v>
      </c>
      <c r="B18" s="5" t="str">
        <f t="shared" si="0"/>
        <v>Lunes</v>
      </c>
      <c r="C18" s="16" t="s">
        <v>61</v>
      </c>
    </row>
    <row r="19" spans="1:3" x14ac:dyDescent="0.25">
      <c r="A19" s="15">
        <v>44116</v>
      </c>
      <c r="B19" s="5" t="str">
        <f t="shared" si="0"/>
        <v>Lunes</v>
      </c>
      <c r="C19" s="16" t="s">
        <v>62</v>
      </c>
    </row>
    <row r="20" spans="1:3" x14ac:dyDescent="0.25">
      <c r="A20" s="15">
        <v>44137</v>
      </c>
      <c r="B20" s="5" t="str">
        <f t="shared" si="0"/>
        <v>Lunes</v>
      </c>
      <c r="C20" s="16" t="s">
        <v>63</v>
      </c>
    </row>
    <row r="21" spans="1:3" x14ac:dyDescent="0.25">
      <c r="A21" s="15">
        <v>44151</v>
      </c>
      <c r="B21" s="5" t="str">
        <f t="shared" si="0"/>
        <v>Lunes</v>
      </c>
      <c r="C21" s="16" t="s">
        <v>64</v>
      </c>
    </row>
    <row r="22" spans="1:3" x14ac:dyDescent="0.25">
      <c r="A22" s="15">
        <v>44173</v>
      </c>
      <c r="B22" s="5" t="str">
        <f t="shared" si="0"/>
        <v>Martes</v>
      </c>
      <c r="C22" s="16" t="s">
        <v>65</v>
      </c>
    </row>
    <row r="23" spans="1:3" x14ac:dyDescent="0.25">
      <c r="A23" s="15">
        <v>44190</v>
      </c>
      <c r="B23" s="5" t="str">
        <f t="shared" si="0"/>
        <v>Viernes</v>
      </c>
      <c r="C23" s="16" t="s">
        <v>66</v>
      </c>
    </row>
    <row r="24" spans="1:3" x14ac:dyDescent="0.25">
      <c r="A24" s="15">
        <v>44197</v>
      </c>
      <c r="B24" s="5" t="str">
        <f t="shared" si="0"/>
        <v>Viernes</v>
      </c>
      <c r="C24" s="16" t="s">
        <v>48</v>
      </c>
    </row>
    <row r="25" spans="1:3" x14ac:dyDescent="0.25">
      <c r="A25" s="15">
        <v>44207</v>
      </c>
      <c r="B25" s="5" t="str">
        <f t="shared" si="0"/>
        <v>Lunes</v>
      </c>
      <c r="C25" s="16" t="s">
        <v>49</v>
      </c>
    </row>
    <row r="26" spans="1:3" x14ac:dyDescent="0.25">
      <c r="A26" s="15">
        <v>44277</v>
      </c>
      <c r="B26" s="5" t="str">
        <f t="shared" si="0"/>
        <v>Lunes</v>
      </c>
      <c r="C26" s="16" t="s">
        <v>50</v>
      </c>
    </row>
    <row r="27" spans="1:3" x14ac:dyDescent="0.25">
      <c r="A27" s="15">
        <v>44287</v>
      </c>
      <c r="B27" s="5" t="str">
        <f t="shared" si="0"/>
        <v>Jueves</v>
      </c>
      <c r="C27" s="16" t="s">
        <v>51</v>
      </c>
    </row>
    <row r="28" spans="1:3" x14ac:dyDescent="0.25">
      <c r="A28" s="15">
        <v>44288</v>
      </c>
      <c r="B28" s="5" t="str">
        <f t="shared" si="0"/>
        <v>Viernes</v>
      </c>
      <c r="C28" s="16" t="s">
        <v>52</v>
      </c>
    </row>
    <row r="29" spans="1:3" x14ac:dyDescent="0.25">
      <c r="A29" s="15">
        <v>44302</v>
      </c>
      <c r="B29" s="5" t="str">
        <f t="shared" si="0"/>
        <v>Viernes</v>
      </c>
      <c r="C29" s="16" t="s">
        <v>53</v>
      </c>
    </row>
    <row r="30" spans="1:3" x14ac:dyDescent="0.25">
      <c r="A30" s="15">
        <v>44317</v>
      </c>
      <c r="B30" s="5" t="str">
        <f t="shared" si="0"/>
        <v>Sábado</v>
      </c>
      <c r="C30" s="16" t="s">
        <v>54</v>
      </c>
    </row>
    <row r="31" spans="1:3" x14ac:dyDescent="0.25">
      <c r="A31" s="15">
        <v>44333</v>
      </c>
      <c r="B31" s="5" t="str">
        <f t="shared" si="0"/>
        <v>Lunes</v>
      </c>
      <c r="C31" s="16" t="s">
        <v>55</v>
      </c>
    </row>
    <row r="32" spans="1:3" x14ac:dyDescent="0.25">
      <c r="A32" s="15">
        <v>44354</v>
      </c>
      <c r="B32" s="5" t="str">
        <f t="shared" si="0"/>
        <v>Lunes</v>
      </c>
      <c r="C32" s="16" t="s">
        <v>56</v>
      </c>
    </row>
    <row r="33" spans="1:3" x14ac:dyDescent="0.25">
      <c r="A33" s="15">
        <v>44361</v>
      </c>
      <c r="B33" s="5" t="str">
        <f t="shared" si="0"/>
        <v>Lunes</v>
      </c>
      <c r="C33" s="16" t="s">
        <v>57</v>
      </c>
    </row>
    <row r="34" spans="1:3" x14ac:dyDescent="0.25">
      <c r="A34" s="15">
        <v>44382</v>
      </c>
      <c r="B34" s="5" t="str">
        <f t="shared" si="0"/>
        <v>Lunes</v>
      </c>
      <c r="C34" s="16" t="s">
        <v>58</v>
      </c>
    </row>
    <row r="35" spans="1:3" x14ac:dyDescent="0.25">
      <c r="A35" s="15">
        <v>44397</v>
      </c>
      <c r="B35" s="5" t="str">
        <f t="shared" si="0"/>
        <v>Martes</v>
      </c>
      <c r="C35" s="16" t="s">
        <v>59</v>
      </c>
    </row>
    <row r="36" spans="1:3" x14ac:dyDescent="0.25">
      <c r="A36" s="15">
        <v>44415</v>
      </c>
      <c r="B36" s="5" t="str">
        <f t="shared" si="0"/>
        <v>Sábado</v>
      </c>
      <c r="C36" s="16" t="s">
        <v>60</v>
      </c>
    </row>
    <row r="37" spans="1:3" x14ac:dyDescent="0.25">
      <c r="A37" s="15">
        <v>44424</v>
      </c>
      <c r="B37" s="5" t="str">
        <f t="shared" si="0"/>
        <v>Lunes</v>
      </c>
      <c r="C37" s="16" t="s">
        <v>61</v>
      </c>
    </row>
    <row r="38" spans="1:3" x14ac:dyDescent="0.25">
      <c r="A38" s="15">
        <v>44487</v>
      </c>
      <c r="B38" s="5" t="str">
        <f t="shared" si="0"/>
        <v>Lunes</v>
      </c>
      <c r="C38" s="16" t="s">
        <v>62</v>
      </c>
    </row>
    <row r="39" spans="1:3" x14ac:dyDescent="0.25">
      <c r="A39" s="15">
        <v>44501</v>
      </c>
      <c r="B39" s="5" t="str">
        <f t="shared" si="0"/>
        <v>Lunes</v>
      </c>
      <c r="C39" s="16" t="s">
        <v>63</v>
      </c>
    </row>
    <row r="40" spans="1:3" x14ac:dyDescent="0.25">
      <c r="A40" s="15">
        <v>44515</v>
      </c>
      <c r="B40" s="5" t="str">
        <f t="shared" si="0"/>
        <v>Lunes</v>
      </c>
      <c r="C40" s="16" t="s">
        <v>64</v>
      </c>
    </row>
    <row r="41" spans="1:3" x14ac:dyDescent="0.25">
      <c r="A41" s="15">
        <v>44538</v>
      </c>
      <c r="B41" s="5" t="str">
        <f t="shared" si="0"/>
        <v>Miércoles</v>
      </c>
      <c r="C41" s="16" t="s">
        <v>65</v>
      </c>
    </row>
    <row r="42" spans="1:3" x14ac:dyDescent="0.25">
      <c r="A42" s="15">
        <v>44555</v>
      </c>
      <c r="B42" s="5" t="str">
        <f t="shared" si="0"/>
        <v>Sábado</v>
      </c>
      <c r="C42" s="16" t="s">
        <v>66</v>
      </c>
    </row>
    <row r="43" spans="1:3" x14ac:dyDescent="0.25">
      <c r="A43" s="15">
        <v>44562</v>
      </c>
      <c r="B43" s="5" t="str">
        <f t="shared" si="0"/>
        <v>Sábado</v>
      </c>
      <c r="C43" s="16" t="s">
        <v>48</v>
      </c>
    </row>
    <row r="44" spans="1:3" x14ac:dyDescent="0.25">
      <c r="A44" s="15">
        <v>44571</v>
      </c>
      <c r="B44" s="5" t="str">
        <f t="shared" si="0"/>
        <v>Lunes</v>
      </c>
      <c r="C44" s="16" t="s">
        <v>49</v>
      </c>
    </row>
    <row r="45" spans="1:3" x14ac:dyDescent="0.25">
      <c r="A45" s="15">
        <v>44641</v>
      </c>
      <c r="B45" s="5" t="str">
        <f t="shared" si="0"/>
        <v>Lunes</v>
      </c>
      <c r="C45" s="16" t="s">
        <v>50</v>
      </c>
    </row>
    <row r="46" spans="1:3" x14ac:dyDescent="0.25">
      <c r="A46" s="15">
        <v>44665</v>
      </c>
      <c r="B46" s="5" t="str">
        <f t="shared" si="0"/>
        <v>Jueves</v>
      </c>
      <c r="C46" s="16" t="s">
        <v>51</v>
      </c>
    </row>
    <row r="47" spans="1:3" x14ac:dyDescent="0.25">
      <c r="A47" s="15">
        <v>44666</v>
      </c>
      <c r="B47" s="5" t="str">
        <f t="shared" si="0"/>
        <v>Viernes</v>
      </c>
      <c r="C47" s="16" t="s">
        <v>52</v>
      </c>
    </row>
    <row r="48" spans="1:3" x14ac:dyDescent="0.25">
      <c r="A48" s="15">
        <v>44682</v>
      </c>
      <c r="B48" s="5" t="str">
        <f t="shared" si="0"/>
        <v>Domingo</v>
      </c>
      <c r="C48" s="16" t="s">
        <v>54</v>
      </c>
    </row>
    <row r="49" spans="1:3" x14ac:dyDescent="0.25">
      <c r="A49" s="15">
        <v>44711</v>
      </c>
      <c r="B49" s="5" t="str">
        <f t="shared" si="0"/>
        <v>Lunes</v>
      </c>
      <c r="C49" s="16" t="s">
        <v>55</v>
      </c>
    </row>
    <row r="50" spans="1:3" x14ac:dyDescent="0.25">
      <c r="A50" s="15">
        <v>44732</v>
      </c>
      <c r="B50" s="5" t="str">
        <f t="shared" si="0"/>
        <v>Lunes</v>
      </c>
      <c r="C50" s="16" t="s">
        <v>56</v>
      </c>
    </row>
    <row r="51" spans="1:3" x14ac:dyDescent="0.25">
      <c r="A51" s="15">
        <v>44739</v>
      </c>
      <c r="B51" s="5" t="str">
        <f t="shared" si="0"/>
        <v>Lunes</v>
      </c>
      <c r="C51" s="16" t="s">
        <v>57</v>
      </c>
    </row>
    <row r="52" spans="1:3" x14ac:dyDescent="0.25">
      <c r="A52" s="15">
        <v>44746</v>
      </c>
      <c r="B52" s="5" t="str">
        <f t="shared" si="0"/>
        <v>Lunes</v>
      </c>
      <c r="C52" s="16" t="s">
        <v>58</v>
      </c>
    </row>
    <row r="53" spans="1:3" x14ac:dyDescent="0.25">
      <c r="A53" s="15">
        <v>44762</v>
      </c>
      <c r="B53" s="5" t="str">
        <f t="shared" si="0"/>
        <v>Miércoles</v>
      </c>
      <c r="C53" s="16" t="s">
        <v>59</v>
      </c>
    </row>
    <row r="54" spans="1:3" x14ac:dyDescent="0.25">
      <c r="A54" s="15">
        <v>44780</v>
      </c>
      <c r="B54" s="5" t="str">
        <f t="shared" si="0"/>
        <v>Domingo</v>
      </c>
      <c r="C54" s="16" t="s">
        <v>60</v>
      </c>
    </row>
    <row r="55" spans="1:3" x14ac:dyDescent="0.25">
      <c r="A55" s="15">
        <v>44788</v>
      </c>
      <c r="B55" s="5" t="str">
        <f t="shared" si="0"/>
        <v>Lunes</v>
      </c>
      <c r="C55" s="16" t="s">
        <v>61</v>
      </c>
    </row>
    <row r="56" spans="1:3" x14ac:dyDescent="0.25">
      <c r="A56" s="15">
        <v>44851</v>
      </c>
      <c r="B56" s="5" t="str">
        <f t="shared" si="0"/>
        <v>Lunes</v>
      </c>
      <c r="C56" s="16" t="s">
        <v>62</v>
      </c>
    </row>
    <row r="57" spans="1:3" x14ac:dyDescent="0.25">
      <c r="A57" s="15">
        <v>44872</v>
      </c>
      <c r="B57" s="5" t="str">
        <f t="shared" si="0"/>
        <v>Lunes</v>
      </c>
      <c r="C57" s="16" t="s">
        <v>63</v>
      </c>
    </row>
    <row r="58" spans="1:3" x14ac:dyDescent="0.25">
      <c r="A58" s="15">
        <v>44879</v>
      </c>
      <c r="B58" s="5" t="str">
        <f t="shared" si="0"/>
        <v>Lunes</v>
      </c>
      <c r="C58" s="16" t="s">
        <v>64</v>
      </c>
    </row>
    <row r="59" spans="1:3" x14ac:dyDescent="0.25">
      <c r="A59" s="15">
        <v>44903</v>
      </c>
      <c r="B59" s="5" t="str">
        <f t="shared" si="0"/>
        <v>Jueves</v>
      </c>
      <c r="C59" s="16" t="s">
        <v>65</v>
      </c>
    </row>
    <row r="60" spans="1:3" x14ac:dyDescent="0.25">
      <c r="A60" s="15">
        <v>44920</v>
      </c>
      <c r="B60" s="5" t="str">
        <f t="shared" si="0"/>
        <v>Domingo</v>
      </c>
      <c r="C60" s="16" t="s">
        <v>66</v>
      </c>
    </row>
    <row r="61" spans="1:3" x14ac:dyDescent="0.25">
      <c r="A61" s="15">
        <v>44927</v>
      </c>
      <c r="B61" s="5" t="str">
        <f t="shared" si="0"/>
        <v>Domingo</v>
      </c>
      <c r="C61" s="16" t="s">
        <v>48</v>
      </c>
    </row>
    <row r="62" spans="1:3" x14ac:dyDescent="0.25">
      <c r="A62" s="15">
        <v>44935</v>
      </c>
      <c r="B62" s="5" t="str">
        <f t="shared" si="0"/>
        <v>Lunes</v>
      </c>
      <c r="C62" s="16" t="s">
        <v>49</v>
      </c>
    </row>
    <row r="63" spans="1:3" x14ac:dyDescent="0.25">
      <c r="A63" s="15">
        <v>45005</v>
      </c>
      <c r="B63" s="5" t="str">
        <f t="shared" si="0"/>
        <v>Lunes</v>
      </c>
      <c r="C63" s="16" t="s">
        <v>50</v>
      </c>
    </row>
    <row r="64" spans="1:3" x14ac:dyDescent="0.25">
      <c r="A64" s="15">
        <v>45022</v>
      </c>
      <c r="B64" s="5" t="str">
        <f t="shared" si="0"/>
        <v>Jueves</v>
      </c>
      <c r="C64" s="16" t="s">
        <v>51</v>
      </c>
    </row>
    <row r="65" spans="1:3" x14ac:dyDescent="0.25">
      <c r="A65" s="15">
        <v>45023</v>
      </c>
      <c r="B65" s="5" t="str">
        <f t="shared" si="0"/>
        <v>Viernes</v>
      </c>
      <c r="C65" s="16" t="s">
        <v>52</v>
      </c>
    </row>
    <row r="66" spans="1:3" x14ac:dyDescent="0.25">
      <c r="A66" s="15">
        <v>45037</v>
      </c>
      <c r="B66" s="5" t="str">
        <f t="shared" si="0"/>
        <v>Viernes</v>
      </c>
      <c r="C66" s="16" t="s">
        <v>53</v>
      </c>
    </row>
    <row r="67" spans="1:3" x14ac:dyDescent="0.25">
      <c r="A67" s="15">
        <v>45047</v>
      </c>
      <c r="B67" s="5" t="str">
        <f t="shared" si="0"/>
        <v>Lunes</v>
      </c>
      <c r="C67" s="16" t="s">
        <v>54</v>
      </c>
    </row>
    <row r="68" spans="1:3" x14ac:dyDescent="0.25">
      <c r="A68" s="15">
        <v>45068</v>
      </c>
      <c r="B68" s="5" t="str">
        <f t="shared" si="0"/>
        <v>Lunes</v>
      </c>
      <c r="C68" s="16" t="s">
        <v>55</v>
      </c>
    </row>
    <row r="69" spans="1:3" x14ac:dyDescent="0.25">
      <c r="A69" s="15">
        <v>45089</v>
      </c>
      <c r="B69" s="5" t="str">
        <f t="shared" ref="B69:B132" si="1">IF(A69="","",CHOOSE(WEEKDAY(A69,2),"Lunes","Martes","Miércoles","Jueves","Viernes","Sábado","Domingo"))</f>
        <v>Lunes</v>
      </c>
      <c r="C69" s="16" t="s">
        <v>56</v>
      </c>
    </row>
    <row r="70" spans="1:3" x14ac:dyDescent="0.25">
      <c r="A70" s="15">
        <v>45096</v>
      </c>
      <c r="B70" s="5" t="str">
        <f t="shared" si="1"/>
        <v>Lunes</v>
      </c>
      <c r="C70" s="16" t="s">
        <v>57</v>
      </c>
    </row>
    <row r="71" spans="1:3" x14ac:dyDescent="0.25">
      <c r="A71" s="15">
        <v>45110</v>
      </c>
      <c r="B71" s="5" t="str">
        <f t="shared" si="1"/>
        <v>Lunes</v>
      </c>
      <c r="C71" s="16" t="s">
        <v>58</v>
      </c>
    </row>
    <row r="72" spans="1:3" x14ac:dyDescent="0.25">
      <c r="A72" s="15">
        <v>45127</v>
      </c>
      <c r="B72" s="5" t="str">
        <f t="shared" si="1"/>
        <v>Jueves</v>
      </c>
      <c r="C72" s="16" t="s">
        <v>59</v>
      </c>
    </row>
    <row r="73" spans="1:3" x14ac:dyDescent="0.25">
      <c r="A73" s="15">
        <v>45145</v>
      </c>
      <c r="B73" s="5" t="str">
        <f t="shared" si="1"/>
        <v>Lunes</v>
      </c>
      <c r="C73" s="16" t="s">
        <v>60</v>
      </c>
    </row>
    <row r="74" spans="1:3" x14ac:dyDescent="0.25">
      <c r="A74" s="15">
        <v>45159</v>
      </c>
      <c r="B74" s="5" t="str">
        <f t="shared" si="1"/>
        <v>Lunes</v>
      </c>
      <c r="C74" s="16" t="s">
        <v>61</v>
      </c>
    </row>
    <row r="75" spans="1:3" x14ac:dyDescent="0.25">
      <c r="A75" s="15">
        <v>45215</v>
      </c>
      <c r="B75" s="5" t="str">
        <f t="shared" si="1"/>
        <v>Lunes</v>
      </c>
      <c r="C75" s="16" t="s">
        <v>62</v>
      </c>
    </row>
    <row r="76" spans="1:3" x14ac:dyDescent="0.25">
      <c r="A76" s="15">
        <v>45236</v>
      </c>
      <c r="B76" s="5" t="str">
        <f t="shared" si="1"/>
        <v>Lunes</v>
      </c>
      <c r="C76" s="16" t="s">
        <v>63</v>
      </c>
    </row>
    <row r="77" spans="1:3" x14ac:dyDescent="0.25">
      <c r="A77" s="15">
        <v>45243</v>
      </c>
      <c r="B77" s="5" t="str">
        <f t="shared" si="1"/>
        <v>Lunes</v>
      </c>
      <c r="C77" s="16" t="s">
        <v>64</v>
      </c>
    </row>
    <row r="78" spans="1:3" x14ac:dyDescent="0.25">
      <c r="A78" s="15">
        <v>45268</v>
      </c>
      <c r="B78" s="5" t="str">
        <f t="shared" si="1"/>
        <v>Viernes</v>
      </c>
      <c r="C78" s="16" t="s">
        <v>65</v>
      </c>
    </row>
    <row r="79" spans="1:3" x14ac:dyDescent="0.25">
      <c r="A79" s="15">
        <v>45285</v>
      </c>
      <c r="B79" s="5" t="str">
        <f t="shared" si="1"/>
        <v>Lunes</v>
      </c>
      <c r="C79" s="16" t="s">
        <v>66</v>
      </c>
    </row>
    <row r="80" spans="1:3" x14ac:dyDescent="0.25">
      <c r="A80" s="15">
        <v>45292</v>
      </c>
      <c r="B80" s="5" t="str">
        <f t="shared" si="1"/>
        <v>Lunes</v>
      </c>
      <c r="C80" s="16" t="s">
        <v>48</v>
      </c>
    </row>
    <row r="81" spans="1:3" x14ac:dyDescent="0.25">
      <c r="A81" s="15">
        <v>45299</v>
      </c>
      <c r="B81" s="5" t="str">
        <f t="shared" si="1"/>
        <v>Lunes</v>
      </c>
      <c r="C81" s="16" t="s">
        <v>49</v>
      </c>
    </row>
    <row r="82" spans="1:3" x14ac:dyDescent="0.25">
      <c r="A82" s="15">
        <v>45376</v>
      </c>
      <c r="B82" s="5" t="str">
        <f t="shared" si="1"/>
        <v>Lunes</v>
      </c>
      <c r="C82" s="16" t="s">
        <v>50</v>
      </c>
    </row>
    <row r="83" spans="1:3" x14ac:dyDescent="0.25">
      <c r="A83" s="15">
        <v>45379</v>
      </c>
      <c r="B83" s="5" t="str">
        <f t="shared" si="1"/>
        <v>Jueves</v>
      </c>
      <c r="C83" s="16" t="s">
        <v>51</v>
      </c>
    </row>
    <row r="84" spans="1:3" x14ac:dyDescent="0.25">
      <c r="A84" s="15">
        <v>45380</v>
      </c>
      <c r="B84" s="5" t="str">
        <f t="shared" si="1"/>
        <v>Viernes</v>
      </c>
      <c r="C84" s="16" t="s">
        <v>52</v>
      </c>
    </row>
    <row r="85" spans="1:3" x14ac:dyDescent="0.25">
      <c r="A85" s="15">
        <v>45401</v>
      </c>
      <c r="B85" s="5" t="str">
        <f t="shared" si="1"/>
        <v>Viernes</v>
      </c>
      <c r="C85" s="16" t="s">
        <v>53</v>
      </c>
    </row>
    <row r="86" spans="1:3" x14ac:dyDescent="0.25">
      <c r="A86" s="15">
        <v>45413</v>
      </c>
      <c r="B86" s="5" t="str">
        <f t="shared" si="1"/>
        <v>Miércoles</v>
      </c>
      <c r="C86" s="16" t="s">
        <v>54</v>
      </c>
    </row>
    <row r="87" spans="1:3" x14ac:dyDescent="0.25">
      <c r="A87" s="15">
        <v>45425</v>
      </c>
      <c r="B87" s="5" t="str">
        <f t="shared" si="1"/>
        <v>Lunes</v>
      </c>
      <c r="C87" s="16" t="s">
        <v>55</v>
      </c>
    </row>
    <row r="88" spans="1:3" x14ac:dyDescent="0.25">
      <c r="A88" s="15">
        <v>45446</v>
      </c>
      <c r="B88" s="5" t="str">
        <f t="shared" si="1"/>
        <v>Lunes</v>
      </c>
      <c r="C88" s="16" t="s">
        <v>56</v>
      </c>
    </row>
    <row r="89" spans="1:3" x14ac:dyDescent="0.25">
      <c r="A89" s="15">
        <v>45453</v>
      </c>
      <c r="B89" s="5" t="str">
        <f t="shared" si="1"/>
        <v>Lunes</v>
      </c>
      <c r="C89" s="16" t="s">
        <v>57</v>
      </c>
    </row>
    <row r="90" spans="1:3" x14ac:dyDescent="0.25">
      <c r="A90" s="15">
        <v>45474</v>
      </c>
      <c r="B90" s="5" t="str">
        <f t="shared" si="1"/>
        <v>Lunes</v>
      </c>
      <c r="C90" s="16" t="s">
        <v>58</v>
      </c>
    </row>
    <row r="91" spans="1:3" x14ac:dyDescent="0.25">
      <c r="A91" s="15">
        <v>45493</v>
      </c>
      <c r="B91" s="5" t="str">
        <f t="shared" si="1"/>
        <v>Sábado</v>
      </c>
      <c r="C91" s="16" t="s">
        <v>59</v>
      </c>
    </row>
    <row r="92" spans="1:3" x14ac:dyDescent="0.25">
      <c r="A92" s="15">
        <v>45511</v>
      </c>
      <c r="B92" s="5" t="str">
        <f t="shared" si="1"/>
        <v>Miércoles</v>
      </c>
      <c r="C92" s="16" t="s">
        <v>60</v>
      </c>
    </row>
    <row r="93" spans="1:3" x14ac:dyDescent="0.25">
      <c r="A93" s="15">
        <v>45523</v>
      </c>
      <c r="B93" s="5" t="str">
        <f t="shared" si="1"/>
        <v>Lunes</v>
      </c>
      <c r="C93" s="16" t="s">
        <v>61</v>
      </c>
    </row>
    <row r="94" spans="1:3" x14ac:dyDescent="0.25">
      <c r="A94" s="15">
        <v>45579</v>
      </c>
      <c r="B94" s="5" t="str">
        <f t="shared" si="1"/>
        <v>Lunes</v>
      </c>
      <c r="C94" s="16" t="s">
        <v>62</v>
      </c>
    </row>
    <row r="95" spans="1:3" x14ac:dyDescent="0.25">
      <c r="A95" s="15">
        <v>45600</v>
      </c>
      <c r="B95" s="5" t="str">
        <f t="shared" si="1"/>
        <v>Lunes</v>
      </c>
      <c r="C95" s="16" t="s">
        <v>63</v>
      </c>
    </row>
    <row r="96" spans="1:3" x14ac:dyDescent="0.25">
      <c r="A96" s="15">
        <v>45607</v>
      </c>
      <c r="B96" s="5" t="str">
        <f t="shared" si="1"/>
        <v>Lunes</v>
      </c>
      <c r="C96" s="16" t="s">
        <v>64</v>
      </c>
    </row>
    <row r="97" spans="1:3" x14ac:dyDescent="0.25">
      <c r="A97" s="15">
        <v>45634</v>
      </c>
      <c r="B97" s="5" t="str">
        <f t="shared" si="1"/>
        <v>Domingo</v>
      </c>
      <c r="C97" s="16" t="s">
        <v>65</v>
      </c>
    </row>
    <row r="98" spans="1:3" x14ac:dyDescent="0.25">
      <c r="A98" s="15">
        <v>45651</v>
      </c>
      <c r="B98" s="5" t="str">
        <f t="shared" si="1"/>
        <v>Miércoles</v>
      </c>
      <c r="C98" s="16" t="s">
        <v>66</v>
      </c>
    </row>
    <row r="99" spans="1:3" x14ac:dyDescent="0.25">
      <c r="A99" s="15">
        <v>45658</v>
      </c>
      <c r="B99" s="5" t="str">
        <f t="shared" si="1"/>
        <v>Miércoles</v>
      </c>
      <c r="C99" s="16" t="s">
        <v>48</v>
      </c>
    </row>
    <row r="100" spans="1:3" x14ac:dyDescent="0.25">
      <c r="A100" s="15">
        <v>45663</v>
      </c>
      <c r="B100" s="5" t="str">
        <f t="shared" si="1"/>
        <v>Lunes</v>
      </c>
      <c r="C100" s="16" t="s">
        <v>49</v>
      </c>
    </row>
    <row r="101" spans="1:3" x14ac:dyDescent="0.25">
      <c r="A101" s="15">
        <v>45740</v>
      </c>
      <c r="B101" s="5" t="str">
        <f t="shared" si="1"/>
        <v>Lunes</v>
      </c>
      <c r="C101" s="16" t="s">
        <v>50</v>
      </c>
    </row>
    <row r="102" spans="1:3" x14ac:dyDescent="0.25">
      <c r="A102" s="15">
        <v>45764</v>
      </c>
      <c r="B102" s="5" t="str">
        <f t="shared" si="1"/>
        <v>Jueves</v>
      </c>
      <c r="C102" s="16" t="s">
        <v>51</v>
      </c>
    </row>
    <row r="103" spans="1:3" x14ac:dyDescent="0.25">
      <c r="A103" s="15">
        <v>45765</v>
      </c>
      <c r="B103" s="5" t="str">
        <f t="shared" si="1"/>
        <v>Viernes</v>
      </c>
      <c r="C103" s="16" t="s">
        <v>52</v>
      </c>
    </row>
    <row r="104" spans="1:3" x14ac:dyDescent="0.25">
      <c r="A104" s="15">
        <v>45778</v>
      </c>
      <c r="B104" s="5" t="str">
        <f t="shared" si="1"/>
        <v>Jueves</v>
      </c>
      <c r="C104" s="16" t="s">
        <v>54</v>
      </c>
    </row>
    <row r="105" spans="1:3" x14ac:dyDescent="0.25">
      <c r="A105" s="15">
        <v>45810</v>
      </c>
      <c r="B105" s="5" t="str">
        <f t="shared" si="1"/>
        <v>Lunes</v>
      </c>
      <c r="C105" s="16" t="s">
        <v>55</v>
      </c>
    </row>
    <row r="106" spans="1:3" x14ac:dyDescent="0.25">
      <c r="A106" s="15">
        <v>45831</v>
      </c>
      <c r="B106" s="5" t="str">
        <f t="shared" si="1"/>
        <v>Lunes</v>
      </c>
      <c r="C106" s="16" t="s">
        <v>56</v>
      </c>
    </row>
    <row r="107" spans="1:3" x14ac:dyDescent="0.25">
      <c r="A107" s="15">
        <v>45838</v>
      </c>
      <c r="B107" s="5" t="str">
        <f t="shared" si="1"/>
        <v>Lunes</v>
      </c>
      <c r="C107" s="16" t="s">
        <v>67</v>
      </c>
    </row>
    <row r="108" spans="1:3" x14ac:dyDescent="0.25">
      <c r="A108" s="15">
        <v>45858</v>
      </c>
      <c r="B108" s="5" t="str">
        <f t="shared" si="1"/>
        <v>Domingo</v>
      </c>
      <c r="C108" s="16" t="s">
        <v>59</v>
      </c>
    </row>
    <row r="109" spans="1:3" x14ac:dyDescent="0.25">
      <c r="A109" s="15">
        <v>45876</v>
      </c>
      <c r="B109" s="5" t="str">
        <f t="shared" si="1"/>
        <v>Jueves</v>
      </c>
      <c r="C109" s="16" t="s">
        <v>60</v>
      </c>
    </row>
    <row r="110" spans="1:3" x14ac:dyDescent="0.25">
      <c r="A110" s="15">
        <v>45887</v>
      </c>
      <c r="B110" s="5" t="str">
        <f t="shared" si="1"/>
        <v>Lunes</v>
      </c>
      <c r="C110" s="16" t="s">
        <v>61</v>
      </c>
    </row>
    <row r="111" spans="1:3" x14ac:dyDescent="0.25">
      <c r="A111" s="15">
        <v>45943</v>
      </c>
      <c r="B111" s="5" t="str">
        <f t="shared" si="1"/>
        <v>Lunes</v>
      </c>
      <c r="C111" s="16" t="s">
        <v>62</v>
      </c>
    </row>
    <row r="112" spans="1:3" x14ac:dyDescent="0.25">
      <c r="A112" s="15">
        <v>45964</v>
      </c>
      <c r="B112" s="5" t="str">
        <f t="shared" si="1"/>
        <v>Lunes</v>
      </c>
      <c r="C112" s="16" t="s">
        <v>63</v>
      </c>
    </row>
    <row r="113" spans="1:3" x14ac:dyDescent="0.25">
      <c r="A113" s="15">
        <v>45978</v>
      </c>
      <c r="B113" s="5" t="str">
        <f t="shared" si="1"/>
        <v>Lunes</v>
      </c>
      <c r="C113" s="16" t="s">
        <v>64</v>
      </c>
    </row>
    <row r="114" spans="1:3" x14ac:dyDescent="0.25">
      <c r="A114" s="15">
        <v>45999</v>
      </c>
      <c r="B114" s="5" t="str">
        <f t="shared" si="1"/>
        <v>Lunes</v>
      </c>
      <c r="C114" s="16" t="s">
        <v>65</v>
      </c>
    </row>
    <row r="115" spans="1:3" x14ac:dyDescent="0.25">
      <c r="A115" s="15">
        <v>46016</v>
      </c>
      <c r="B115" s="5" t="str">
        <f t="shared" si="1"/>
        <v>Jueves</v>
      </c>
      <c r="C115" s="16" t="s">
        <v>66</v>
      </c>
    </row>
    <row r="116" spans="1:3" x14ac:dyDescent="0.25">
      <c r="A116" s="15">
        <v>46023</v>
      </c>
      <c r="B116" s="5" t="str">
        <f t="shared" si="1"/>
        <v>Jueves</v>
      </c>
      <c r="C116" s="16" t="s">
        <v>48</v>
      </c>
    </row>
    <row r="117" spans="1:3" x14ac:dyDescent="0.25">
      <c r="A117" s="15">
        <v>46034</v>
      </c>
      <c r="B117" s="5" t="str">
        <f t="shared" si="1"/>
        <v>Lunes</v>
      </c>
      <c r="C117" s="16" t="s">
        <v>49</v>
      </c>
    </row>
    <row r="118" spans="1:3" x14ac:dyDescent="0.25">
      <c r="A118" s="15">
        <v>46104</v>
      </c>
      <c r="B118" s="5" t="str">
        <f t="shared" si="1"/>
        <v>Lunes</v>
      </c>
      <c r="C118" s="16" t="s">
        <v>50</v>
      </c>
    </row>
    <row r="119" spans="1:3" x14ac:dyDescent="0.25">
      <c r="A119" s="15">
        <v>46114</v>
      </c>
      <c r="B119" s="5" t="str">
        <f t="shared" si="1"/>
        <v>Jueves</v>
      </c>
      <c r="C119" s="16" t="s">
        <v>51</v>
      </c>
    </row>
    <row r="120" spans="1:3" x14ac:dyDescent="0.25">
      <c r="A120" s="15">
        <v>46115</v>
      </c>
      <c r="B120" s="5" t="str">
        <f t="shared" si="1"/>
        <v>Viernes</v>
      </c>
      <c r="C120" s="16" t="s">
        <v>52</v>
      </c>
    </row>
    <row r="121" spans="1:3" x14ac:dyDescent="0.25">
      <c r="A121" s="15">
        <v>46129</v>
      </c>
      <c r="B121" s="5" t="str">
        <f t="shared" si="1"/>
        <v>Viernes</v>
      </c>
      <c r="C121" s="16" t="s">
        <v>53</v>
      </c>
    </row>
    <row r="122" spans="1:3" x14ac:dyDescent="0.25">
      <c r="A122" s="15">
        <v>46143</v>
      </c>
      <c r="B122" s="5" t="str">
        <f t="shared" si="1"/>
        <v>Viernes</v>
      </c>
      <c r="C122" s="16" t="s">
        <v>54</v>
      </c>
    </row>
    <row r="123" spans="1:3" x14ac:dyDescent="0.25">
      <c r="A123" s="15">
        <v>46160</v>
      </c>
      <c r="B123" s="5" t="str">
        <f t="shared" si="1"/>
        <v>Lunes</v>
      </c>
      <c r="C123" s="16" t="s">
        <v>55</v>
      </c>
    </row>
    <row r="124" spans="1:3" x14ac:dyDescent="0.25">
      <c r="A124" s="15">
        <v>46181</v>
      </c>
      <c r="B124" s="5" t="str">
        <f t="shared" si="1"/>
        <v>Lunes</v>
      </c>
      <c r="C124" s="16" t="s">
        <v>56</v>
      </c>
    </row>
    <row r="125" spans="1:3" x14ac:dyDescent="0.25">
      <c r="A125" s="15">
        <v>46188</v>
      </c>
      <c r="B125" s="5" t="str">
        <f t="shared" si="1"/>
        <v>Lunes</v>
      </c>
      <c r="C125" s="16" t="s">
        <v>57</v>
      </c>
    </row>
    <row r="126" spans="1:3" x14ac:dyDescent="0.25">
      <c r="A126" s="15">
        <v>46202</v>
      </c>
      <c r="B126" s="5" t="str">
        <f t="shared" si="1"/>
        <v>Lunes</v>
      </c>
      <c r="C126" s="16" t="s">
        <v>58</v>
      </c>
    </row>
    <row r="127" spans="1:3" x14ac:dyDescent="0.25">
      <c r="A127" s="15">
        <v>46216</v>
      </c>
      <c r="B127" s="5" t="str">
        <f t="shared" si="1"/>
        <v>Lunes</v>
      </c>
      <c r="C127" s="16" t="s">
        <v>68</v>
      </c>
    </row>
    <row r="128" spans="1:3" x14ac:dyDescent="0.25">
      <c r="A128" s="15">
        <v>46223</v>
      </c>
      <c r="B128" s="5" t="str">
        <f t="shared" si="1"/>
        <v>Lunes</v>
      </c>
      <c r="C128" s="16" t="s">
        <v>59</v>
      </c>
    </row>
    <row r="129" spans="1:3" x14ac:dyDescent="0.25">
      <c r="A129" s="15">
        <v>46241</v>
      </c>
      <c r="B129" s="5" t="str">
        <f t="shared" si="1"/>
        <v>Viernes</v>
      </c>
      <c r="C129" s="16" t="s">
        <v>60</v>
      </c>
    </row>
    <row r="130" spans="1:3" x14ac:dyDescent="0.25">
      <c r="A130" s="15">
        <v>46251</v>
      </c>
      <c r="B130" s="5" t="str">
        <f t="shared" si="1"/>
        <v>Lunes</v>
      </c>
      <c r="C130" s="16" t="s">
        <v>61</v>
      </c>
    </row>
    <row r="131" spans="1:3" x14ac:dyDescent="0.25">
      <c r="A131" s="15">
        <v>46307</v>
      </c>
      <c r="B131" s="5" t="str">
        <f t="shared" si="1"/>
        <v>Lunes</v>
      </c>
      <c r="C131" s="16" t="s">
        <v>62</v>
      </c>
    </row>
    <row r="132" spans="1:3" x14ac:dyDescent="0.25">
      <c r="A132" s="15">
        <v>46328</v>
      </c>
      <c r="B132" s="5" t="str">
        <f t="shared" si="1"/>
        <v>Lunes</v>
      </c>
      <c r="C132" s="16" t="s">
        <v>63</v>
      </c>
    </row>
    <row r="133" spans="1:3" x14ac:dyDescent="0.25">
      <c r="A133" s="15">
        <v>46342</v>
      </c>
      <c r="B133" s="5" t="str">
        <f t="shared" ref="B133:B196" si="2">IF(A133="","",CHOOSE(WEEKDAY(A133,2),"Lunes","Martes","Miércoles","Jueves","Viernes","Sábado","Domingo"))</f>
        <v>Lunes</v>
      </c>
      <c r="C133" s="16" t="s">
        <v>64</v>
      </c>
    </row>
    <row r="134" spans="1:3" x14ac:dyDescent="0.25">
      <c r="A134" s="15">
        <v>46364</v>
      </c>
      <c r="B134" s="5" t="str">
        <f t="shared" si="2"/>
        <v>Martes</v>
      </c>
      <c r="C134" s="16" t="s">
        <v>65</v>
      </c>
    </row>
    <row r="135" spans="1:3" x14ac:dyDescent="0.25">
      <c r="A135" s="15">
        <v>46381</v>
      </c>
      <c r="B135" s="5" t="str">
        <f t="shared" si="2"/>
        <v>Viernes</v>
      </c>
      <c r="C135" s="16" t="s">
        <v>66</v>
      </c>
    </row>
    <row r="136" spans="1:3" x14ac:dyDescent="0.25">
      <c r="A136" s="15">
        <v>46388</v>
      </c>
      <c r="B136" s="5" t="str">
        <f t="shared" si="2"/>
        <v>Viernes</v>
      </c>
      <c r="C136" s="16" t="s">
        <v>48</v>
      </c>
    </row>
    <row r="137" spans="1:3" x14ac:dyDescent="0.25">
      <c r="A137" s="15">
        <v>46398</v>
      </c>
      <c r="B137" s="5" t="str">
        <f t="shared" si="2"/>
        <v>Lunes</v>
      </c>
      <c r="C137" s="16" t="s">
        <v>49</v>
      </c>
    </row>
    <row r="138" spans="1:3" x14ac:dyDescent="0.25">
      <c r="A138" s="15">
        <v>46468</v>
      </c>
      <c r="B138" s="5" t="str">
        <f t="shared" si="2"/>
        <v>Lunes</v>
      </c>
      <c r="C138" s="16" t="s">
        <v>50</v>
      </c>
    </row>
    <row r="139" spans="1:3" x14ac:dyDescent="0.25">
      <c r="A139" s="15">
        <v>46471</v>
      </c>
      <c r="B139" s="5" t="str">
        <f t="shared" si="2"/>
        <v>Jueves</v>
      </c>
      <c r="C139" s="16" t="s">
        <v>51</v>
      </c>
    </row>
    <row r="140" spans="1:3" x14ac:dyDescent="0.25">
      <c r="A140" s="15">
        <v>46472</v>
      </c>
      <c r="B140" s="5" t="str">
        <f t="shared" si="2"/>
        <v>Viernes</v>
      </c>
      <c r="C140" s="16" t="s">
        <v>52</v>
      </c>
    </row>
    <row r="141" spans="1:3" x14ac:dyDescent="0.25">
      <c r="A141" s="15">
        <v>46493</v>
      </c>
      <c r="B141" s="5" t="str">
        <f t="shared" si="2"/>
        <v>Viernes</v>
      </c>
      <c r="C141" s="16" t="s">
        <v>53</v>
      </c>
    </row>
    <row r="142" spans="1:3" x14ac:dyDescent="0.25">
      <c r="A142" s="15">
        <v>46508</v>
      </c>
      <c r="B142" s="5" t="str">
        <f t="shared" si="2"/>
        <v>Sábado</v>
      </c>
      <c r="C142" s="16" t="s">
        <v>54</v>
      </c>
    </row>
    <row r="143" spans="1:3" x14ac:dyDescent="0.25">
      <c r="A143" s="15">
        <v>46517</v>
      </c>
      <c r="B143" s="5" t="str">
        <f t="shared" si="2"/>
        <v>Lunes</v>
      </c>
      <c r="C143" s="16" t="s">
        <v>55</v>
      </c>
    </row>
    <row r="144" spans="1:3" x14ac:dyDescent="0.25">
      <c r="A144" s="15">
        <v>46538</v>
      </c>
      <c r="B144" s="5" t="str">
        <f t="shared" si="2"/>
        <v>Lunes</v>
      </c>
      <c r="C144" s="16" t="s">
        <v>56</v>
      </c>
    </row>
    <row r="145" spans="1:3" x14ac:dyDescent="0.25">
      <c r="A145" s="15">
        <v>46545</v>
      </c>
      <c r="B145" s="5" t="str">
        <f t="shared" si="2"/>
        <v>Lunes</v>
      </c>
      <c r="C145" s="16" t="s">
        <v>57</v>
      </c>
    </row>
    <row r="146" spans="1:3" x14ac:dyDescent="0.25">
      <c r="A146" s="15">
        <v>46573</v>
      </c>
      <c r="B146" s="5" t="str">
        <f t="shared" si="2"/>
        <v>Lunes</v>
      </c>
      <c r="C146" s="16" t="s">
        <v>58</v>
      </c>
    </row>
    <row r="147" spans="1:3" x14ac:dyDescent="0.25">
      <c r="A147" s="15">
        <v>46580</v>
      </c>
      <c r="B147" s="5" t="str">
        <f t="shared" si="2"/>
        <v>Lunes</v>
      </c>
      <c r="C147" s="16" t="s">
        <v>68</v>
      </c>
    </row>
    <row r="148" spans="1:3" x14ac:dyDescent="0.25">
      <c r="A148" s="15">
        <v>46588</v>
      </c>
      <c r="B148" s="5" t="str">
        <f t="shared" si="2"/>
        <v>Martes</v>
      </c>
      <c r="C148" s="16" t="s">
        <v>59</v>
      </c>
    </row>
    <row r="149" spans="1:3" x14ac:dyDescent="0.25">
      <c r="A149" s="15">
        <v>46606</v>
      </c>
      <c r="B149" s="5" t="str">
        <f t="shared" si="2"/>
        <v>Sábado</v>
      </c>
      <c r="C149" s="16" t="s">
        <v>60</v>
      </c>
    </row>
    <row r="150" spans="1:3" x14ac:dyDescent="0.25">
      <c r="A150" s="15">
        <v>46615</v>
      </c>
      <c r="B150" s="5" t="str">
        <f t="shared" si="2"/>
        <v>Lunes</v>
      </c>
      <c r="C150" s="16" t="s">
        <v>61</v>
      </c>
    </row>
    <row r="151" spans="1:3" x14ac:dyDescent="0.25">
      <c r="A151" s="15">
        <v>46678</v>
      </c>
      <c r="B151" s="5" t="str">
        <f t="shared" si="2"/>
        <v>Lunes</v>
      </c>
      <c r="C151" s="16" t="s">
        <v>62</v>
      </c>
    </row>
    <row r="152" spans="1:3" x14ac:dyDescent="0.25">
      <c r="A152" s="15">
        <v>46692</v>
      </c>
      <c r="B152" s="5" t="str">
        <f t="shared" si="2"/>
        <v>Lunes</v>
      </c>
      <c r="C152" s="16" t="s">
        <v>63</v>
      </c>
    </row>
    <row r="153" spans="1:3" x14ac:dyDescent="0.25">
      <c r="A153" s="15">
        <v>46706</v>
      </c>
      <c r="B153" s="5" t="str">
        <f t="shared" si="2"/>
        <v>Lunes</v>
      </c>
      <c r="C153" s="16" t="s">
        <v>64</v>
      </c>
    </row>
    <row r="154" spans="1:3" x14ac:dyDescent="0.25">
      <c r="A154" s="15">
        <v>46729</v>
      </c>
      <c r="B154" s="5" t="str">
        <f t="shared" si="2"/>
        <v>Miércoles</v>
      </c>
      <c r="C154" s="16" t="s">
        <v>65</v>
      </c>
    </row>
    <row r="155" spans="1:3" x14ac:dyDescent="0.25">
      <c r="A155" s="15">
        <v>46746</v>
      </c>
      <c r="B155" s="5" t="str">
        <f t="shared" si="2"/>
        <v>Sábado</v>
      </c>
      <c r="C155" s="16" t="s">
        <v>66</v>
      </c>
    </row>
    <row r="156" spans="1:3" x14ac:dyDescent="0.25">
      <c r="A156" s="15">
        <v>46753</v>
      </c>
      <c r="B156" s="5" t="str">
        <f t="shared" si="2"/>
        <v>Sábado</v>
      </c>
      <c r="C156" s="16" t="s">
        <v>48</v>
      </c>
    </row>
    <row r="157" spans="1:3" x14ac:dyDescent="0.25">
      <c r="A157" s="15">
        <v>46762</v>
      </c>
      <c r="B157" s="5" t="str">
        <f t="shared" si="2"/>
        <v>Lunes</v>
      </c>
      <c r="C157" s="16" t="s">
        <v>49</v>
      </c>
    </row>
    <row r="158" spans="1:3" x14ac:dyDescent="0.25">
      <c r="A158" s="15">
        <v>46832</v>
      </c>
      <c r="B158" s="5" t="str">
        <f t="shared" si="2"/>
        <v>Lunes</v>
      </c>
      <c r="C158" s="16" t="s">
        <v>50</v>
      </c>
    </row>
    <row r="159" spans="1:3" x14ac:dyDescent="0.25">
      <c r="A159" s="15">
        <v>46856</v>
      </c>
      <c r="B159" s="5" t="str">
        <f t="shared" si="2"/>
        <v>Jueves</v>
      </c>
      <c r="C159" s="16" t="s">
        <v>51</v>
      </c>
    </row>
    <row r="160" spans="1:3" x14ac:dyDescent="0.25">
      <c r="A160" s="15">
        <v>46857</v>
      </c>
      <c r="B160" s="5" t="str">
        <f t="shared" si="2"/>
        <v>Viernes</v>
      </c>
      <c r="C160" s="16" t="s">
        <v>52</v>
      </c>
    </row>
    <row r="161" spans="1:3" x14ac:dyDescent="0.25">
      <c r="A161" s="15">
        <v>46864</v>
      </c>
      <c r="B161" s="5" t="str">
        <f t="shared" si="2"/>
        <v>Viernes</v>
      </c>
      <c r="C161" s="16" t="s">
        <v>53</v>
      </c>
    </row>
    <row r="162" spans="1:3" x14ac:dyDescent="0.25">
      <c r="A162" s="15">
        <v>46874</v>
      </c>
      <c r="B162" s="5" t="str">
        <f t="shared" si="2"/>
        <v>Lunes</v>
      </c>
      <c r="C162" s="16" t="s">
        <v>54</v>
      </c>
    </row>
    <row r="163" spans="1:3" x14ac:dyDescent="0.25">
      <c r="A163" s="15">
        <v>46902</v>
      </c>
      <c r="B163" s="5" t="str">
        <f t="shared" si="2"/>
        <v>Lunes</v>
      </c>
      <c r="C163" s="16" t="s">
        <v>55</v>
      </c>
    </row>
    <row r="164" spans="1:3" x14ac:dyDescent="0.25">
      <c r="A164" s="15">
        <v>46923</v>
      </c>
      <c r="B164" s="5" t="str">
        <f t="shared" si="2"/>
        <v>Lunes</v>
      </c>
      <c r="C164" s="16" t="s">
        <v>56</v>
      </c>
    </row>
    <row r="165" spans="1:3" x14ac:dyDescent="0.25">
      <c r="A165" s="15">
        <v>46930</v>
      </c>
      <c r="B165" s="5" t="str">
        <f t="shared" si="2"/>
        <v>Lunes</v>
      </c>
      <c r="C165" s="16" t="s">
        <v>57</v>
      </c>
    </row>
    <row r="166" spans="1:3" x14ac:dyDescent="0.25">
      <c r="A166" s="15">
        <v>46937</v>
      </c>
      <c r="B166" s="5" t="str">
        <f t="shared" si="2"/>
        <v>Lunes</v>
      </c>
      <c r="C166" s="16" t="s">
        <v>58</v>
      </c>
    </row>
    <row r="167" spans="1:3" x14ac:dyDescent="0.25">
      <c r="A167" s="15">
        <v>46944</v>
      </c>
      <c r="B167" s="5" t="str">
        <f t="shared" si="2"/>
        <v>Lunes</v>
      </c>
      <c r="C167" s="16" t="s">
        <v>68</v>
      </c>
    </row>
    <row r="168" spans="1:3" x14ac:dyDescent="0.25">
      <c r="A168" s="15">
        <v>46954</v>
      </c>
      <c r="B168" s="5" t="str">
        <f t="shared" si="2"/>
        <v>Jueves</v>
      </c>
      <c r="C168" s="16" t="s">
        <v>59</v>
      </c>
    </row>
    <row r="169" spans="1:3" x14ac:dyDescent="0.25">
      <c r="A169" s="15">
        <v>46972</v>
      </c>
      <c r="B169" s="5" t="str">
        <f t="shared" si="2"/>
        <v>Lunes</v>
      </c>
      <c r="C169" s="16" t="s">
        <v>60</v>
      </c>
    </row>
    <row r="170" spans="1:3" x14ac:dyDescent="0.25">
      <c r="A170" s="15">
        <v>46986</v>
      </c>
      <c r="B170" s="5" t="str">
        <f t="shared" si="2"/>
        <v>Lunes</v>
      </c>
      <c r="C170" s="16" t="s">
        <v>61</v>
      </c>
    </row>
    <row r="171" spans="1:3" x14ac:dyDescent="0.25">
      <c r="A171" s="15">
        <v>47042</v>
      </c>
      <c r="B171" s="5" t="str">
        <f t="shared" si="2"/>
        <v>Lunes</v>
      </c>
      <c r="C171" s="16" t="s">
        <v>62</v>
      </c>
    </row>
    <row r="172" spans="1:3" x14ac:dyDescent="0.25">
      <c r="A172" s="15">
        <v>47063</v>
      </c>
      <c r="B172" s="5" t="str">
        <f t="shared" si="2"/>
        <v>Lunes</v>
      </c>
      <c r="C172" s="16" t="s">
        <v>63</v>
      </c>
    </row>
    <row r="173" spans="1:3" x14ac:dyDescent="0.25">
      <c r="A173" s="15">
        <v>47070</v>
      </c>
      <c r="B173" s="5" t="str">
        <f t="shared" si="2"/>
        <v>Lunes</v>
      </c>
      <c r="C173" s="16" t="s">
        <v>64</v>
      </c>
    </row>
    <row r="174" spans="1:3" x14ac:dyDescent="0.25">
      <c r="A174" s="15">
        <v>47095</v>
      </c>
      <c r="B174" s="5" t="str">
        <f t="shared" si="2"/>
        <v>Viernes</v>
      </c>
      <c r="C174" s="16" t="s">
        <v>65</v>
      </c>
    </row>
    <row r="175" spans="1:3" x14ac:dyDescent="0.25">
      <c r="A175" s="15">
        <v>47112</v>
      </c>
      <c r="B175" s="5" t="str">
        <f t="shared" si="2"/>
        <v>Lunes</v>
      </c>
      <c r="C175" s="16" t="s">
        <v>66</v>
      </c>
    </row>
    <row r="176" spans="1:3" x14ac:dyDescent="0.25">
      <c r="A176" s="15">
        <v>47119</v>
      </c>
      <c r="B176" s="5" t="str">
        <f t="shared" si="2"/>
        <v>Lunes</v>
      </c>
      <c r="C176" s="16" t="s">
        <v>48</v>
      </c>
    </row>
    <row r="177" spans="1:3" x14ac:dyDescent="0.25">
      <c r="A177" s="15">
        <v>47126</v>
      </c>
      <c r="B177" s="5" t="str">
        <f t="shared" si="2"/>
        <v>Lunes</v>
      </c>
      <c r="C177" s="16" t="s">
        <v>49</v>
      </c>
    </row>
    <row r="178" spans="1:3" x14ac:dyDescent="0.25">
      <c r="A178" s="15">
        <v>47196</v>
      </c>
      <c r="B178" s="5" t="str">
        <f t="shared" si="2"/>
        <v>Lunes</v>
      </c>
      <c r="C178" s="16" t="s">
        <v>50</v>
      </c>
    </row>
    <row r="179" spans="1:3" x14ac:dyDescent="0.25">
      <c r="A179" s="15">
        <v>47206</v>
      </c>
      <c r="B179" s="5" t="str">
        <f t="shared" si="2"/>
        <v>Jueves</v>
      </c>
      <c r="C179" s="16" t="s">
        <v>51</v>
      </c>
    </row>
    <row r="180" spans="1:3" x14ac:dyDescent="0.25">
      <c r="A180" s="15">
        <v>47207</v>
      </c>
      <c r="B180" s="5" t="str">
        <f t="shared" si="2"/>
        <v>Viernes</v>
      </c>
      <c r="C180" s="16" t="s">
        <v>52</v>
      </c>
    </row>
    <row r="181" spans="1:3" x14ac:dyDescent="0.25">
      <c r="A181" s="15">
        <v>47228</v>
      </c>
      <c r="B181" s="5" t="str">
        <f t="shared" si="2"/>
        <v>Viernes</v>
      </c>
      <c r="C181" s="16" t="s">
        <v>53</v>
      </c>
    </row>
    <row r="182" spans="1:3" x14ac:dyDescent="0.25">
      <c r="A182" s="15">
        <v>47239</v>
      </c>
      <c r="B182" s="5" t="str">
        <f t="shared" si="2"/>
        <v>Martes</v>
      </c>
      <c r="C182" s="16" t="s">
        <v>54</v>
      </c>
    </row>
    <row r="183" spans="1:3" x14ac:dyDescent="0.25">
      <c r="A183" s="15">
        <v>47252</v>
      </c>
      <c r="B183" s="5" t="str">
        <f t="shared" si="2"/>
        <v>Lunes</v>
      </c>
      <c r="C183" s="16" t="s">
        <v>55</v>
      </c>
    </row>
    <row r="184" spans="1:3" x14ac:dyDescent="0.25">
      <c r="A184" s="15">
        <v>47273</v>
      </c>
      <c r="B184" s="5" t="str">
        <f t="shared" si="2"/>
        <v>Lunes</v>
      </c>
      <c r="C184" s="16" t="s">
        <v>56</v>
      </c>
    </row>
    <row r="185" spans="1:3" x14ac:dyDescent="0.25">
      <c r="A185" s="15">
        <v>47280</v>
      </c>
      <c r="B185" s="5" t="str">
        <f t="shared" si="2"/>
        <v>Lunes</v>
      </c>
      <c r="C185" s="16" t="s">
        <v>57</v>
      </c>
    </row>
    <row r="186" spans="1:3" x14ac:dyDescent="0.25">
      <c r="A186" s="15">
        <v>47301</v>
      </c>
      <c r="B186" s="5" t="str">
        <f t="shared" si="2"/>
        <v>Lunes</v>
      </c>
      <c r="C186" s="16" t="s">
        <v>58</v>
      </c>
    </row>
    <row r="187" spans="1:3" x14ac:dyDescent="0.25">
      <c r="A187" s="15">
        <v>47308</v>
      </c>
      <c r="B187" s="5" t="str">
        <f t="shared" si="2"/>
        <v>Lunes</v>
      </c>
      <c r="C187" s="16" t="s">
        <v>68</v>
      </c>
    </row>
    <row r="188" spans="1:3" x14ac:dyDescent="0.25">
      <c r="A188" s="15">
        <v>47319</v>
      </c>
      <c r="B188" s="5" t="str">
        <f t="shared" si="2"/>
        <v>Viernes</v>
      </c>
      <c r="C188" s="16" t="s">
        <v>59</v>
      </c>
    </row>
    <row r="189" spans="1:3" x14ac:dyDescent="0.25">
      <c r="A189" s="15">
        <v>47337</v>
      </c>
      <c r="B189" s="5" t="str">
        <f t="shared" si="2"/>
        <v>Martes</v>
      </c>
      <c r="C189" s="16" t="s">
        <v>60</v>
      </c>
    </row>
    <row r="190" spans="1:3" x14ac:dyDescent="0.25">
      <c r="A190" s="15">
        <v>47350</v>
      </c>
      <c r="B190" s="5" t="str">
        <f t="shared" si="2"/>
        <v>Lunes</v>
      </c>
      <c r="C190" s="16" t="s">
        <v>61</v>
      </c>
    </row>
    <row r="191" spans="1:3" x14ac:dyDescent="0.25">
      <c r="A191" s="15">
        <v>47406</v>
      </c>
      <c r="B191" s="5" t="str">
        <f t="shared" si="2"/>
        <v>Lunes</v>
      </c>
      <c r="C191" s="16" t="s">
        <v>62</v>
      </c>
    </row>
    <row r="192" spans="1:3" x14ac:dyDescent="0.25">
      <c r="A192" s="15">
        <v>47427</v>
      </c>
      <c r="B192" s="5" t="str">
        <f t="shared" si="2"/>
        <v>Lunes</v>
      </c>
      <c r="C192" s="16" t="s">
        <v>63</v>
      </c>
    </row>
    <row r="193" spans="1:3" x14ac:dyDescent="0.25">
      <c r="A193" s="15">
        <v>47434</v>
      </c>
      <c r="B193" s="5" t="str">
        <f t="shared" si="2"/>
        <v>Lunes</v>
      </c>
      <c r="C193" s="16" t="s">
        <v>64</v>
      </c>
    </row>
    <row r="194" spans="1:3" x14ac:dyDescent="0.25">
      <c r="A194" s="15">
        <v>47460</v>
      </c>
      <c r="B194" s="5" t="str">
        <f t="shared" si="2"/>
        <v>Sábado</v>
      </c>
      <c r="C194" s="16" t="s">
        <v>65</v>
      </c>
    </row>
    <row r="195" spans="1:3" x14ac:dyDescent="0.25">
      <c r="A195" s="15">
        <v>47477</v>
      </c>
      <c r="B195" s="5" t="str">
        <f t="shared" si="2"/>
        <v>Martes</v>
      </c>
      <c r="C195" s="16" t="s">
        <v>66</v>
      </c>
    </row>
    <row r="196" spans="1:3" x14ac:dyDescent="0.25">
      <c r="A196" s="15">
        <v>47484</v>
      </c>
      <c r="B196" s="5" t="str">
        <f t="shared" si="2"/>
        <v>Martes</v>
      </c>
      <c r="C196" s="16" t="s">
        <v>48</v>
      </c>
    </row>
    <row r="197" spans="1:3" x14ac:dyDescent="0.25">
      <c r="A197" s="15">
        <v>47490</v>
      </c>
      <c r="B197" s="5" t="str">
        <f t="shared" ref="B197:B260" si="3">IF(A197="","",CHOOSE(WEEKDAY(A197,2),"Lunes","Martes","Miércoles","Jueves","Viernes","Sábado","Domingo"))</f>
        <v>Lunes</v>
      </c>
      <c r="C197" s="16" t="s">
        <v>49</v>
      </c>
    </row>
    <row r="198" spans="1:3" x14ac:dyDescent="0.25">
      <c r="A198" s="15">
        <v>47567</v>
      </c>
      <c r="B198" s="5" t="str">
        <f t="shared" si="3"/>
        <v>Lunes</v>
      </c>
      <c r="C198" s="16" t="s">
        <v>50</v>
      </c>
    </row>
    <row r="199" spans="1:3" x14ac:dyDescent="0.25">
      <c r="A199" s="15">
        <v>47591</v>
      </c>
      <c r="B199" s="5" t="str">
        <f t="shared" si="3"/>
        <v>Jueves</v>
      </c>
      <c r="C199" s="16" t="s">
        <v>51</v>
      </c>
    </row>
    <row r="200" spans="1:3" x14ac:dyDescent="0.25">
      <c r="A200" s="15">
        <v>47592</v>
      </c>
      <c r="B200" s="5" t="str">
        <f t="shared" si="3"/>
        <v>Viernes</v>
      </c>
      <c r="C200" s="16" t="s">
        <v>52</v>
      </c>
    </row>
    <row r="201" spans="1:3" x14ac:dyDescent="0.25">
      <c r="A201" s="15">
        <v>47604</v>
      </c>
      <c r="B201" s="5" t="str">
        <f t="shared" si="3"/>
        <v>Miércoles</v>
      </c>
      <c r="C201" s="16" t="s">
        <v>54</v>
      </c>
    </row>
    <row r="202" spans="1:3" x14ac:dyDescent="0.25">
      <c r="A202" s="15">
        <v>47637</v>
      </c>
      <c r="B202" s="5" t="str">
        <f t="shared" si="3"/>
        <v>Lunes</v>
      </c>
      <c r="C202" s="16" t="s">
        <v>55</v>
      </c>
    </row>
    <row r="203" spans="1:3" x14ac:dyDescent="0.25">
      <c r="A203" s="15">
        <v>47658</v>
      </c>
      <c r="B203" s="5" t="str">
        <f t="shared" si="3"/>
        <v>Lunes</v>
      </c>
      <c r="C203" s="16" t="s">
        <v>56</v>
      </c>
    </row>
    <row r="204" spans="1:3" x14ac:dyDescent="0.25">
      <c r="A204" s="15">
        <v>47665</v>
      </c>
      <c r="B204" s="5" t="str">
        <f t="shared" si="3"/>
        <v>Lunes</v>
      </c>
      <c r="C204" s="16" t="s">
        <v>67</v>
      </c>
    </row>
    <row r="205" spans="1:3" x14ac:dyDescent="0.25">
      <c r="A205" s="15">
        <v>47679</v>
      </c>
      <c r="B205" s="5" t="str">
        <f t="shared" si="3"/>
        <v>Lunes</v>
      </c>
      <c r="C205" s="16" t="s">
        <v>68</v>
      </c>
    </row>
    <row r="206" spans="1:3" x14ac:dyDescent="0.25">
      <c r="A206" s="15">
        <v>47684</v>
      </c>
      <c r="B206" s="5" t="str">
        <f t="shared" si="3"/>
        <v>Sábado</v>
      </c>
      <c r="C206" s="16" t="s">
        <v>59</v>
      </c>
    </row>
    <row r="207" spans="1:3" x14ac:dyDescent="0.25">
      <c r="A207" s="15">
        <v>47702</v>
      </c>
      <c r="B207" s="5" t="str">
        <f t="shared" si="3"/>
        <v>Miércoles</v>
      </c>
      <c r="C207" s="16" t="s">
        <v>60</v>
      </c>
    </row>
    <row r="208" spans="1:3" x14ac:dyDescent="0.25">
      <c r="A208" s="15">
        <v>47714</v>
      </c>
      <c r="B208" s="5" t="str">
        <f t="shared" si="3"/>
        <v>Lunes</v>
      </c>
      <c r="C208" s="16" t="s">
        <v>61</v>
      </c>
    </row>
    <row r="209" spans="1:3" x14ac:dyDescent="0.25">
      <c r="A209" s="15">
        <v>47770</v>
      </c>
      <c r="B209" s="5" t="str">
        <f t="shared" si="3"/>
        <v>Lunes</v>
      </c>
      <c r="C209" s="16" t="s">
        <v>62</v>
      </c>
    </row>
    <row r="210" spans="1:3" x14ac:dyDescent="0.25">
      <c r="A210" s="15">
        <v>47791</v>
      </c>
      <c r="B210" s="5" t="str">
        <f t="shared" si="3"/>
        <v>Lunes</v>
      </c>
      <c r="C210" s="16" t="s">
        <v>63</v>
      </c>
    </row>
    <row r="211" spans="1:3" x14ac:dyDescent="0.25">
      <c r="A211" s="15">
        <v>47798</v>
      </c>
      <c r="B211" s="5" t="str">
        <f t="shared" si="3"/>
        <v>Lunes</v>
      </c>
      <c r="C211" s="16" t="s">
        <v>64</v>
      </c>
    </row>
    <row r="212" spans="1:3" x14ac:dyDescent="0.25">
      <c r="A212" s="15">
        <v>47825</v>
      </c>
      <c r="B212" s="5" t="str">
        <f t="shared" si="3"/>
        <v>Domingo</v>
      </c>
      <c r="C212" s="16" t="s">
        <v>65</v>
      </c>
    </row>
    <row r="213" spans="1:3" x14ac:dyDescent="0.25">
      <c r="A213" s="15">
        <v>47842</v>
      </c>
      <c r="B213" s="5" t="str">
        <f t="shared" si="3"/>
        <v>Miércoles</v>
      </c>
      <c r="C213" s="16" t="s">
        <v>66</v>
      </c>
    </row>
    <row r="214" spans="1:3" x14ac:dyDescent="0.25">
      <c r="A214" s="15">
        <v>47849</v>
      </c>
      <c r="B214" s="5" t="str">
        <f t="shared" si="3"/>
        <v>Miércoles</v>
      </c>
      <c r="C214" s="16" t="s">
        <v>48</v>
      </c>
    </row>
    <row r="215" spans="1:3" x14ac:dyDescent="0.25">
      <c r="A215" s="15">
        <v>47854</v>
      </c>
      <c r="B215" s="5" t="str">
        <f t="shared" si="3"/>
        <v>Lunes</v>
      </c>
      <c r="C215" s="16" t="s">
        <v>49</v>
      </c>
    </row>
    <row r="216" spans="1:3" x14ac:dyDescent="0.25">
      <c r="A216" s="15">
        <v>47931</v>
      </c>
      <c r="B216" s="5" t="str">
        <f t="shared" si="3"/>
        <v>Lunes</v>
      </c>
      <c r="C216" s="16" t="s">
        <v>50</v>
      </c>
    </row>
    <row r="217" spans="1:3" x14ac:dyDescent="0.25">
      <c r="A217" s="15">
        <v>47948</v>
      </c>
      <c r="B217" s="5" t="str">
        <f t="shared" si="3"/>
        <v>Jueves</v>
      </c>
      <c r="C217" s="16" t="s">
        <v>51</v>
      </c>
    </row>
    <row r="218" spans="1:3" x14ac:dyDescent="0.25">
      <c r="A218" s="15">
        <v>47949</v>
      </c>
      <c r="B218" s="5" t="str">
        <f t="shared" si="3"/>
        <v>Viernes</v>
      </c>
      <c r="C218" s="16" t="s">
        <v>52</v>
      </c>
    </row>
    <row r="219" spans="1:3" x14ac:dyDescent="0.25">
      <c r="A219" s="15">
        <v>47956</v>
      </c>
      <c r="B219" s="5" t="str">
        <f t="shared" si="3"/>
        <v>Viernes</v>
      </c>
      <c r="C219" s="16" t="s">
        <v>53</v>
      </c>
    </row>
    <row r="220" spans="1:3" x14ac:dyDescent="0.25">
      <c r="A220" s="15">
        <v>47969</v>
      </c>
      <c r="B220" s="5" t="str">
        <f t="shared" si="3"/>
        <v>Jueves</v>
      </c>
      <c r="C220" s="16" t="s">
        <v>54</v>
      </c>
    </row>
    <row r="221" spans="1:3" x14ac:dyDescent="0.25">
      <c r="A221" s="15">
        <v>47994</v>
      </c>
      <c r="B221" s="5" t="str">
        <f t="shared" si="3"/>
        <v>Lunes</v>
      </c>
      <c r="C221" s="16" t="s">
        <v>55</v>
      </c>
    </row>
    <row r="222" spans="1:3" x14ac:dyDescent="0.25">
      <c r="A222" s="15">
        <v>48015</v>
      </c>
      <c r="B222" s="5" t="str">
        <f t="shared" si="3"/>
        <v>Lunes</v>
      </c>
      <c r="C222" s="16" t="s">
        <v>56</v>
      </c>
    </row>
    <row r="223" spans="1:3" x14ac:dyDescent="0.25">
      <c r="A223" s="15">
        <v>48022</v>
      </c>
      <c r="B223" s="5" t="str">
        <f t="shared" si="3"/>
        <v>Lunes</v>
      </c>
      <c r="C223" s="16" t="s">
        <v>57</v>
      </c>
    </row>
    <row r="224" spans="1:3" x14ac:dyDescent="0.25">
      <c r="A224" s="15">
        <v>48029</v>
      </c>
      <c r="B224" s="5" t="str">
        <f t="shared" si="3"/>
        <v>Lunes</v>
      </c>
      <c r="C224" s="16" t="s">
        <v>58</v>
      </c>
    </row>
    <row r="225" spans="1:3" x14ac:dyDescent="0.25">
      <c r="A225" s="15">
        <v>48043</v>
      </c>
      <c r="B225" s="5" t="str">
        <f t="shared" si="3"/>
        <v>Lunes</v>
      </c>
      <c r="C225" s="16" t="s">
        <v>68</v>
      </c>
    </row>
    <row r="226" spans="1:3" x14ac:dyDescent="0.25">
      <c r="A226" s="15">
        <v>48049</v>
      </c>
      <c r="B226" s="5" t="str">
        <f t="shared" si="3"/>
        <v>Domingo</v>
      </c>
      <c r="C226" s="16" t="s">
        <v>59</v>
      </c>
    </row>
    <row r="227" spans="1:3" x14ac:dyDescent="0.25">
      <c r="A227" s="15">
        <v>48067</v>
      </c>
      <c r="B227" s="5" t="str">
        <f t="shared" si="3"/>
        <v>Jueves</v>
      </c>
      <c r="C227" s="16" t="s">
        <v>60</v>
      </c>
    </row>
    <row r="228" spans="1:3" x14ac:dyDescent="0.25">
      <c r="A228" s="15">
        <v>48078</v>
      </c>
      <c r="B228" s="5" t="str">
        <f t="shared" si="3"/>
        <v>Lunes</v>
      </c>
      <c r="C228" s="16" t="s">
        <v>61</v>
      </c>
    </row>
    <row r="229" spans="1:3" x14ac:dyDescent="0.25">
      <c r="A229" s="15">
        <v>48134</v>
      </c>
      <c r="B229" s="5" t="str">
        <f t="shared" si="3"/>
        <v>Lunes</v>
      </c>
      <c r="C229" s="16" t="s">
        <v>62</v>
      </c>
    </row>
    <row r="230" spans="1:3" x14ac:dyDescent="0.25">
      <c r="A230" s="15">
        <v>48155</v>
      </c>
      <c r="B230" s="5" t="str">
        <f t="shared" si="3"/>
        <v>Lunes</v>
      </c>
      <c r="C230" s="16" t="s">
        <v>63</v>
      </c>
    </row>
    <row r="231" spans="1:3" x14ac:dyDescent="0.25">
      <c r="A231" s="15">
        <v>48169</v>
      </c>
      <c r="B231" s="5" t="str">
        <f t="shared" si="3"/>
        <v>Lunes</v>
      </c>
      <c r="C231" s="16" t="s">
        <v>64</v>
      </c>
    </row>
    <row r="232" spans="1:3" x14ac:dyDescent="0.25">
      <c r="A232" s="15">
        <v>48190</v>
      </c>
      <c r="B232" s="5" t="str">
        <f t="shared" si="3"/>
        <v>Lunes</v>
      </c>
      <c r="C232" s="16" t="s">
        <v>65</v>
      </c>
    </row>
    <row r="233" spans="1:3" x14ac:dyDescent="0.25">
      <c r="A233" s="15">
        <v>48207</v>
      </c>
      <c r="B233" s="5" t="str">
        <f t="shared" si="3"/>
        <v>Jueves</v>
      </c>
      <c r="C233" s="16" t="s">
        <v>66</v>
      </c>
    </row>
    <row r="234" spans="1:3" x14ac:dyDescent="0.25">
      <c r="A234" s="15">
        <v>48214</v>
      </c>
      <c r="B234" s="5" t="str">
        <f t="shared" si="3"/>
        <v>Jueves</v>
      </c>
      <c r="C234" s="16" t="s">
        <v>48</v>
      </c>
    </row>
    <row r="235" spans="1:3" x14ac:dyDescent="0.25">
      <c r="A235" s="15">
        <v>48225</v>
      </c>
      <c r="B235" s="5" t="str">
        <f t="shared" si="3"/>
        <v>Lunes</v>
      </c>
      <c r="C235" s="16" t="s">
        <v>49</v>
      </c>
    </row>
    <row r="236" spans="1:3" x14ac:dyDescent="0.25">
      <c r="A236" s="15">
        <v>48295</v>
      </c>
      <c r="B236" s="5" t="str">
        <f t="shared" si="3"/>
        <v>Lunes</v>
      </c>
      <c r="C236" s="16" t="s">
        <v>50</v>
      </c>
    </row>
    <row r="237" spans="1:3" x14ac:dyDescent="0.25">
      <c r="A237" s="15">
        <v>48298</v>
      </c>
      <c r="B237" s="5" t="str">
        <f t="shared" si="3"/>
        <v>Jueves</v>
      </c>
      <c r="C237" s="16" t="s">
        <v>51</v>
      </c>
    </row>
    <row r="238" spans="1:3" x14ac:dyDescent="0.25">
      <c r="A238" s="15">
        <v>48299</v>
      </c>
      <c r="B238" s="5" t="str">
        <f t="shared" si="3"/>
        <v>Viernes</v>
      </c>
      <c r="C238" s="16" t="s">
        <v>52</v>
      </c>
    </row>
    <row r="239" spans="1:3" x14ac:dyDescent="0.25">
      <c r="A239" s="15">
        <v>48320</v>
      </c>
      <c r="B239" s="5" t="str">
        <f t="shared" si="3"/>
        <v>Viernes</v>
      </c>
      <c r="C239" s="16" t="s">
        <v>53</v>
      </c>
    </row>
    <row r="240" spans="1:3" x14ac:dyDescent="0.25">
      <c r="A240" s="15">
        <v>48335</v>
      </c>
      <c r="B240" s="5" t="str">
        <f t="shared" si="3"/>
        <v>Sábado</v>
      </c>
      <c r="C240" s="16" t="s">
        <v>54</v>
      </c>
    </row>
    <row r="241" spans="1:3" x14ac:dyDescent="0.25">
      <c r="A241" s="15">
        <v>48344</v>
      </c>
      <c r="B241" s="5" t="str">
        <f t="shared" si="3"/>
        <v>Lunes</v>
      </c>
      <c r="C241" s="16" t="s">
        <v>55</v>
      </c>
    </row>
    <row r="242" spans="1:3" x14ac:dyDescent="0.25">
      <c r="A242" s="15">
        <v>48365</v>
      </c>
      <c r="B242" s="5" t="str">
        <f t="shared" si="3"/>
        <v>Lunes</v>
      </c>
      <c r="C242" s="16" t="s">
        <v>56</v>
      </c>
    </row>
    <row r="243" spans="1:3" x14ac:dyDescent="0.25">
      <c r="A243" s="15">
        <v>48372</v>
      </c>
      <c r="B243" s="5" t="str">
        <f t="shared" si="3"/>
        <v>Lunes</v>
      </c>
      <c r="C243" s="16" t="s">
        <v>57</v>
      </c>
    </row>
    <row r="244" spans="1:3" x14ac:dyDescent="0.25">
      <c r="A244" s="15">
        <v>48400</v>
      </c>
      <c r="B244" s="5" t="str">
        <f t="shared" si="3"/>
        <v>Lunes</v>
      </c>
      <c r="C244" s="16" t="s">
        <v>58</v>
      </c>
    </row>
    <row r="245" spans="1:3" x14ac:dyDescent="0.25">
      <c r="A245" s="15">
        <v>48407</v>
      </c>
      <c r="B245" s="5" t="str">
        <f t="shared" si="3"/>
        <v>Lunes</v>
      </c>
      <c r="C245" s="16" t="s">
        <v>68</v>
      </c>
    </row>
    <row r="246" spans="1:3" x14ac:dyDescent="0.25">
      <c r="A246" s="15">
        <v>48415</v>
      </c>
      <c r="B246" s="5" t="str">
        <f t="shared" si="3"/>
        <v>Martes</v>
      </c>
      <c r="C246" s="16" t="s">
        <v>59</v>
      </c>
    </row>
    <row r="247" spans="1:3" x14ac:dyDescent="0.25">
      <c r="A247" s="15">
        <v>48433</v>
      </c>
      <c r="B247" s="5" t="str">
        <f t="shared" si="3"/>
        <v>Sábado</v>
      </c>
      <c r="C247" s="16" t="s">
        <v>60</v>
      </c>
    </row>
    <row r="248" spans="1:3" x14ac:dyDescent="0.25">
      <c r="A248" s="15">
        <v>48442</v>
      </c>
      <c r="B248" s="5" t="str">
        <f t="shared" si="3"/>
        <v>Lunes</v>
      </c>
      <c r="C248" s="16" t="s">
        <v>61</v>
      </c>
    </row>
    <row r="249" spans="1:3" x14ac:dyDescent="0.25">
      <c r="A249" s="15">
        <v>48505</v>
      </c>
      <c r="B249" s="5" t="str">
        <f t="shared" si="3"/>
        <v>Lunes</v>
      </c>
      <c r="C249" s="16" t="s">
        <v>62</v>
      </c>
    </row>
    <row r="250" spans="1:3" x14ac:dyDescent="0.25">
      <c r="A250" s="15">
        <v>48519</v>
      </c>
      <c r="B250" s="5" t="str">
        <f t="shared" si="3"/>
        <v>Lunes</v>
      </c>
      <c r="C250" s="16" t="s">
        <v>63</v>
      </c>
    </row>
    <row r="251" spans="1:3" x14ac:dyDescent="0.25">
      <c r="A251" s="15">
        <v>48533</v>
      </c>
      <c r="B251" s="5" t="str">
        <f t="shared" si="3"/>
        <v>Lunes</v>
      </c>
      <c r="C251" s="16" t="s">
        <v>64</v>
      </c>
    </row>
    <row r="252" spans="1:3" x14ac:dyDescent="0.25">
      <c r="A252" s="15">
        <v>48556</v>
      </c>
      <c r="B252" s="5" t="str">
        <f t="shared" si="3"/>
        <v>Miércoles</v>
      </c>
      <c r="C252" s="16" t="s">
        <v>65</v>
      </c>
    </row>
    <row r="253" spans="1:3" x14ac:dyDescent="0.25">
      <c r="A253" s="15">
        <v>48573</v>
      </c>
      <c r="B253" s="5" t="str">
        <f t="shared" si="3"/>
        <v>Sábado</v>
      </c>
      <c r="C253" s="16" t="s">
        <v>66</v>
      </c>
    </row>
    <row r="254" spans="1:3" x14ac:dyDescent="0.25">
      <c r="A254" s="15">
        <v>48580</v>
      </c>
      <c r="B254" s="5" t="str">
        <f t="shared" si="3"/>
        <v>Sábado</v>
      </c>
      <c r="C254" s="16" t="s">
        <v>48</v>
      </c>
    </row>
    <row r="255" spans="1:3" x14ac:dyDescent="0.25">
      <c r="A255" s="15">
        <v>48589</v>
      </c>
      <c r="B255" s="5" t="str">
        <f t="shared" si="3"/>
        <v>Lunes</v>
      </c>
      <c r="C255" s="16" t="s">
        <v>49</v>
      </c>
    </row>
    <row r="256" spans="1:3" x14ac:dyDescent="0.25">
      <c r="A256" s="15">
        <v>48659</v>
      </c>
      <c r="B256" s="5" t="str">
        <f t="shared" si="3"/>
        <v>Lunes</v>
      </c>
      <c r="C256" s="16" t="s">
        <v>50</v>
      </c>
    </row>
    <row r="257" spans="1:3" x14ac:dyDescent="0.25">
      <c r="A257" s="15">
        <v>48683</v>
      </c>
      <c r="B257" s="5" t="str">
        <f t="shared" si="3"/>
        <v>Jueves</v>
      </c>
      <c r="C257" s="16" t="s">
        <v>51</v>
      </c>
    </row>
    <row r="258" spans="1:3" x14ac:dyDescent="0.25">
      <c r="A258" s="15">
        <v>48684</v>
      </c>
      <c r="B258" s="5" t="str">
        <f t="shared" si="3"/>
        <v>Viernes</v>
      </c>
      <c r="C258" s="16" t="s">
        <v>52</v>
      </c>
    </row>
    <row r="259" spans="1:3" x14ac:dyDescent="0.25">
      <c r="A259" s="15">
        <v>48700</v>
      </c>
      <c r="B259" s="5" t="str">
        <f t="shared" si="3"/>
        <v>Domingo</v>
      </c>
      <c r="C259" s="16" t="s">
        <v>54</v>
      </c>
    </row>
    <row r="260" spans="1:3" x14ac:dyDescent="0.25">
      <c r="A260" s="15">
        <v>48729</v>
      </c>
      <c r="B260" s="5" t="str">
        <f t="shared" si="3"/>
        <v>Lunes</v>
      </c>
      <c r="C260" s="16" t="s">
        <v>55</v>
      </c>
    </row>
    <row r="261" spans="1:3" x14ac:dyDescent="0.25">
      <c r="A261" s="15">
        <v>48750</v>
      </c>
      <c r="B261" s="5" t="str">
        <f t="shared" ref="B261:B324" si="4">IF(A261="","",CHOOSE(WEEKDAY(A261,2),"Lunes","Martes","Miércoles","Jueves","Viernes","Sábado","Domingo"))</f>
        <v>Lunes</v>
      </c>
      <c r="C261" s="16" t="s">
        <v>56</v>
      </c>
    </row>
    <row r="262" spans="1:3" x14ac:dyDescent="0.25">
      <c r="A262" s="15">
        <v>48757</v>
      </c>
      <c r="B262" s="5" t="str">
        <f t="shared" si="4"/>
        <v>Lunes</v>
      </c>
      <c r="C262" s="16" t="s">
        <v>57</v>
      </c>
    </row>
    <row r="263" spans="1:3" x14ac:dyDescent="0.25">
      <c r="A263" s="15">
        <v>48764</v>
      </c>
      <c r="B263" s="5" t="str">
        <f t="shared" si="4"/>
        <v>Lunes</v>
      </c>
      <c r="C263" s="16" t="s">
        <v>58</v>
      </c>
    </row>
    <row r="264" spans="1:3" x14ac:dyDescent="0.25">
      <c r="A264" s="15">
        <v>48771</v>
      </c>
      <c r="B264" s="5" t="str">
        <f t="shared" si="4"/>
        <v>Lunes</v>
      </c>
      <c r="C264" s="16" t="s">
        <v>68</v>
      </c>
    </row>
    <row r="265" spans="1:3" x14ac:dyDescent="0.25">
      <c r="A265" s="15">
        <v>48780</v>
      </c>
      <c r="B265" s="5" t="str">
        <f t="shared" si="4"/>
        <v>Miércoles</v>
      </c>
      <c r="C265" s="16" t="s">
        <v>59</v>
      </c>
    </row>
    <row r="266" spans="1:3" x14ac:dyDescent="0.25">
      <c r="A266" s="15">
        <v>48798</v>
      </c>
      <c r="B266" s="5" t="str">
        <f t="shared" si="4"/>
        <v>Domingo</v>
      </c>
      <c r="C266" s="16" t="s">
        <v>60</v>
      </c>
    </row>
    <row r="267" spans="1:3" x14ac:dyDescent="0.25">
      <c r="A267" s="15">
        <v>48806</v>
      </c>
      <c r="B267" s="5" t="str">
        <f t="shared" si="4"/>
        <v>Lunes</v>
      </c>
      <c r="C267" s="16" t="s">
        <v>61</v>
      </c>
    </row>
    <row r="268" spans="1:3" x14ac:dyDescent="0.25">
      <c r="A268" s="15">
        <v>48869</v>
      </c>
      <c r="B268" s="5" t="str">
        <f t="shared" si="4"/>
        <v>Lunes</v>
      </c>
      <c r="C268" s="16" t="s">
        <v>62</v>
      </c>
    </row>
    <row r="269" spans="1:3" x14ac:dyDescent="0.25">
      <c r="A269" s="15">
        <v>48890</v>
      </c>
      <c r="B269" s="5" t="str">
        <f t="shared" si="4"/>
        <v>Lunes</v>
      </c>
      <c r="C269" s="16" t="s">
        <v>63</v>
      </c>
    </row>
    <row r="270" spans="1:3" x14ac:dyDescent="0.25">
      <c r="A270" s="15">
        <v>48897</v>
      </c>
      <c r="B270" s="5" t="str">
        <f t="shared" si="4"/>
        <v>Lunes</v>
      </c>
      <c r="C270" s="16" t="s">
        <v>64</v>
      </c>
    </row>
    <row r="271" spans="1:3" x14ac:dyDescent="0.25">
      <c r="A271" s="15">
        <v>48921</v>
      </c>
      <c r="B271" s="5" t="str">
        <f t="shared" si="4"/>
        <v>Jueves</v>
      </c>
      <c r="C271" s="16" t="s">
        <v>65</v>
      </c>
    </row>
    <row r="272" spans="1:3" x14ac:dyDescent="0.25">
      <c r="A272" s="15">
        <v>48938</v>
      </c>
      <c r="B272" s="5" t="str">
        <f t="shared" si="4"/>
        <v>Domingo</v>
      </c>
      <c r="C272" s="16" t="s">
        <v>66</v>
      </c>
    </row>
    <row r="273" spans="1:3" x14ac:dyDescent="0.25">
      <c r="A273" s="15">
        <v>48945</v>
      </c>
      <c r="B273" s="5" t="str">
        <f t="shared" si="4"/>
        <v>Domingo</v>
      </c>
      <c r="C273" s="16" t="s">
        <v>48</v>
      </c>
    </row>
    <row r="274" spans="1:3" x14ac:dyDescent="0.25">
      <c r="A274" s="15">
        <v>48953</v>
      </c>
      <c r="B274" s="5" t="str">
        <f t="shared" si="4"/>
        <v>Lunes</v>
      </c>
      <c r="C274" s="16" t="s">
        <v>49</v>
      </c>
    </row>
    <row r="275" spans="1:3" x14ac:dyDescent="0.25">
      <c r="A275" s="15">
        <v>49023</v>
      </c>
      <c r="B275" s="5" t="str">
        <f t="shared" si="4"/>
        <v>Lunes</v>
      </c>
      <c r="C275" s="16" t="s">
        <v>50</v>
      </c>
    </row>
    <row r="276" spans="1:3" x14ac:dyDescent="0.25">
      <c r="A276" s="15">
        <v>49040</v>
      </c>
      <c r="B276" s="5" t="str">
        <f t="shared" si="4"/>
        <v>Jueves</v>
      </c>
      <c r="C276" s="16" t="s">
        <v>51</v>
      </c>
    </row>
    <row r="277" spans="1:3" x14ac:dyDescent="0.25">
      <c r="A277" s="15">
        <v>49041</v>
      </c>
      <c r="B277" s="5" t="str">
        <f t="shared" si="4"/>
        <v>Viernes</v>
      </c>
      <c r="C277" s="16" t="s">
        <v>52</v>
      </c>
    </row>
    <row r="278" spans="1:3" x14ac:dyDescent="0.25">
      <c r="A278" s="15">
        <v>49055</v>
      </c>
      <c r="B278" s="5" t="str">
        <f t="shared" si="4"/>
        <v>Viernes</v>
      </c>
      <c r="C278" s="16" t="s">
        <v>53</v>
      </c>
    </row>
    <row r="279" spans="1:3" x14ac:dyDescent="0.25">
      <c r="A279" s="15">
        <v>49065</v>
      </c>
      <c r="B279" s="5" t="str">
        <f t="shared" si="4"/>
        <v>Lunes</v>
      </c>
      <c r="C279" s="16" t="s">
        <v>54</v>
      </c>
    </row>
    <row r="280" spans="1:3" x14ac:dyDescent="0.25">
      <c r="A280" s="15">
        <v>49086</v>
      </c>
      <c r="B280" s="5" t="str">
        <f t="shared" si="4"/>
        <v>Lunes</v>
      </c>
      <c r="C280" s="16" t="s">
        <v>55</v>
      </c>
    </row>
    <row r="281" spans="1:3" x14ac:dyDescent="0.25">
      <c r="A281" s="15">
        <v>49107</v>
      </c>
      <c r="B281" s="5" t="str">
        <f t="shared" si="4"/>
        <v>Lunes</v>
      </c>
      <c r="C281" s="16" t="s">
        <v>56</v>
      </c>
    </row>
    <row r="282" spans="1:3" x14ac:dyDescent="0.25">
      <c r="A282" s="15">
        <v>49114</v>
      </c>
      <c r="B282" s="5" t="str">
        <f t="shared" si="4"/>
        <v>Lunes</v>
      </c>
      <c r="C282" s="16" t="s">
        <v>57</v>
      </c>
    </row>
    <row r="283" spans="1:3" x14ac:dyDescent="0.25">
      <c r="A283" s="15">
        <v>49128</v>
      </c>
      <c r="B283" s="5" t="str">
        <f t="shared" si="4"/>
        <v>Lunes</v>
      </c>
      <c r="C283" s="16" t="s">
        <v>58</v>
      </c>
    </row>
    <row r="284" spans="1:3" x14ac:dyDescent="0.25">
      <c r="A284" s="15">
        <v>49135</v>
      </c>
      <c r="B284" s="5" t="str">
        <f t="shared" si="4"/>
        <v>Lunes</v>
      </c>
      <c r="C284" s="16" t="s">
        <v>68</v>
      </c>
    </row>
    <row r="285" spans="1:3" x14ac:dyDescent="0.25">
      <c r="A285" s="15">
        <v>49145</v>
      </c>
      <c r="B285" s="5" t="str">
        <f t="shared" si="4"/>
        <v>Jueves</v>
      </c>
      <c r="C285" s="16" t="s">
        <v>59</v>
      </c>
    </row>
    <row r="286" spans="1:3" x14ac:dyDescent="0.25">
      <c r="A286" s="15">
        <v>49163</v>
      </c>
      <c r="B286" s="5" t="str">
        <f t="shared" si="4"/>
        <v>Lunes</v>
      </c>
      <c r="C286" s="16" t="s">
        <v>60</v>
      </c>
    </row>
    <row r="287" spans="1:3" x14ac:dyDescent="0.25">
      <c r="A287" s="15">
        <v>49177</v>
      </c>
      <c r="B287" s="5" t="str">
        <f t="shared" si="4"/>
        <v>Lunes</v>
      </c>
      <c r="C287" s="16" t="s">
        <v>61</v>
      </c>
    </row>
    <row r="288" spans="1:3" x14ac:dyDescent="0.25">
      <c r="A288" s="15">
        <v>49233</v>
      </c>
      <c r="B288" s="5" t="str">
        <f t="shared" si="4"/>
        <v>Lunes</v>
      </c>
      <c r="C288" s="16" t="s">
        <v>62</v>
      </c>
    </row>
    <row r="289" spans="1:3" x14ac:dyDescent="0.25">
      <c r="A289" s="15">
        <v>49254</v>
      </c>
      <c r="B289" s="5" t="str">
        <f t="shared" si="4"/>
        <v>Lunes</v>
      </c>
      <c r="C289" s="16" t="s">
        <v>63</v>
      </c>
    </row>
    <row r="290" spans="1:3" x14ac:dyDescent="0.25">
      <c r="A290" s="15">
        <v>49261</v>
      </c>
      <c r="B290" s="5" t="str">
        <f t="shared" si="4"/>
        <v>Lunes</v>
      </c>
      <c r="C290" s="16" t="s">
        <v>64</v>
      </c>
    </row>
    <row r="291" spans="1:3" x14ac:dyDescent="0.25">
      <c r="A291" s="15">
        <v>49286</v>
      </c>
      <c r="B291" s="5" t="str">
        <f t="shared" si="4"/>
        <v>Viernes</v>
      </c>
      <c r="C291" s="16" t="s">
        <v>65</v>
      </c>
    </row>
    <row r="292" spans="1:3" x14ac:dyDescent="0.25">
      <c r="A292" s="15">
        <v>49303</v>
      </c>
      <c r="B292" s="5" t="str">
        <f t="shared" si="4"/>
        <v>Lunes</v>
      </c>
      <c r="C292" s="16" t="s">
        <v>66</v>
      </c>
    </row>
    <row r="293" spans="1:3" x14ac:dyDescent="0.25">
      <c r="A293" s="15">
        <v>49310</v>
      </c>
      <c r="B293" s="5" t="str">
        <f t="shared" si="4"/>
        <v>Lunes</v>
      </c>
      <c r="C293" s="16" t="s">
        <v>48</v>
      </c>
    </row>
    <row r="294" spans="1:3" x14ac:dyDescent="0.25">
      <c r="A294" s="15">
        <v>49317</v>
      </c>
      <c r="B294" s="5" t="str">
        <f t="shared" si="4"/>
        <v>Lunes</v>
      </c>
      <c r="C294" s="16" t="s">
        <v>49</v>
      </c>
    </row>
    <row r="295" spans="1:3" x14ac:dyDescent="0.25">
      <c r="A295" s="15">
        <v>49387</v>
      </c>
      <c r="B295" s="5" t="str">
        <f t="shared" si="4"/>
        <v>Lunes</v>
      </c>
      <c r="C295" s="16" t="s">
        <v>50</v>
      </c>
    </row>
    <row r="296" spans="1:3" x14ac:dyDescent="0.25">
      <c r="A296" s="15">
        <v>49390</v>
      </c>
      <c r="B296" s="5" t="str">
        <f t="shared" si="4"/>
        <v>Jueves</v>
      </c>
      <c r="C296" s="16" t="s">
        <v>51</v>
      </c>
    </row>
    <row r="297" spans="1:3" x14ac:dyDescent="0.25">
      <c r="A297" s="15">
        <v>49391</v>
      </c>
      <c r="B297" s="5" t="str">
        <f t="shared" si="4"/>
        <v>Viernes</v>
      </c>
      <c r="C297" s="16" t="s">
        <v>52</v>
      </c>
    </row>
    <row r="298" spans="1:3" x14ac:dyDescent="0.25">
      <c r="A298" s="15">
        <v>49419</v>
      </c>
      <c r="B298" s="5" t="str">
        <f t="shared" si="4"/>
        <v>Viernes</v>
      </c>
      <c r="C298" s="16" t="s">
        <v>53</v>
      </c>
    </row>
    <row r="299" spans="1:3" x14ac:dyDescent="0.25">
      <c r="A299" s="15">
        <v>49430</v>
      </c>
      <c r="B299" s="5" t="str">
        <f t="shared" si="4"/>
        <v>Martes</v>
      </c>
      <c r="C299" s="16" t="s">
        <v>54</v>
      </c>
    </row>
    <row r="300" spans="1:3" x14ac:dyDescent="0.25">
      <c r="A300" s="15">
        <v>49436</v>
      </c>
      <c r="B300" s="5" t="str">
        <f t="shared" si="4"/>
        <v>Lunes</v>
      </c>
      <c r="C300" s="16" t="s">
        <v>55</v>
      </c>
    </row>
    <row r="301" spans="1:3" x14ac:dyDescent="0.25">
      <c r="A301" s="15">
        <v>49457</v>
      </c>
      <c r="B301" s="5" t="str">
        <f t="shared" si="4"/>
        <v>Lunes</v>
      </c>
      <c r="C301" s="16" t="s">
        <v>56</v>
      </c>
    </row>
    <row r="302" spans="1:3" x14ac:dyDescent="0.25">
      <c r="A302" s="15">
        <v>49464</v>
      </c>
      <c r="B302" s="5" t="str">
        <f t="shared" si="4"/>
        <v>Lunes</v>
      </c>
      <c r="C302" s="16" t="s">
        <v>57</v>
      </c>
    </row>
    <row r="303" spans="1:3" x14ac:dyDescent="0.25">
      <c r="A303" s="15">
        <v>49492</v>
      </c>
      <c r="B303" s="5" t="str">
        <f t="shared" si="4"/>
        <v>Lunes</v>
      </c>
      <c r="C303" s="16" t="s">
        <v>58</v>
      </c>
    </row>
    <row r="304" spans="1:3" x14ac:dyDescent="0.25">
      <c r="A304" s="15">
        <v>49499</v>
      </c>
      <c r="B304" s="5" t="str">
        <f t="shared" si="4"/>
        <v>Lunes</v>
      </c>
      <c r="C304" s="16" t="s">
        <v>68</v>
      </c>
    </row>
    <row r="305" spans="1:3" x14ac:dyDescent="0.25">
      <c r="A305" s="15">
        <v>49510</v>
      </c>
      <c r="B305" s="5" t="str">
        <f t="shared" si="4"/>
        <v>Viernes</v>
      </c>
      <c r="C305" s="16" t="s">
        <v>59</v>
      </c>
    </row>
    <row r="306" spans="1:3" x14ac:dyDescent="0.25">
      <c r="A306" s="15">
        <v>49528</v>
      </c>
      <c r="B306" s="5" t="str">
        <f t="shared" si="4"/>
        <v>Martes</v>
      </c>
      <c r="C306" s="16" t="s">
        <v>60</v>
      </c>
    </row>
    <row r="307" spans="1:3" x14ac:dyDescent="0.25">
      <c r="A307" s="15">
        <v>49541</v>
      </c>
      <c r="B307" s="5" t="str">
        <f t="shared" si="4"/>
        <v>Lunes</v>
      </c>
      <c r="C307" s="16" t="s">
        <v>61</v>
      </c>
    </row>
    <row r="308" spans="1:3" x14ac:dyDescent="0.25">
      <c r="A308" s="15">
        <v>49597</v>
      </c>
      <c r="B308" s="5" t="str">
        <f t="shared" si="4"/>
        <v>Lunes</v>
      </c>
      <c r="C308" s="16" t="s">
        <v>62</v>
      </c>
    </row>
    <row r="309" spans="1:3" x14ac:dyDescent="0.25">
      <c r="A309" s="15">
        <v>49618</v>
      </c>
      <c r="B309" s="5" t="str">
        <f t="shared" si="4"/>
        <v>Lunes</v>
      </c>
      <c r="C309" s="16" t="s">
        <v>63</v>
      </c>
    </row>
    <row r="310" spans="1:3" x14ac:dyDescent="0.25">
      <c r="A310" s="15">
        <v>49625</v>
      </c>
      <c r="B310" s="5" t="str">
        <f t="shared" si="4"/>
        <v>Lunes</v>
      </c>
      <c r="C310" s="16" t="s">
        <v>64</v>
      </c>
    </row>
    <row r="311" spans="1:3" x14ac:dyDescent="0.25">
      <c r="A311" s="15">
        <v>49651</v>
      </c>
      <c r="B311" s="5" t="str">
        <f t="shared" si="4"/>
        <v>Sábado</v>
      </c>
      <c r="C311" s="16" t="s">
        <v>65</v>
      </c>
    </row>
    <row r="312" spans="1:3" x14ac:dyDescent="0.25">
      <c r="A312" s="15">
        <v>49668</v>
      </c>
      <c r="B312" s="5" t="str">
        <f t="shared" si="4"/>
        <v>Martes</v>
      </c>
      <c r="C312" s="16" t="s">
        <v>66</v>
      </c>
    </row>
    <row r="313" spans="1:3" x14ac:dyDescent="0.25">
      <c r="A313" s="15">
        <v>49675</v>
      </c>
      <c r="B313" s="5" t="str">
        <f t="shared" si="4"/>
        <v>Martes</v>
      </c>
      <c r="C313" s="16" t="s">
        <v>48</v>
      </c>
    </row>
    <row r="314" spans="1:3" x14ac:dyDescent="0.25">
      <c r="A314" s="15">
        <v>49681</v>
      </c>
      <c r="B314" s="5" t="str">
        <f t="shared" si="4"/>
        <v>Lunes</v>
      </c>
      <c r="C314" s="16" t="s">
        <v>49</v>
      </c>
    </row>
    <row r="315" spans="1:3" x14ac:dyDescent="0.25">
      <c r="A315" s="15">
        <v>49758</v>
      </c>
      <c r="B315" s="5" t="str">
        <f t="shared" si="4"/>
        <v>Lunes</v>
      </c>
      <c r="C315" s="16" t="s">
        <v>50</v>
      </c>
    </row>
    <row r="316" spans="1:3" x14ac:dyDescent="0.25">
      <c r="A316" s="15">
        <v>49775</v>
      </c>
      <c r="B316" s="5" t="str">
        <f t="shared" si="4"/>
        <v>Jueves</v>
      </c>
      <c r="C316" s="16" t="s">
        <v>51</v>
      </c>
    </row>
    <row r="317" spans="1:3" x14ac:dyDescent="0.25">
      <c r="A317" s="15">
        <v>49776</v>
      </c>
      <c r="B317" s="5" t="str">
        <f t="shared" si="4"/>
        <v>Viernes</v>
      </c>
      <c r="C317" s="16" t="s">
        <v>52</v>
      </c>
    </row>
    <row r="318" spans="1:3" x14ac:dyDescent="0.25">
      <c r="A318" s="15">
        <v>49783</v>
      </c>
      <c r="B318" s="5" t="str">
        <f t="shared" si="4"/>
        <v>Viernes</v>
      </c>
      <c r="C318" s="16" t="s">
        <v>53</v>
      </c>
    </row>
    <row r="319" spans="1:3" x14ac:dyDescent="0.25">
      <c r="A319" s="15">
        <v>49796</v>
      </c>
      <c r="B319" s="5" t="str">
        <f t="shared" si="4"/>
        <v>Jueves</v>
      </c>
      <c r="C319" s="16" t="s">
        <v>54</v>
      </c>
    </row>
    <row r="320" spans="1:3" x14ac:dyDescent="0.25">
      <c r="A320" s="15">
        <v>49821</v>
      </c>
      <c r="B320" s="5" t="str">
        <f t="shared" si="4"/>
        <v>Lunes</v>
      </c>
      <c r="C320" s="16" t="s">
        <v>55</v>
      </c>
    </row>
    <row r="321" spans="1:3" x14ac:dyDescent="0.25">
      <c r="A321" s="15">
        <v>49842</v>
      </c>
      <c r="B321" s="5" t="str">
        <f t="shared" si="4"/>
        <v>Lunes</v>
      </c>
      <c r="C321" s="16" t="s">
        <v>56</v>
      </c>
    </row>
    <row r="322" spans="1:3" x14ac:dyDescent="0.25">
      <c r="A322" s="15">
        <v>49849</v>
      </c>
      <c r="B322" s="5" t="str">
        <f t="shared" si="4"/>
        <v>Lunes</v>
      </c>
      <c r="C322" s="16" t="s">
        <v>57</v>
      </c>
    </row>
    <row r="323" spans="1:3" x14ac:dyDescent="0.25">
      <c r="A323" s="15">
        <v>49856</v>
      </c>
      <c r="B323" s="5" t="str">
        <f t="shared" si="4"/>
        <v>Lunes</v>
      </c>
      <c r="C323" s="16" t="s">
        <v>58</v>
      </c>
    </row>
    <row r="324" spans="1:3" x14ac:dyDescent="0.25">
      <c r="A324" s="15">
        <v>49870</v>
      </c>
      <c r="B324" s="5" t="str">
        <f t="shared" si="4"/>
        <v>Lunes</v>
      </c>
      <c r="C324" s="16" t="s">
        <v>68</v>
      </c>
    </row>
    <row r="325" spans="1:3" x14ac:dyDescent="0.25">
      <c r="A325" s="15">
        <v>49876</v>
      </c>
      <c r="B325" s="5" t="str">
        <f t="shared" ref="B325:B388" si="5">IF(A325="","",CHOOSE(WEEKDAY(A325,2),"Lunes","Martes","Miércoles","Jueves","Viernes","Sábado","Domingo"))</f>
        <v>Domingo</v>
      </c>
      <c r="C325" s="16" t="s">
        <v>59</v>
      </c>
    </row>
    <row r="326" spans="1:3" x14ac:dyDescent="0.25">
      <c r="A326" s="15">
        <v>49894</v>
      </c>
      <c r="B326" s="5" t="str">
        <f t="shared" si="5"/>
        <v>Jueves</v>
      </c>
      <c r="C326" s="16" t="s">
        <v>60</v>
      </c>
    </row>
    <row r="327" spans="1:3" x14ac:dyDescent="0.25">
      <c r="A327" s="15">
        <v>49905</v>
      </c>
      <c r="B327" s="5" t="str">
        <f t="shared" si="5"/>
        <v>Lunes</v>
      </c>
      <c r="C327" s="16" t="s">
        <v>61</v>
      </c>
    </row>
    <row r="328" spans="1:3" x14ac:dyDescent="0.25">
      <c r="A328" s="15">
        <v>49961</v>
      </c>
      <c r="B328" s="5" t="str">
        <f t="shared" si="5"/>
        <v>Lunes</v>
      </c>
      <c r="C328" s="16" t="s">
        <v>62</v>
      </c>
    </row>
    <row r="329" spans="1:3" x14ac:dyDescent="0.25">
      <c r="A329" s="15">
        <v>49982</v>
      </c>
      <c r="B329" s="5" t="str">
        <f t="shared" si="5"/>
        <v>Lunes</v>
      </c>
      <c r="C329" s="16" t="s">
        <v>63</v>
      </c>
    </row>
    <row r="330" spans="1:3" x14ac:dyDescent="0.25">
      <c r="A330" s="15">
        <v>49996</v>
      </c>
      <c r="B330" s="5" t="str">
        <f t="shared" si="5"/>
        <v>Lunes</v>
      </c>
      <c r="C330" s="16" t="s">
        <v>64</v>
      </c>
    </row>
    <row r="331" spans="1:3" x14ac:dyDescent="0.25">
      <c r="A331" s="15">
        <v>50017</v>
      </c>
      <c r="B331" s="5" t="str">
        <f t="shared" si="5"/>
        <v>Lunes</v>
      </c>
      <c r="C331" s="16" t="s">
        <v>65</v>
      </c>
    </row>
    <row r="332" spans="1:3" x14ac:dyDescent="0.25">
      <c r="A332" s="15">
        <v>50034</v>
      </c>
      <c r="B332" s="5" t="str">
        <f t="shared" si="5"/>
        <v>Jueves</v>
      </c>
      <c r="C332" s="16" t="s">
        <v>66</v>
      </c>
    </row>
    <row r="333" spans="1:3" x14ac:dyDescent="0.25">
      <c r="A333" s="15">
        <v>50041</v>
      </c>
      <c r="B333" s="5" t="str">
        <f t="shared" si="5"/>
        <v>Jueves</v>
      </c>
      <c r="C333" s="16" t="s">
        <v>48</v>
      </c>
    </row>
    <row r="334" spans="1:3" x14ac:dyDescent="0.25">
      <c r="A334" s="15">
        <v>50052</v>
      </c>
      <c r="B334" s="5" t="str">
        <f t="shared" si="5"/>
        <v>Lunes</v>
      </c>
      <c r="C334" s="16" t="s">
        <v>49</v>
      </c>
    </row>
    <row r="335" spans="1:3" x14ac:dyDescent="0.25">
      <c r="A335" s="15">
        <v>50122</v>
      </c>
      <c r="B335" s="5" t="str">
        <f t="shared" si="5"/>
        <v>Lunes</v>
      </c>
      <c r="C335" s="16" t="s">
        <v>50</v>
      </c>
    </row>
    <row r="336" spans="1:3" x14ac:dyDescent="0.25">
      <c r="A336" s="15">
        <v>50132</v>
      </c>
      <c r="B336" s="5" t="str">
        <f t="shared" si="5"/>
        <v>Jueves</v>
      </c>
      <c r="C336" s="16" t="s">
        <v>51</v>
      </c>
    </row>
    <row r="337" spans="1:3" x14ac:dyDescent="0.25">
      <c r="A337" s="15">
        <v>50133</v>
      </c>
      <c r="B337" s="5" t="str">
        <f t="shared" si="5"/>
        <v>Viernes</v>
      </c>
      <c r="C337" s="16" t="s">
        <v>52</v>
      </c>
    </row>
    <row r="338" spans="1:3" x14ac:dyDescent="0.25">
      <c r="A338" s="15">
        <v>50147</v>
      </c>
      <c r="B338" s="5" t="str">
        <f t="shared" si="5"/>
        <v>Viernes</v>
      </c>
      <c r="C338" s="16" t="s">
        <v>53</v>
      </c>
    </row>
    <row r="339" spans="1:3" x14ac:dyDescent="0.25">
      <c r="A339" s="15">
        <v>50161</v>
      </c>
      <c r="B339" s="5" t="str">
        <f t="shared" si="5"/>
        <v>Viernes</v>
      </c>
      <c r="C339" s="16" t="s">
        <v>54</v>
      </c>
    </row>
    <row r="340" spans="1:3" x14ac:dyDescent="0.25">
      <c r="A340" s="15">
        <v>50178</v>
      </c>
      <c r="B340" s="5" t="str">
        <f t="shared" si="5"/>
        <v>Lunes</v>
      </c>
      <c r="C340" s="16" t="s">
        <v>55</v>
      </c>
    </row>
    <row r="341" spans="1:3" x14ac:dyDescent="0.25">
      <c r="A341" s="15">
        <v>50199</v>
      </c>
      <c r="B341" s="5" t="str">
        <f t="shared" si="5"/>
        <v>Lunes</v>
      </c>
      <c r="C341" s="16" t="s">
        <v>56</v>
      </c>
    </row>
    <row r="342" spans="1:3" x14ac:dyDescent="0.25">
      <c r="A342" s="15">
        <v>50206</v>
      </c>
      <c r="B342" s="5" t="str">
        <f t="shared" si="5"/>
        <v>Lunes</v>
      </c>
      <c r="C342" s="16" t="s">
        <v>57</v>
      </c>
    </row>
    <row r="343" spans="1:3" x14ac:dyDescent="0.25">
      <c r="A343" s="15">
        <v>50220</v>
      </c>
      <c r="B343" s="5" t="str">
        <f t="shared" si="5"/>
        <v>Lunes</v>
      </c>
      <c r="C343" s="16" t="s">
        <v>58</v>
      </c>
    </row>
    <row r="344" spans="1:3" x14ac:dyDescent="0.25">
      <c r="A344" s="15">
        <v>50234</v>
      </c>
      <c r="B344" s="5" t="str">
        <f t="shared" si="5"/>
        <v>Lunes</v>
      </c>
      <c r="C344" s="16" t="s">
        <v>68</v>
      </c>
    </row>
    <row r="345" spans="1:3" x14ac:dyDescent="0.25">
      <c r="A345" s="15">
        <v>50241</v>
      </c>
      <c r="B345" s="5" t="str">
        <f t="shared" si="5"/>
        <v>Lunes</v>
      </c>
      <c r="C345" s="16" t="s">
        <v>59</v>
      </c>
    </row>
    <row r="346" spans="1:3" x14ac:dyDescent="0.25">
      <c r="A346" s="15">
        <v>50259</v>
      </c>
      <c r="B346" s="5" t="str">
        <f t="shared" si="5"/>
        <v>Viernes</v>
      </c>
      <c r="C346" s="16" t="s">
        <v>60</v>
      </c>
    </row>
    <row r="347" spans="1:3" x14ac:dyDescent="0.25">
      <c r="A347" s="15">
        <v>50269</v>
      </c>
      <c r="B347" s="5" t="str">
        <f t="shared" si="5"/>
        <v>Lunes</v>
      </c>
      <c r="C347" s="16" t="s">
        <v>61</v>
      </c>
    </row>
    <row r="348" spans="1:3" x14ac:dyDescent="0.25">
      <c r="A348" s="15">
        <v>50325</v>
      </c>
      <c r="B348" s="5" t="str">
        <f t="shared" si="5"/>
        <v>Lunes</v>
      </c>
      <c r="C348" s="16" t="s">
        <v>62</v>
      </c>
    </row>
    <row r="349" spans="1:3" x14ac:dyDescent="0.25">
      <c r="A349" s="15">
        <v>50346</v>
      </c>
      <c r="B349" s="5" t="str">
        <f t="shared" si="5"/>
        <v>Lunes</v>
      </c>
      <c r="C349" s="16" t="s">
        <v>63</v>
      </c>
    </row>
    <row r="350" spans="1:3" x14ac:dyDescent="0.25">
      <c r="A350" s="15">
        <v>50360</v>
      </c>
      <c r="B350" s="5" t="str">
        <f t="shared" si="5"/>
        <v>Lunes</v>
      </c>
      <c r="C350" s="16" t="s">
        <v>64</v>
      </c>
    </row>
    <row r="351" spans="1:3" x14ac:dyDescent="0.25">
      <c r="A351" s="15">
        <v>50382</v>
      </c>
      <c r="B351" s="5" t="str">
        <f t="shared" si="5"/>
        <v>Martes</v>
      </c>
      <c r="C351" s="16" t="s">
        <v>65</v>
      </c>
    </row>
    <row r="352" spans="1:3" x14ac:dyDescent="0.25">
      <c r="A352" s="15">
        <v>50399</v>
      </c>
      <c r="B352" s="5" t="str">
        <f t="shared" si="5"/>
        <v>Viernes</v>
      </c>
      <c r="C352" s="16" t="s">
        <v>66</v>
      </c>
    </row>
    <row r="353" spans="1:3" x14ac:dyDescent="0.25">
      <c r="A353" s="15">
        <v>50406</v>
      </c>
      <c r="B353" s="5" t="str">
        <f t="shared" si="5"/>
        <v>Viernes</v>
      </c>
      <c r="C353" s="16" t="s">
        <v>48</v>
      </c>
    </row>
    <row r="354" spans="1:3" x14ac:dyDescent="0.25">
      <c r="A354" s="15">
        <v>50416</v>
      </c>
      <c r="B354" s="5" t="str">
        <f t="shared" si="5"/>
        <v>Lunes</v>
      </c>
      <c r="C354" s="16" t="s">
        <v>49</v>
      </c>
    </row>
    <row r="355" spans="1:3" x14ac:dyDescent="0.25">
      <c r="A355" s="15">
        <v>50486</v>
      </c>
      <c r="B355" s="5" t="str">
        <f t="shared" si="5"/>
        <v>Lunes</v>
      </c>
      <c r="C355" s="16" t="s">
        <v>50</v>
      </c>
    </row>
    <row r="356" spans="1:3" x14ac:dyDescent="0.25">
      <c r="A356" s="15">
        <v>50511</v>
      </c>
      <c r="B356" s="5" t="str">
        <f t="shared" si="5"/>
        <v>Viernes</v>
      </c>
      <c r="C356" s="16" t="s">
        <v>53</v>
      </c>
    </row>
    <row r="357" spans="1:3" x14ac:dyDescent="0.25">
      <c r="A357" s="15">
        <v>50517</v>
      </c>
      <c r="B357" s="5" t="str">
        <f t="shared" si="5"/>
        <v>Jueves</v>
      </c>
      <c r="C357" s="16" t="s">
        <v>51</v>
      </c>
    </row>
    <row r="358" spans="1:3" x14ac:dyDescent="0.25">
      <c r="A358" s="15">
        <v>50518</v>
      </c>
      <c r="B358" s="5" t="str">
        <f t="shared" si="5"/>
        <v>Viernes</v>
      </c>
      <c r="C358" s="16" t="s">
        <v>52</v>
      </c>
    </row>
    <row r="359" spans="1:3" x14ac:dyDescent="0.25">
      <c r="A359" s="15">
        <v>50526</v>
      </c>
      <c r="B359" s="5" t="str">
        <f t="shared" si="5"/>
        <v>Sábado</v>
      </c>
      <c r="C359" s="16" t="s">
        <v>54</v>
      </c>
    </row>
    <row r="360" spans="1:3" x14ac:dyDescent="0.25">
      <c r="A360" s="15">
        <v>50563</v>
      </c>
      <c r="B360" s="5" t="str">
        <f t="shared" si="5"/>
        <v>Lunes</v>
      </c>
      <c r="C360" s="16" t="s">
        <v>55</v>
      </c>
    </row>
    <row r="361" spans="1:3" x14ac:dyDescent="0.25">
      <c r="A361" s="15">
        <v>50584</v>
      </c>
      <c r="B361" s="5" t="str">
        <f t="shared" si="5"/>
        <v>Lunes</v>
      </c>
      <c r="C361" s="16" t="s">
        <v>56</v>
      </c>
    </row>
    <row r="362" spans="1:3" x14ac:dyDescent="0.25">
      <c r="A362" s="15">
        <v>50591</v>
      </c>
      <c r="B362" s="5" t="str">
        <f t="shared" si="5"/>
        <v>Lunes</v>
      </c>
      <c r="C362" s="16" t="s">
        <v>67</v>
      </c>
    </row>
    <row r="363" spans="1:3" x14ac:dyDescent="0.25">
      <c r="A363" s="15">
        <v>50598</v>
      </c>
      <c r="B363" s="5" t="str">
        <f t="shared" si="5"/>
        <v>Lunes</v>
      </c>
      <c r="C363" s="16" t="s">
        <v>68</v>
      </c>
    </row>
    <row r="364" spans="1:3" x14ac:dyDescent="0.25">
      <c r="A364" s="15">
        <v>50606</v>
      </c>
      <c r="B364" s="5" t="str">
        <f t="shared" si="5"/>
        <v>Martes</v>
      </c>
      <c r="C364" s="16" t="s">
        <v>59</v>
      </c>
    </row>
    <row r="365" spans="1:3" x14ac:dyDescent="0.25">
      <c r="A365" s="15">
        <v>50624</v>
      </c>
      <c r="B365" s="5" t="str">
        <f t="shared" si="5"/>
        <v>Sábado</v>
      </c>
      <c r="C365" s="16" t="s">
        <v>60</v>
      </c>
    </row>
    <row r="366" spans="1:3" x14ac:dyDescent="0.25">
      <c r="A366" s="15">
        <v>50633</v>
      </c>
      <c r="B366" s="5" t="str">
        <f t="shared" si="5"/>
        <v>Lunes</v>
      </c>
      <c r="C366" s="16" t="s">
        <v>61</v>
      </c>
    </row>
    <row r="367" spans="1:3" x14ac:dyDescent="0.25">
      <c r="A367" s="15">
        <v>50696</v>
      </c>
      <c r="B367" s="5" t="str">
        <f t="shared" si="5"/>
        <v>Lunes</v>
      </c>
      <c r="C367" s="16" t="s">
        <v>62</v>
      </c>
    </row>
    <row r="368" spans="1:3" x14ac:dyDescent="0.25">
      <c r="A368" s="15">
        <v>50710</v>
      </c>
      <c r="B368" s="5" t="str">
        <f t="shared" si="5"/>
        <v>Lunes</v>
      </c>
      <c r="C368" s="16" t="s">
        <v>63</v>
      </c>
    </row>
    <row r="369" spans="1:3" x14ac:dyDescent="0.25">
      <c r="A369" s="15">
        <v>50724</v>
      </c>
      <c r="B369" s="5" t="str">
        <f t="shared" si="5"/>
        <v>Lunes</v>
      </c>
      <c r="C369" s="16" t="s">
        <v>64</v>
      </c>
    </row>
    <row r="370" spans="1:3" x14ac:dyDescent="0.25">
      <c r="A370" s="15">
        <v>50747</v>
      </c>
      <c r="B370" s="5" t="str">
        <f t="shared" si="5"/>
        <v>Miércoles</v>
      </c>
      <c r="C370" s="16" t="s">
        <v>65</v>
      </c>
    </row>
    <row r="371" spans="1:3" x14ac:dyDescent="0.25">
      <c r="A371" s="15">
        <v>50764</v>
      </c>
      <c r="B371" s="5" t="str">
        <f t="shared" si="5"/>
        <v>Sábado</v>
      </c>
      <c r="C371" s="16" t="s">
        <v>66</v>
      </c>
    </row>
    <row r="372" spans="1:3" x14ac:dyDescent="0.25">
      <c r="A372" s="15">
        <v>50771</v>
      </c>
      <c r="B372" s="5" t="str">
        <f t="shared" si="5"/>
        <v>Sábado</v>
      </c>
      <c r="C372" s="16" t="s">
        <v>48</v>
      </c>
    </row>
    <row r="373" spans="1:3" x14ac:dyDescent="0.25">
      <c r="A373" s="15">
        <v>50780</v>
      </c>
      <c r="B373" s="5" t="str">
        <f t="shared" si="5"/>
        <v>Lunes</v>
      </c>
      <c r="C373" s="16" t="s">
        <v>49</v>
      </c>
    </row>
    <row r="374" spans="1:3" x14ac:dyDescent="0.25">
      <c r="A374" s="15">
        <v>50850</v>
      </c>
      <c r="B374" s="5" t="str">
        <f t="shared" si="5"/>
        <v>Lunes</v>
      </c>
      <c r="C374" s="16" t="s">
        <v>50</v>
      </c>
    </row>
    <row r="375" spans="1:3" x14ac:dyDescent="0.25">
      <c r="A375" s="15">
        <v>50867</v>
      </c>
      <c r="B375" s="5" t="str">
        <f t="shared" si="5"/>
        <v>Jueves</v>
      </c>
      <c r="C375" s="16" t="s">
        <v>51</v>
      </c>
    </row>
    <row r="376" spans="1:3" x14ac:dyDescent="0.25">
      <c r="A376" s="15">
        <v>50868</v>
      </c>
      <c r="B376" s="5" t="str">
        <f t="shared" si="5"/>
        <v>Viernes</v>
      </c>
      <c r="C376" s="16" t="s">
        <v>52</v>
      </c>
    </row>
    <row r="377" spans="1:3" x14ac:dyDescent="0.25">
      <c r="A377" s="15">
        <v>50875</v>
      </c>
      <c r="B377" s="5" t="str">
        <f t="shared" si="5"/>
        <v>Viernes</v>
      </c>
      <c r="C377" s="16" t="s">
        <v>53</v>
      </c>
    </row>
    <row r="378" spans="1:3" x14ac:dyDescent="0.25">
      <c r="A378" s="15">
        <v>50891</v>
      </c>
      <c r="B378" s="5" t="str">
        <f t="shared" si="5"/>
        <v>Domingo</v>
      </c>
      <c r="C378" s="16" t="s">
        <v>54</v>
      </c>
    </row>
    <row r="379" spans="1:3" x14ac:dyDescent="0.25">
      <c r="A379" s="15">
        <v>50913</v>
      </c>
      <c r="B379" s="5" t="str">
        <f t="shared" si="5"/>
        <v>Lunes</v>
      </c>
      <c r="C379" s="16" t="s">
        <v>55</v>
      </c>
    </row>
    <row r="380" spans="1:3" x14ac:dyDescent="0.25">
      <c r="A380" s="15">
        <v>50934</v>
      </c>
      <c r="B380" s="5" t="str">
        <f t="shared" si="5"/>
        <v>Lunes</v>
      </c>
      <c r="C380" s="16" t="s">
        <v>56</v>
      </c>
    </row>
    <row r="381" spans="1:3" x14ac:dyDescent="0.25">
      <c r="A381" s="15">
        <v>50941</v>
      </c>
      <c r="B381" s="5" t="str">
        <f t="shared" si="5"/>
        <v>Lunes</v>
      </c>
      <c r="C381" s="16" t="s">
        <v>57</v>
      </c>
    </row>
    <row r="382" spans="1:3" x14ac:dyDescent="0.25">
      <c r="A382" s="15">
        <v>50955</v>
      </c>
      <c r="B382" s="5" t="str">
        <f t="shared" si="5"/>
        <v>Lunes</v>
      </c>
      <c r="C382" s="16" t="s">
        <v>58</v>
      </c>
    </row>
    <row r="383" spans="1:3" x14ac:dyDescent="0.25">
      <c r="A383" s="15">
        <v>50962</v>
      </c>
      <c r="B383" s="5" t="str">
        <f t="shared" si="5"/>
        <v>Lunes</v>
      </c>
      <c r="C383" s="16" t="s">
        <v>68</v>
      </c>
    </row>
    <row r="384" spans="1:3" x14ac:dyDescent="0.25">
      <c r="A384" s="15">
        <v>50971</v>
      </c>
      <c r="B384" s="5" t="str">
        <f t="shared" si="5"/>
        <v>Miércoles</v>
      </c>
      <c r="C384" s="16" t="s">
        <v>59</v>
      </c>
    </row>
    <row r="385" spans="1:3" x14ac:dyDescent="0.25">
      <c r="A385" s="15">
        <v>50989</v>
      </c>
      <c r="B385" s="5" t="str">
        <f t="shared" si="5"/>
        <v>Domingo</v>
      </c>
      <c r="C385" s="16" t="s">
        <v>60</v>
      </c>
    </row>
    <row r="386" spans="1:3" x14ac:dyDescent="0.25">
      <c r="A386" s="15">
        <v>50997</v>
      </c>
      <c r="B386" s="5" t="str">
        <f t="shared" si="5"/>
        <v>Lunes</v>
      </c>
      <c r="C386" s="16" t="s">
        <v>61</v>
      </c>
    </row>
    <row r="387" spans="1:3" x14ac:dyDescent="0.25">
      <c r="A387" s="15">
        <v>51060</v>
      </c>
      <c r="B387" s="5" t="str">
        <f t="shared" si="5"/>
        <v>Lunes</v>
      </c>
      <c r="C387" s="16" t="s">
        <v>62</v>
      </c>
    </row>
    <row r="388" spans="1:3" x14ac:dyDescent="0.25">
      <c r="A388" s="15">
        <v>51081</v>
      </c>
      <c r="B388" s="5" t="str">
        <f t="shared" si="5"/>
        <v>Lunes</v>
      </c>
      <c r="C388" s="16" t="s">
        <v>63</v>
      </c>
    </row>
    <row r="389" spans="1:3" x14ac:dyDescent="0.25">
      <c r="A389" s="15">
        <v>51088</v>
      </c>
      <c r="B389" s="5" t="str">
        <f t="shared" ref="B389:B452" si="6">IF(A389="","",CHOOSE(WEEKDAY(A389,2),"Lunes","Martes","Miércoles","Jueves","Viernes","Sábado","Domingo"))</f>
        <v>Lunes</v>
      </c>
      <c r="C389" s="16" t="s">
        <v>64</v>
      </c>
    </row>
    <row r="390" spans="1:3" x14ac:dyDescent="0.25">
      <c r="A390" s="15">
        <v>51112</v>
      </c>
      <c r="B390" s="5" t="str">
        <f t="shared" si="6"/>
        <v>Jueves</v>
      </c>
      <c r="C390" s="16" t="s">
        <v>65</v>
      </c>
    </row>
    <row r="391" spans="1:3" x14ac:dyDescent="0.25">
      <c r="A391" s="15">
        <v>51129</v>
      </c>
      <c r="B391" s="5" t="str">
        <f t="shared" si="6"/>
        <v>Domingo</v>
      </c>
      <c r="C391" s="16" t="s">
        <v>66</v>
      </c>
    </row>
    <row r="392" spans="1:3" x14ac:dyDescent="0.25">
      <c r="A392" s="15">
        <v>51136</v>
      </c>
      <c r="B392" s="5" t="str">
        <f t="shared" si="6"/>
        <v>Domingo</v>
      </c>
      <c r="C392" s="16" t="s">
        <v>48</v>
      </c>
    </row>
    <row r="393" spans="1:3" x14ac:dyDescent="0.25">
      <c r="A393" s="15">
        <v>51144</v>
      </c>
      <c r="B393" s="5" t="str">
        <f t="shared" si="6"/>
        <v>Lunes</v>
      </c>
      <c r="C393" s="16" t="s">
        <v>49</v>
      </c>
    </row>
    <row r="394" spans="1:3" x14ac:dyDescent="0.25">
      <c r="A394" s="15">
        <v>51214</v>
      </c>
      <c r="B394" s="5" t="str">
        <f t="shared" si="6"/>
        <v>Lunes</v>
      </c>
      <c r="C394" s="16" t="s">
        <v>50</v>
      </c>
    </row>
    <row r="395" spans="1:3" x14ac:dyDescent="0.25">
      <c r="A395" s="15">
        <v>51224</v>
      </c>
      <c r="B395" s="5" t="str">
        <f t="shared" si="6"/>
        <v>Jueves</v>
      </c>
      <c r="C395" s="16" t="s">
        <v>51</v>
      </c>
    </row>
    <row r="396" spans="1:3" x14ac:dyDescent="0.25">
      <c r="A396" s="15">
        <v>51225</v>
      </c>
      <c r="B396" s="5" t="str">
        <f t="shared" si="6"/>
        <v>Viernes</v>
      </c>
      <c r="C396" s="16" t="s">
        <v>52</v>
      </c>
    </row>
    <row r="397" spans="1:3" x14ac:dyDescent="0.25">
      <c r="A397" s="15">
        <v>51246</v>
      </c>
      <c r="B397" s="5" t="str">
        <f t="shared" si="6"/>
        <v>Viernes</v>
      </c>
      <c r="C397" s="16" t="s">
        <v>53</v>
      </c>
    </row>
    <row r="398" spans="1:3" x14ac:dyDescent="0.25">
      <c r="A398" s="15">
        <v>51257</v>
      </c>
      <c r="B398" s="5" t="str">
        <f t="shared" si="6"/>
        <v>Martes</v>
      </c>
      <c r="C398" s="16" t="s">
        <v>54</v>
      </c>
    </row>
    <row r="399" spans="1:3" x14ac:dyDescent="0.25">
      <c r="A399" s="15">
        <v>51270</v>
      </c>
      <c r="B399" s="5" t="str">
        <f t="shared" si="6"/>
        <v>Lunes</v>
      </c>
      <c r="C399" s="16" t="s">
        <v>55</v>
      </c>
    </row>
    <row r="400" spans="1:3" x14ac:dyDescent="0.25">
      <c r="A400" s="15">
        <v>51291</v>
      </c>
      <c r="B400" s="5" t="str">
        <f t="shared" si="6"/>
        <v>Lunes</v>
      </c>
      <c r="C400" s="16" t="s">
        <v>56</v>
      </c>
    </row>
    <row r="401" spans="1:3" x14ac:dyDescent="0.25">
      <c r="A401" s="15">
        <v>51298</v>
      </c>
      <c r="B401" s="5" t="str">
        <f t="shared" si="6"/>
        <v>Lunes</v>
      </c>
      <c r="C401" s="16" t="s">
        <v>57</v>
      </c>
    </row>
    <row r="402" spans="1:3" x14ac:dyDescent="0.25">
      <c r="A402" s="15">
        <v>51319</v>
      </c>
      <c r="B402" s="5" t="str">
        <f t="shared" si="6"/>
        <v>Lunes</v>
      </c>
      <c r="C402" s="16" t="s">
        <v>58</v>
      </c>
    </row>
    <row r="403" spans="1:3" x14ac:dyDescent="0.25">
      <c r="A403" s="15">
        <v>51326</v>
      </c>
      <c r="B403" s="5" t="str">
        <f t="shared" si="6"/>
        <v>Lunes</v>
      </c>
      <c r="C403" s="16" t="s">
        <v>68</v>
      </c>
    </row>
    <row r="404" spans="1:3" x14ac:dyDescent="0.25">
      <c r="A404" s="15">
        <v>51337</v>
      </c>
      <c r="B404" s="5" t="str">
        <f t="shared" si="6"/>
        <v>Viernes</v>
      </c>
      <c r="C404" s="16" t="s">
        <v>59</v>
      </c>
    </row>
    <row r="405" spans="1:3" x14ac:dyDescent="0.25">
      <c r="A405" s="15">
        <v>51355</v>
      </c>
      <c r="B405" s="5" t="str">
        <f t="shared" si="6"/>
        <v>Martes</v>
      </c>
      <c r="C405" s="16" t="s">
        <v>60</v>
      </c>
    </row>
    <row r="406" spans="1:3" x14ac:dyDescent="0.25">
      <c r="A406" s="15">
        <v>51368</v>
      </c>
      <c r="B406" s="5" t="str">
        <f t="shared" si="6"/>
        <v>Lunes</v>
      </c>
      <c r="C406" s="16" t="s">
        <v>61</v>
      </c>
    </row>
    <row r="407" spans="1:3" x14ac:dyDescent="0.25">
      <c r="A407" s="15">
        <v>51424</v>
      </c>
      <c r="B407" s="5" t="str">
        <f t="shared" si="6"/>
        <v>Lunes</v>
      </c>
      <c r="C407" s="16" t="s">
        <v>62</v>
      </c>
    </row>
    <row r="408" spans="1:3" x14ac:dyDescent="0.25">
      <c r="A408" s="15">
        <v>51445</v>
      </c>
      <c r="B408" s="5" t="str">
        <f t="shared" si="6"/>
        <v>Lunes</v>
      </c>
      <c r="C408" s="16" t="s">
        <v>63</v>
      </c>
    </row>
    <row r="409" spans="1:3" x14ac:dyDescent="0.25">
      <c r="A409" s="15">
        <v>51452</v>
      </c>
      <c r="B409" s="5" t="str">
        <f t="shared" si="6"/>
        <v>Lunes</v>
      </c>
      <c r="C409" s="16" t="s">
        <v>64</v>
      </c>
    </row>
    <row r="410" spans="1:3" x14ac:dyDescent="0.25">
      <c r="A410" s="15">
        <v>51478</v>
      </c>
      <c r="B410" s="5" t="str">
        <f t="shared" si="6"/>
        <v>Sábado</v>
      </c>
      <c r="C410" s="16" t="s">
        <v>65</v>
      </c>
    </row>
    <row r="411" spans="1:3" x14ac:dyDescent="0.25">
      <c r="A411" s="15">
        <v>51495</v>
      </c>
      <c r="B411" s="5" t="str">
        <f t="shared" si="6"/>
        <v>Martes</v>
      </c>
      <c r="C411" s="16" t="s">
        <v>66</v>
      </c>
    </row>
    <row r="412" spans="1:3" x14ac:dyDescent="0.25">
      <c r="A412" s="15"/>
      <c r="B412" s="5" t="str">
        <f t="shared" si="6"/>
        <v/>
      </c>
      <c r="C412" s="16"/>
    </row>
    <row r="413" spans="1:3" x14ac:dyDescent="0.25">
      <c r="A413" s="15"/>
      <c r="B413" s="5" t="str">
        <f t="shared" si="6"/>
        <v/>
      </c>
      <c r="C413" s="16"/>
    </row>
    <row r="414" spans="1:3" x14ac:dyDescent="0.25">
      <c r="A414" s="15"/>
      <c r="B414" s="5" t="str">
        <f t="shared" si="6"/>
        <v/>
      </c>
      <c r="C414" s="16"/>
    </row>
    <row r="415" spans="1:3" x14ac:dyDescent="0.25">
      <c r="A415" s="15"/>
      <c r="B415" s="5" t="str">
        <f t="shared" si="6"/>
        <v/>
      </c>
      <c r="C415" s="16"/>
    </row>
    <row r="416" spans="1:3" x14ac:dyDescent="0.25">
      <c r="A416" s="15"/>
      <c r="B416" s="5" t="str">
        <f t="shared" si="6"/>
        <v/>
      </c>
      <c r="C416" s="16"/>
    </row>
    <row r="417" spans="1:3" x14ac:dyDescent="0.25">
      <c r="A417" s="15"/>
      <c r="B417" s="5" t="str">
        <f t="shared" si="6"/>
        <v/>
      </c>
      <c r="C417" s="16"/>
    </row>
    <row r="418" spans="1:3" x14ac:dyDescent="0.25">
      <c r="A418" s="15"/>
      <c r="B418" s="5" t="str">
        <f t="shared" si="6"/>
        <v/>
      </c>
      <c r="C418" s="16"/>
    </row>
    <row r="419" spans="1:3" x14ac:dyDescent="0.25">
      <c r="A419" s="15"/>
      <c r="B419" s="5" t="str">
        <f t="shared" si="6"/>
        <v/>
      </c>
      <c r="C419" s="16"/>
    </row>
    <row r="420" spans="1:3" x14ac:dyDescent="0.25">
      <c r="A420" s="15"/>
      <c r="B420" s="5" t="str">
        <f t="shared" si="6"/>
        <v/>
      </c>
      <c r="C420" s="16"/>
    </row>
    <row r="421" spans="1:3" x14ac:dyDescent="0.25">
      <c r="A421" s="15"/>
      <c r="B421" s="5" t="str">
        <f t="shared" si="6"/>
        <v/>
      </c>
      <c r="C421" s="16"/>
    </row>
    <row r="422" spans="1:3" x14ac:dyDescent="0.25">
      <c r="A422" s="15"/>
      <c r="B422" s="5" t="str">
        <f t="shared" si="6"/>
        <v/>
      </c>
      <c r="C422" s="16"/>
    </row>
    <row r="423" spans="1:3" x14ac:dyDescent="0.25">
      <c r="A423" s="15"/>
      <c r="B423" s="5" t="str">
        <f t="shared" si="6"/>
        <v/>
      </c>
      <c r="C423" s="16"/>
    </row>
    <row r="424" spans="1:3" x14ac:dyDescent="0.25">
      <c r="A424" s="15"/>
      <c r="B424" s="5" t="str">
        <f t="shared" si="6"/>
        <v/>
      </c>
      <c r="C424" s="16"/>
    </row>
    <row r="425" spans="1:3" x14ac:dyDescent="0.25">
      <c r="A425" s="15"/>
      <c r="B425" s="5" t="str">
        <f t="shared" si="6"/>
        <v/>
      </c>
      <c r="C425" s="16"/>
    </row>
    <row r="426" spans="1:3" x14ac:dyDescent="0.25">
      <c r="A426" s="15"/>
      <c r="B426" s="5" t="str">
        <f t="shared" si="6"/>
        <v/>
      </c>
      <c r="C426" s="16"/>
    </row>
    <row r="427" spans="1:3" x14ac:dyDescent="0.25">
      <c r="A427" s="15"/>
      <c r="B427" s="5" t="str">
        <f t="shared" si="6"/>
        <v/>
      </c>
      <c r="C427" s="16"/>
    </row>
    <row r="428" spans="1:3" x14ac:dyDescent="0.25">
      <c r="A428" s="15"/>
      <c r="B428" s="5" t="str">
        <f t="shared" si="6"/>
        <v/>
      </c>
      <c r="C428" s="16"/>
    </row>
    <row r="429" spans="1:3" x14ac:dyDescent="0.25">
      <c r="A429" s="15"/>
      <c r="B429" s="5" t="str">
        <f t="shared" si="6"/>
        <v/>
      </c>
      <c r="C429" s="16"/>
    </row>
    <row r="430" spans="1:3" x14ac:dyDescent="0.25">
      <c r="A430" s="15"/>
      <c r="B430" s="5" t="str">
        <f t="shared" si="6"/>
        <v/>
      </c>
      <c r="C430" s="16"/>
    </row>
    <row r="431" spans="1:3" x14ac:dyDescent="0.25">
      <c r="A431" s="15"/>
      <c r="B431" s="5" t="str">
        <f t="shared" si="6"/>
        <v/>
      </c>
      <c r="C431" s="16"/>
    </row>
    <row r="432" spans="1:3" x14ac:dyDescent="0.25">
      <c r="A432" s="15"/>
      <c r="B432" s="5" t="str">
        <f t="shared" si="6"/>
        <v/>
      </c>
      <c r="C432" s="16"/>
    </row>
    <row r="433" spans="1:3" x14ac:dyDescent="0.25">
      <c r="A433" s="15"/>
      <c r="B433" s="5" t="str">
        <f t="shared" si="6"/>
        <v/>
      </c>
      <c r="C433" s="16"/>
    </row>
    <row r="434" spans="1:3" x14ac:dyDescent="0.25">
      <c r="A434" s="15"/>
      <c r="B434" s="5" t="str">
        <f t="shared" si="6"/>
        <v/>
      </c>
      <c r="C434" s="16"/>
    </row>
    <row r="435" spans="1:3" x14ac:dyDescent="0.25">
      <c r="A435" s="15"/>
      <c r="B435" s="5" t="str">
        <f t="shared" si="6"/>
        <v/>
      </c>
      <c r="C435" s="16"/>
    </row>
    <row r="436" spans="1:3" x14ac:dyDescent="0.25">
      <c r="A436" s="15"/>
      <c r="B436" s="5" t="str">
        <f t="shared" si="6"/>
        <v/>
      </c>
      <c r="C436" s="16"/>
    </row>
    <row r="437" spans="1:3" x14ac:dyDescent="0.25">
      <c r="A437" s="15"/>
      <c r="B437" s="5" t="str">
        <f t="shared" si="6"/>
        <v/>
      </c>
      <c r="C437" s="16"/>
    </row>
    <row r="438" spans="1:3" x14ac:dyDescent="0.25">
      <c r="A438" s="15"/>
      <c r="B438" s="5" t="str">
        <f t="shared" si="6"/>
        <v/>
      </c>
      <c r="C438" s="16"/>
    </row>
    <row r="439" spans="1:3" x14ac:dyDescent="0.25">
      <c r="A439" s="15"/>
      <c r="B439" s="5" t="str">
        <f t="shared" si="6"/>
        <v/>
      </c>
      <c r="C439" s="16"/>
    </row>
    <row r="440" spans="1:3" x14ac:dyDescent="0.25">
      <c r="A440" s="15"/>
      <c r="B440" s="5" t="str">
        <f t="shared" si="6"/>
        <v/>
      </c>
      <c r="C440" s="16"/>
    </row>
    <row r="441" spans="1:3" x14ac:dyDescent="0.25">
      <c r="A441" s="15"/>
      <c r="B441" s="5" t="str">
        <f t="shared" si="6"/>
        <v/>
      </c>
      <c r="C441" s="16"/>
    </row>
    <row r="442" spans="1:3" x14ac:dyDescent="0.25">
      <c r="A442" s="15"/>
      <c r="B442" s="5" t="str">
        <f t="shared" si="6"/>
        <v/>
      </c>
      <c r="C442" s="16"/>
    </row>
    <row r="443" spans="1:3" x14ac:dyDescent="0.25">
      <c r="A443" s="15"/>
      <c r="B443" s="5" t="str">
        <f t="shared" si="6"/>
        <v/>
      </c>
      <c r="C443" s="16"/>
    </row>
    <row r="444" spans="1:3" x14ac:dyDescent="0.25">
      <c r="A444" s="15"/>
      <c r="B444" s="5" t="str">
        <f t="shared" si="6"/>
        <v/>
      </c>
      <c r="C444" s="16"/>
    </row>
    <row r="445" spans="1:3" x14ac:dyDescent="0.25">
      <c r="A445" s="15"/>
      <c r="B445" s="5" t="str">
        <f t="shared" si="6"/>
        <v/>
      </c>
      <c r="C445" s="16"/>
    </row>
    <row r="446" spans="1:3" x14ac:dyDescent="0.25">
      <c r="A446" s="15"/>
      <c r="B446" s="5" t="str">
        <f t="shared" si="6"/>
        <v/>
      </c>
      <c r="C446" s="16"/>
    </row>
    <row r="447" spans="1:3" x14ac:dyDescent="0.25">
      <c r="A447" s="15"/>
      <c r="B447" s="5" t="str">
        <f t="shared" si="6"/>
        <v/>
      </c>
      <c r="C447" s="16"/>
    </row>
    <row r="448" spans="1:3" x14ac:dyDescent="0.25">
      <c r="A448" s="15"/>
      <c r="B448" s="5" t="str">
        <f t="shared" si="6"/>
        <v/>
      </c>
      <c r="C448" s="16"/>
    </row>
    <row r="449" spans="1:3" x14ac:dyDescent="0.25">
      <c r="A449" s="15"/>
      <c r="B449" s="5" t="str">
        <f t="shared" si="6"/>
        <v/>
      </c>
      <c r="C449" s="16"/>
    </row>
    <row r="450" spans="1:3" x14ac:dyDescent="0.25">
      <c r="A450" s="15"/>
      <c r="B450" s="5" t="str">
        <f t="shared" si="6"/>
        <v/>
      </c>
      <c r="C450" s="16"/>
    </row>
    <row r="451" spans="1:3" x14ac:dyDescent="0.25">
      <c r="A451" s="15"/>
      <c r="B451" s="5" t="str">
        <f t="shared" si="6"/>
        <v/>
      </c>
      <c r="C451" s="1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4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14" customWidth="1"/>
    <col min="2" max="2" width="30" customWidth="1"/>
    <col min="3" max="3" width="20" customWidth="1"/>
    <col min="4" max="4" width="16" customWidth="1"/>
    <col min="5" max="5" width="14" customWidth="1"/>
    <col min="6" max="6" width="12" customWidth="1"/>
    <col min="7" max="7" width="16" customWidth="1"/>
  </cols>
  <sheetData>
    <row r="1" spans="1:7" ht="18" x14ac:dyDescent="0.25">
      <c r="A1" s="1" t="s">
        <v>69</v>
      </c>
    </row>
    <row r="2" spans="1:7" x14ac:dyDescent="0.25">
      <c r="A2" s="13" t="s">
        <v>70</v>
      </c>
    </row>
    <row r="4" spans="1:7" ht="30" customHeight="1" x14ac:dyDescent="0.25">
      <c r="A4" s="4" t="s">
        <v>71</v>
      </c>
      <c r="B4" s="4" t="s">
        <v>72</v>
      </c>
      <c r="C4" s="4" t="s">
        <v>73</v>
      </c>
      <c r="D4" s="4" t="s">
        <v>74</v>
      </c>
      <c r="E4" s="4" t="s">
        <v>75</v>
      </c>
      <c r="F4" s="4" t="s">
        <v>76</v>
      </c>
      <c r="G4" s="4" t="s">
        <v>77</v>
      </c>
    </row>
    <row r="5" spans="1:7" x14ac:dyDescent="0.25">
      <c r="A5" s="8">
        <v>12345678</v>
      </c>
      <c r="B5" s="16" t="s">
        <v>78</v>
      </c>
      <c r="C5" s="16" t="s">
        <v>79</v>
      </c>
      <c r="D5" s="6">
        <v>2100000</v>
      </c>
      <c r="E5" s="7"/>
      <c r="F5" s="9">
        <f>IF(A5="","",IF(E5="",Parámetros!$B$5,E5)/6*30)</f>
        <v>210</v>
      </c>
      <c r="G5" s="17">
        <f t="shared" ref="G5:G36" si="0">IF(OR(A5="",D5=""),"",D5/F5)</f>
        <v>10000</v>
      </c>
    </row>
    <row r="6" spans="1:7" x14ac:dyDescent="0.25">
      <c r="A6" s="8">
        <v>92408250</v>
      </c>
      <c r="B6" s="16" t="s">
        <v>80</v>
      </c>
      <c r="C6" s="16" t="s">
        <v>81</v>
      </c>
      <c r="D6" s="6">
        <v>5000000</v>
      </c>
      <c r="E6" s="7"/>
      <c r="F6" s="9">
        <f>IF(A6="","",IF(E6="",Parámetros!$B$5,E6)/6*30)</f>
        <v>210</v>
      </c>
      <c r="G6" s="17">
        <f t="shared" si="0"/>
        <v>23809.523809523809</v>
      </c>
    </row>
    <row r="7" spans="1:7" x14ac:dyDescent="0.25">
      <c r="A7" s="8"/>
      <c r="B7" s="16"/>
      <c r="C7" s="16"/>
      <c r="D7" s="6"/>
      <c r="E7" s="7"/>
      <c r="F7" s="9" t="str">
        <f>IF(A7="","",IF(E7="",Parámetros!$B$5,E7)/6*30)</f>
        <v/>
      </c>
      <c r="G7" s="17" t="str">
        <f t="shared" si="0"/>
        <v/>
      </c>
    </row>
    <row r="8" spans="1:7" x14ac:dyDescent="0.25">
      <c r="A8" s="8"/>
      <c r="B8" s="16"/>
      <c r="C8" s="16"/>
      <c r="D8" s="6"/>
      <c r="E8" s="7"/>
      <c r="F8" s="9" t="str">
        <f>IF(A8="","",IF(E8="",Parámetros!$B$5,E8)/6*30)</f>
        <v/>
      </c>
      <c r="G8" s="17" t="str">
        <f t="shared" si="0"/>
        <v/>
      </c>
    </row>
    <row r="9" spans="1:7" x14ac:dyDescent="0.25">
      <c r="A9" s="8"/>
      <c r="B9" s="16"/>
      <c r="C9" s="16"/>
      <c r="D9" s="6"/>
      <c r="E9" s="7"/>
      <c r="F9" s="9" t="str">
        <f>IF(A9="","",IF(E9="",Parámetros!$B$5,E9)/6*30)</f>
        <v/>
      </c>
      <c r="G9" s="17" t="str">
        <f t="shared" si="0"/>
        <v/>
      </c>
    </row>
    <row r="10" spans="1:7" x14ac:dyDescent="0.25">
      <c r="A10" s="8"/>
      <c r="B10" s="16"/>
      <c r="C10" s="16"/>
      <c r="D10" s="6"/>
      <c r="E10" s="7"/>
      <c r="F10" s="9" t="str">
        <f>IF(A10="","",IF(E10="",Parámetros!$B$5,E10)/6*30)</f>
        <v/>
      </c>
      <c r="G10" s="17" t="str">
        <f t="shared" si="0"/>
        <v/>
      </c>
    </row>
    <row r="11" spans="1:7" x14ac:dyDescent="0.25">
      <c r="A11" s="8"/>
      <c r="B11" s="16"/>
      <c r="C11" s="16"/>
      <c r="D11" s="6"/>
      <c r="E11" s="7"/>
      <c r="F11" s="9" t="str">
        <f>IF(A11="","",IF(E11="",Parámetros!$B$5,E11)/6*30)</f>
        <v/>
      </c>
      <c r="G11" s="17" t="str">
        <f t="shared" si="0"/>
        <v/>
      </c>
    </row>
    <row r="12" spans="1:7" x14ac:dyDescent="0.25">
      <c r="A12" s="8"/>
      <c r="B12" s="16"/>
      <c r="C12" s="16"/>
      <c r="D12" s="6"/>
      <c r="E12" s="7"/>
      <c r="F12" s="9" t="str">
        <f>IF(A12="","",IF(E12="",Parámetros!$B$5,E12)/6*30)</f>
        <v/>
      </c>
      <c r="G12" s="17" t="str">
        <f t="shared" si="0"/>
        <v/>
      </c>
    </row>
    <row r="13" spans="1:7" x14ac:dyDescent="0.25">
      <c r="A13" s="8"/>
      <c r="B13" s="16"/>
      <c r="C13" s="16"/>
      <c r="D13" s="6"/>
      <c r="E13" s="7"/>
      <c r="F13" s="9" t="str">
        <f>IF(A13="","",IF(E13="",Parámetros!$B$5,E13)/6*30)</f>
        <v/>
      </c>
      <c r="G13" s="17" t="str">
        <f t="shared" si="0"/>
        <v/>
      </c>
    </row>
    <row r="14" spans="1:7" x14ac:dyDescent="0.25">
      <c r="A14" s="8"/>
      <c r="B14" s="16"/>
      <c r="C14" s="16"/>
      <c r="D14" s="6"/>
      <c r="E14" s="7"/>
      <c r="F14" s="9" t="str">
        <f>IF(A14="","",IF(E14="",Parámetros!$B$5,E14)/6*30)</f>
        <v/>
      </c>
      <c r="G14" s="17" t="str">
        <f t="shared" si="0"/>
        <v/>
      </c>
    </row>
    <row r="15" spans="1:7" x14ac:dyDescent="0.25">
      <c r="A15" s="8"/>
      <c r="B15" s="16"/>
      <c r="C15" s="16"/>
      <c r="D15" s="6"/>
      <c r="E15" s="7"/>
      <c r="F15" s="9" t="str">
        <f>IF(A15="","",IF(E15="",Parámetros!$B$5,E15)/6*30)</f>
        <v/>
      </c>
      <c r="G15" s="17" t="str">
        <f t="shared" si="0"/>
        <v/>
      </c>
    </row>
    <row r="16" spans="1:7" x14ac:dyDescent="0.25">
      <c r="A16" s="8"/>
      <c r="B16" s="16"/>
      <c r="C16" s="16"/>
      <c r="D16" s="6"/>
      <c r="E16" s="7"/>
      <c r="F16" s="9" t="str">
        <f>IF(A16="","",IF(E16="",Parámetros!$B$5,E16)/6*30)</f>
        <v/>
      </c>
      <c r="G16" s="17" t="str">
        <f t="shared" si="0"/>
        <v/>
      </c>
    </row>
    <row r="17" spans="1:7" x14ac:dyDescent="0.25">
      <c r="A17" s="8"/>
      <c r="B17" s="16"/>
      <c r="C17" s="16"/>
      <c r="D17" s="6"/>
      <c r="E17" s="7"/>
      <c r="F17" s="9" t="str">
        <f>IF(A17="","",IF(E17="",Parámetros!$B$5,E17)/6*30)</f>
        <v/>
      </c>
      <c r="G17" s="17" t="str">
        <f t="shared" si="0"/>
        <v/>
      </c>
    </row>
    <row r="18" spans="1:7" x14ac:dyDescent="0.25">
      <c r="A18" s="8"/>
      <c r="B18" s="16"/>
      <c r="C18" s="16"/>
      <c r="D18" s="6"/>
      <c r="E18" s="7"/>
      <c r="F18" s="9" t="str">
        <f>IF(A18="","",IF(E18="",Parámetros!$B$5,E18)/6*30)</f>
        <v/>
      </c>
      <c r="G18" s="17" t="str">
        <f t="shared" si="0"/>
        <v/>
      </c>
    </row>
    <row r="19" spans="1:7" x14ac:dyDescent="0.25">
      <c r="A19" s="8"/>
      <c r="B19" s="16"/>
      <c r="C19" s="16"/>
      <c r="D19" s="6"/>
      <c r="E19" s="7"/>
      <c r="F19" s="9" t="str">
        <f>IF(A19="","",IF(E19="",Parámetros!$B$5,E19)/6*30)</f>
        <v/>
      </c>
      <c r="G19" s="17" t="str">
        <f t="shared" si="0"/>
        <v/>
      </c>
    </row>
    <row r="20" spans="1:7" x14ac:dyDescent="0.25">
      <c r="A20" s="8"/>
      <c r="B20" s="16"/>
      <c r="C20" s="16"/>
      <c r="D20" s="6"/>
      <c r="E20" s="7"/>
      <c r="F20" s="9" t="str">
        <f>IF(A20="","",IF(E20="",Parámetros!$B$5,E20)/6*30)</f>
        <v/>
      </c>
      <c r="G20" s="17" t="str">
        <f t="shared" si="0"/>
        <v/>
      </c>
    </row>
    <row r="21" spans="1:7" x14ac:dyDescent="0.25">
      <c r="A21" s="8"/>
      <c r="B21" s="16"/>
      <c r="C21" s="16"/>
      <c r="D21" s="6"/>
      <c r="E21" s="7"/>
      <c r="F21" s="9" t="str">
        <f>IF(A21="","",IF(E21="",Parámetros!$B$5,E21)/6*30)</f>
        <v/>
      </c>
      <c r="G21" s="17" t="str">
        <f t="shared" si="0"/>
        <v/>
      </c>
    </row>
    <row r="22" spans="1:7" x14ac:dyDescent="0.25">
      <c r="A22" s="8"/>
      <c r="B22" s="16"/>
      <c r="C22" s="16"/>
      <c r="D22" s="6"/>
      <c r="E22" s="7"/>
      <c r="F22" s="9" t="str">
        <f>IF(A22="","",IF(E22="",Parámetros!$B$5,E22)/6*30)</f>
        <v/>
      </c>
      <c r="G22" s="17" t="str">
        <f t="shared" si="0"/>
        <v/>
      </c>
    </row>
    <row r="23" spans="1:7" x14ac:dyDescent="0.25">
      <c r="A23" s="8"/>
      <c r="B23" s="16"/>
      <c r="C23" s="16"/>
      <c r="D23" s="6"/>
      <c r="E23" s="7"/>
      <c r="F23" s="9" t="str">
        <f>IF(A23="","",IF(E23="",Parámetros!$B$5,E23)/6*30)</f>
        <v/>
      </c>
      <c r="G23" s="17" t="str">
        <f t="shared" si="0"/>
        <v/>
      </c>
    </row>
    <row r="24" spans="1:7" x14ac:dyDescent="0.25">
      <c r="A24" s="8"/>
      <c r="B24" s="16"/>
      <c r="C24" s="16"/>
      <c r="D24" s="6"/>
      <c r="E24" s="7"/>
      <c r="F24" s="9" t="str">
        <f>IF(A24="","",IF(E24="",Parámetros!$B$5,E24)/6*30)</f>
        <v/>
      </c>
      <c r="G24" s="17" t="str">
        <f t="shared" si="0"/>
        <v/>
      </c>
    </row>
    <row r="25" spans="1:7" x14ac:dyDescent="0.25">
      <c r="A25" s="8"/>
      <c r="B25" s="16"/>
      <c r="C25" s="16"/>
      <c r="D25" s="6"/>
      <c r="E25" s="7"/>
      <c r="F25" s="9" t="str">
        <f>IF(A25="","",IF(E25="",Parámetros!$B$5,E25)/6*30)</f>
        <v/>
      </c>
      <c r="G25" s="17" t="str">
        <f t="shared" si="0"/>
        <v/>
      </c>
    </row>
    <row r="26" spans="1:7" x14ac:dyDescent="0.25">
      <c r="A26" s="8"/>
      <c r="B26" s="16"/>
      <c r="C26" s="16"/>
      <c r="D26" s="6"/>
      <c r="E26" s="7"/>
      <c r="F26" s="9" t="str">
        <f>IF(A26="","",IF(E26="",Parámetros!$B$5,E26)/6*30)</f>
        <v/>
      </c>
      <c r="G26" s="17" t="str">
        <f t="shared" si="0"/>
        <v/>
      </c>
    </row>
    <row r="27" spans="1:7" x14ac:dyDescent="0.25">
      <c r="A27" s="8"/>
      <c r="B27" s="16"/>
      <c r="C27" s="16"/>
      <c r="D27" s="6"/>
      <c r="E27" s="7"/>
      <c r="F27" s="9" t="str">
        <f>IF(A27="","",IF(E27="",Parámetros!$B$5,E27)/6*30)</f>
        <v/>
      </c>
      <c r="G27" s="17" t="str">
        <f t="shared" si="0"/>
        <v/>
      </c>
    </row>
    <row r="28" spans="1:7" x14ac:dyDescent="0.25">
      <c r="A28" s="8"/>
      <c r="B28" s="16"/>
      <c r="C28" s="16"/>
      <c r="D28" s="6"/>
      <c r="E28" s="7"/>
      <c r="F28" s="9" t="str">
        <f>IF(A28="","",IF(E28="",Parámetros!$B$5,E28)/6*30)</f>
        <v/>
      </c>
      <c r="G28" s="17" t="str">
        <f t="shared" si="0"/>
        <v/>
      </c>
    </row>
    <row r="29" spans="1:7" x14ac:dyDescent="0.25">
      <c r="A29" s="8"/>
      <c r="B29" s="16"/>
      <c r="C29" s="16"/>
      <c r="D29" s="6"/>
      <c r="E29" s="7"/>
      <c r="F29" s="9" t="str">
        <f>IF(A29="","",IF(E29="",Parámetros!$B$5,E29)/6*30)</f>
        <v/>
      </c>
      <c r="G29" s="17" t="str">
        <f t="shared" si="0"/>
        <v/>
      </c>
    </row>
    <row r="30" spans="1:7" x14ac:dyDescent="0.25">
      <c r="A30" s="8"/>
      <c r="B30" s="16"/>
      <c r="C30" s="16"/>
      <c r="D30" s="6"/>
      <c r="E30" s="7"/>
      <c r="F30" s="9" t="str">
        <f>IF(A30="","",IF(E30="",Parámetros!$B$5,E30)/6*30)</f>
        <v/>
      </c>
      <c r="G30" s="17" t="str">
        <f t="shared" si="0"/>
        <v/>
      </c>
    </row>
    <row r="31" spans="1:7" x14ac:dyDescent="0.25">
      <c r="A31" s="8"/>
      <c r="B31" s="16"/>
      <c r="C31" s="16"/>
      <c r="D31" s="6"/>
      <c r="E31" s="7"/>
      <c r="F31" s="9" t="str">
        <f>IF(A31="","",IF(E31="",Parámetros!$B$5,E31)/6*30)</f>
        <v/>
      </c>
      <c r="G31" s="17" t="str">
        <f t="shared" si="0"/>
        <v/>
      </c>
    </row>
    <row r="32" spans="1:7" x14ac:dyDescent="0.25">
      <c r="A32" s="8"/>
      <c r="B32" s="16"/>
      <c r="C32" s="16"/>
      <c r="D32" s="6"/>
      <c r="E32" s="7"/>
      <c r="F32" s="9" t="str">
        <f>IF(A32="","",IF(E32="",Parámetros!$B$5,E32)/6*30)</f>
        <v/>
      </c>
      <c r="G32" s="17" t="str">
        <f t="shared" si="0"/>
        <v/>
      </c>
    </row>
    <row r="33" spans="1:7" x14ac:dyDescent="0.25">
      <c r="A33" s="8"/>
      <c r="B33" s="16"/>
      <c r="C33" s="16"/>
      <c r="D33" s="6"/>
      <c r="E33" s="7"/>
      <c r="F33" s="9" t="str">
        <f>IF(A33="","",IF(E33="",Parámetros!$B$5,E33)/6*30)</f>
        <v/>
      </c>
      <c r="G33" s="17" t="str">
        <f t="shared" si="0"/>
        <v/>
      </c>
    </row>
    <row r="34" spans="1:7" x14ac:dyDescent="0.25">
      <c r="A34" s="8"/>
      <c r="B34" s="16"/>
      <c r="C34" s="16"/>
      <c r="D34" s="6"/>
      <c r="E34" s="7"/>
      <c r="F34" s="9" t="str">
        <f>IF(A34="","",IF(E34="",Parámetros!$B$5,E34)/6*30)</f>
        <v/>
      </c>
      <c r="G34" s="17" t="str">
        <f t="shared" si="0"/>
        <v/>
      </c>
    </row>
    <row r="35" spans="1:7" x14ac:dyDescent="0.25">
      <c r="A35" s="8"/>
      <c r="B35" s="16"/>
      <c r="C35" s="16"/>
      <c r="D35" s="6"/>
      <c r="E35" s="7"/>
      <c r="F35" s="9" t="str">
        <f>IF(A35="","",IF(E35="",Parámetros!$B$5,E35)/6*30)</f>
        <v/>
      </c>
      <c r="G35" s="17" t="str">
        <f t="shared" si="0"/>
        <v/>
      </c>
    </row>
    <row r="36" spans="1:7" x14ac:dyDescent="0.25">
      <c r="A36" s="8"/>
      <c r="B36" s="16"/>
      <c r="C36" s="16"/>
      <c r="D36" s="6"/>
      <c r="E36" s="7"/>
      <c r="F36" s="9" t="str">
        <f>IF(A36="","",IF(E36="",Parámetros!$B$5,E36)/6*30)</f>
        <v/>
      </c>
      <c r="G36" s="17" t="str">
        <f t="shared" si="0"/>
        <v/>
      </c>
    </row>
    <row r="37" spans="1:7" x14ac:dyDescent="0.25">
      <c r="A37" s="8"/>
      <c r="B37" s="16"/>
      <c r="C37" s="16"/>
      <c r="D37" s="6"/>
      <c r="E37" s="7"/>
      <c r="F37" s="9" t="str">
        <f>IF(A37="","",IF(E37="",Parámetros!$B$5,E37)/6*30)</f>
        <v/>
      </c>
      <c r="G37" s="17" t="str">
        <f t="shared" ref="G37:G68" si="1">IF(OR(A37="",D37=""),"",D37/F37)</f>
        <v/>
      </c>
    </row>
    <row r="38" spans="1:7" x14ac:dyDescent="0.25">
      <c r="A38" s="8"/>
      <c r="B38" s="16"/>
      <c r="C38" s="16"/>
      <c r="D38" s="6"/>
      <c r="E38" s="7"/>
      <c r="F38" s="9" t="str">
        <f>IF(A38="","",IF(E38="",Parámetros!$B$5,E38)/6*30)</f>
        <v/>
      </c>
      <c r="G38" s="17" t="str">
        <f t="shared" si="1"/>
        <v/>
      </c>
    </row>
    <row r="39" spans="1:7" x14ac:dyDescent="0.25">
      <c r="A39" s="8"/>
      <c r="B39" s="16"/>
      <c r="C39" s="16"/>
      <c r="D39" s="6"/>
      <c r="E39" s="7"/>
      <c r="F39" s="9" t="str">
        <f>IF(A39="","",IF(E39="",Parámetros!$B$5,E39)/6*30)</f>
        <v/>
      </c>
      <c r="G39" s="17" t="str">
        <f t="shared" si="1"/>
        <v/>
      </c>
    </row>
    <row r="40" spans="1:7" x14ac:dyDescent="0.25">
      <c r="A40" s="8"/>
      <c r="B40" s="16"/>
      <c r="C40" s="16"/>
      <c r="D40" s="6"/>
      <c r="E40" s="7"/>
      <c r="F40" s="9" t="str">
        <f>IF(A40="","",IF(E40="",Parámetros!$B$5,E40)/6*30)</f>
        <v/>
      </c>
      <c r="G40" s="17" t="str">
        <f t="shared" si="1"/>
        <v/>
      </c>
    </row>
    <row r="41" spans="1:7" x14ac:dyDescent="0.25">
      <c r="A41" s="8"/>
      <c r="B41" s="16"/>
      <c r="C41" s="16"/>
      <c r="D41" s="6"/>
      <c r="E41" s="7"/>
      <c r="F41" s="9" t="str">
        <f>IF(A41="","",IF(E41="",Parámetros!$B$5,E41)/6*30)</f>
        <v/>
      </c>
      <c r="G41" s="17" t="str">
        <f t="shared" si="1"/>
        <v/>
      </c>
    </row>
    <row r="42" spans="1:7" x14ac:dyDescent="0.25">
      <c r="A42" s="8"/>
      <c r="B42" s="16"/>
      <c r="C42" s="16"/>
      <c r="D42" s="6"/>
      <c r="E42" s="7"/>
      <c r="F42" s="9" t="str">
        <f>IF(A42="","",IF(E42="",Parámetros!$B$5,E42)/6*30)</f>
        <v/>
      </c>
      <c r="G42" s="17" t="str">
        <f t="shared" si="1"/>
        <v/>
      </c>
    </row>
    <row r="43" spans="1:7" x14ac:dyDescent="0.25">
      <c r="A43" s="8"/>
      <c r="B43" s="16"/>
      <c r="C43" s="16"/>
      <c r="D43" s="6"/>
      <c r="E43" s="7"/>
      <c r="F43" s="9" t="str">
        <f>IF(A43="","",IF(E43="",Parámetros!$B$5,E43)/6*30)</f>
        <v/>
      </c>
      <c r="G43" s="17" t="str">
        <f t="shared" si="1"/>
        <v/>
      </c>
    </row>
    <row r="44" spans="1:7" x14ac:dyDescent="0.25">
      <c r="A44" s="8"/>
      <c r="B44" s="16"/>
      <c r="C44" s="16"/>
      <c r="D44" s="6"/>
      <c r="E44" s="7"/>
      <c r="F44" s="9" t="str">
        <f>IF(A44="","",IF(E44="",Parámetros!$B$5,E44)/6*30)</f>
        <v/>
      </c>
      <c r="G44" s="17" t="str">
        <f t="shared" si="1"/>
        <v/>
      </c>
    </row>
    <row r="45" spans="1:7" x14ac:dyDescent="0.25">
      <c r="A45" s="8"/>
      <c r="B45" s="16"/>
      <c r="C45" s="16"/>
      <c r="D45" s="6"/>
      <c r="E45" s="7"/>
      <c r="F45" s="9" t="str">
        <f>IF(A45="","",IF(E45="",Parámetros!$B$5,E45)/6*30)</f>
        <v/>
      </c>
      <c r="G45" s="17" t="str">
        <f t="shared" si="1"/>
        <v/>
      </c>
    </row>
    <row r="46" spans="1:7" x14ac:dyDescent="0.25">
      <c r="A46" s="8"/>
      <c r="B46" s="16"/>
      <c r="C46" s="16"/>
      <c r="D46" s="6"/>
      <c r="E46" s="7"/>
      <c r="F46" s="9" t="str">
        <f>IF(A46="","",IF(E46="",Parámetros!$B$5,E46)/6*30)</f>
        <v/>
      </c>
      <c r="G46" s="17" t="str">
        <f t="shared" si="1"/>
        <v/>
      </c>
    </row>
    <row r="47" spans="1:7" x14ac:dyDescent="0.25">
      <c r="A47" s="8"/>
      <c r="B47" s="16"/>
      <c r="C47" s="16"/>
      <c r="D47" s="6"/>
      <c r="E47" s="7"/>
      <c r="F47" s="9" t="str">
        <f>IF(A47="","",IF(E47="",Parámetros!$B$5,E47)/6*30)</f>
        <v/>
      </c>
      <c r="G47" s="17" t="str">
        <f t="shared" si="1"/>
        <v/>
      </c>
    </row>
    <row r="48" spans="1:7" x14ac:dyDescent="0.25">
      <c r="A48" s="8"/>
      <c r="B48" s="16"/>
      <c r="C48" s="16"/>
      <c r="D48" s="6"/>
      <c r="E48" s="7"/>
      <c r="F48" s="9" t="str">
        <f>IF(A48="","",IF(E48="",Parámetros!$B$5,E48)/6*30)</f>
        <v/>
      </c>
      <c r="G48" s="17" t="str">
        <f t="shared" si="1"/>
        <v/>
      </c>
    </row>
    <row r="49" spans="1:7" x14ac:dyDescent="0.25">
      <c r="A49" s="8"/>
      <c r="B49" s="16"/>
      <c r="C49" s="16"/>
      <c r="D49" s="6"/>
      <c r="E49" s="7"/>
      <c r="F49" s="9" t="str">
        <f>IF(A49="","",IF(E49="",Parámetros!$B$5,E49)/6*30)</f>
        <v/>
      </c>
      <c r="G49" s="17" t="str">
        <f t="shared" si="1"/>
        <v/>
      </c>
    </row>
    <row r="50" spans="1:7" x14ac:dyDescent="0.25">
      <c r="A50" s="8"/>
      <c r="B50" s="16"/>
      <c r="C50" s="16"/>
      <c r="D50" s="6"/>
      <c r="E50" s="7"/>
      <c r="F50" s="9" t="str">
        <f>IF(A50="","",IF(E50="",Parámetros!$B$5,E50)/6*30)</f>
        <v/>
      </c>
      <c r="G50" s="17" t="str">
        <f t="shared" si="1"/>
        <v/>
      </c>
    </row>
    <row r="51" spans="1:7" x14ac:dyDescent="0.25">
      <c r="A51" s="8"/>
      <c r="B51" s="16"/>
      <c r="C51" s="16"/>
      <c r="D51" s="6"/>
      <c r="E51" s="7"/>
      <c r="F51" s="9" t="str">
        <f>IF(A51="","",IF(E51="",Parámetros!$B$5,E51)/6*30)</f>
        <v/>
      </c>
      <c r="G51" s="17" t="str">
        <f t="shared" si="1"/>
        <v/>
      </c>
    </row>
    <row r="52" spans="1:7" x14ac:dyDescent="0.25">
      <c r="A52" s="8"/>
      <c r="B52" s="16"/>
      <c r="C52" s="16"/>
      <c r="D52" s="6"/>
      <c r="E52" s="7"/>
      <c r="F52" s="9" t="str">
        <f>IF(A52="","",IF(E52="",Parámetros!$B$5,E52)/6*30)</f>
        <v/>
      </c>
      <c r="G52" s="17" t="str">
        <f t="shared" si="1"/>
        <v/>
      </c>
    </row>
    <row r="53" spans="1:7" x14ac:dyDescent="0.25">
      <c r="A53" s="8"/>
      <c r="B53" s="16"/>
      <c r="C53" s="16"/>
      <c r="D53" s="6"/>
      <c r="E53" s="7"/>
      <c r="F53" s="9" t="str">
        <f>IF(A53="","",IF(E53="",Parámetros!$B$5,E53)/6*30)</f>
        <v/>
      </c>
      <c r="G53" s="17" t="str">
        <f t="shared" si="1"/>
        <v/>
      </c>
    </row>
    <row r="54" spans="1:7" x14ac:dyDescent="0.25">
      <c r="A54" s="8"/>
      <c r="B54" s="16"/>
      <c r="C54" s="16"/>
      <c r="D54" s="6"/>
      <c r="E54" s="7"/>
      <c r="F54" s="9" t="str">
        <f>IF(A54="","",IF(E54="",Parámetros!$B$5,E54)/6*30)</f>
        <v/>
      </c>
      <c r="G54" s="17" t="str">
        <f t="shared" si="1"/>
        <v/>
      </c>
    </row>
    <row r="55" spans="1:7" x14ac:dyDescent="0.25">
      <c r="A55" s="8"/>
      <c r="B55" s="16"/>
      <c r="C55" s="16"/>
      <c r="D55" s="6"/>
      <c r="E55" s="7"/>
      <c r="F55" s="9" t="str">
        <f>IF(A55="","",IF(E55="",Parámetros!$B$5,E55)/6*30)</f>
        <v/>
      </c>
      <c r="G55" s="17" t="str">
        <f t="shared" si="1"/>
        <v/>
      </c>
    </row>
    <row r="56" spans="1:7" x14ac:dyDescent="0.25">
      <c r="A56" s="8"/>
      <c r="B56" s="16"/>
      <c r="C56" s="16"/>
      <c r="D56" s="6"/>
      <c r="E56" s="7"/>
      <c r="F56" s="9" t="str">
        <f>IF(A56="","",IF(E56="",Parámetros!$B$5,E56)/6*30)</f>
        <v/>
      </c>
      <c r="G56" s="17" t="str">
        <f t="shared" si="1"/>
        <v/>
      </c>
    </row>
    <row r="57" spans="1:7" x14ac:dyDescent="0.25">
      <c r="A57" s="8"/>
      <c r="B57" s="16"/>
      <c r="C57" s="16"/>
      <c r="D57" s="6"/>
      <c r="E57" s="7"/>
      <c r="F57" s="9" t="str">
        <f>IF(A57="","",IF(E57="",Parámetros!$B$5,E57)/6*30)</f>
        <v/>
      </c>
      <c r="G57" s="17" t="str">
        <f t="shared" si="1"/>
        <v/>
      </c>
    </row>
    <row r="58" spans="1:7" x14ac:dyDescent="0.25">
      <c r="A58" s="8"/>
      <c r="B58" s="16"/>
      <c r="C58" s="16"/>
      <c r="D58" s="6"/>
      <c r="E58" s="7"/>
      <c r="F58" s="9" t="str">
        <f>IF(A58="","",IF(E58="",Parámetros!$B$5,E58)/6*30)</f>
        <v/>
      </c>
      <c r="G58" s="17" t="str">
        <f t="shared" si="1"/>
        <v/>
      </c>
    </row>
    <row r="59" spans="1:7" x14ac:dyDescent="0.25">
      <c r="A59" s="8"/>
      <c r="B59" s="16"/>
      <c r="C59" s="16"/>
      <c r="D59" s="6"/>
      <c r="E59" s="7"/>
      <c r="F59" s="9" t="str">
        <f>IF(A59="","",IF(E59="",Parámetros!$B$5,E59)/6*30)</f>
        <v/>
      </c>
      <c r="G59" s="17" t="str">
        <f t="shared" si="1"/>
        <v/>
      </c>
    </row>
    <row r="60" spans="1:7" x14ac:dyDescent="0.25">
      <c r="A60" s="8"/>
      <c r="B60" s="16"/>
      <c r="C60" s="16"/>
      <c r="D60" s="6"/>
      <c r="E60" s="7"/>
      <c r="F60" s="9" t="str">
        <f>IF(A60="","",IF(E60="",Parámetros!$B$5,E60)/6*30)</f>
        <v/>
      </c>
      <c r="G60" s="17" t="str">
        <f t="shared" si="1"/>
        <v/>
      </c>
    </row>
    <row r="61" spans="1:7" x14ac:dyDescent="0.25">
      <c r="A61" s="8"/>
      <c r="B61" s="16"/>
      <c r="C61" s="16"/>
      <c r="D61" s="6"/>
      <c r="E61" s="7"/>
      <c r="F61" s="9" t="str">
        <f>IF(A61="","",IF(E61="",Parámetros!$B$5,E61)/6*30)</f>
        <v/>
      </c>
      <c r="G61" s="17" t="str">
        <f t="shared" si="1"/>
        <v/>
      </c>
    </row>
    <row r="62" spans="1:7" x14ac:dyDescent="0.25">
      <c r="A62" s="8"/>
      <c r="B62" s="16"/>
      <c r="C62" s="16"/>
      <c r="D62" s="6"/>
      <c r="E62" s="7"/>
      <c r="F62" s="9" t="str">
        <f>IF(A62="","",IF(E62="",Parámetros!$B$5,E62)/6*30)</f>
        <v/>
      </c>
      <c r="G62" s="17" t="str">
        <f t="shared" si="1"/>
        <v/>
      </c>
    </row>
    <row r="63" spans="1:7" x14ac:dyDescent="0.25">
      <c r="A63" s="8"/>
      <c r="B63" s="16"/>
      <c r="C63" s="16"/>
      <c r="D63" s="6"/>
      <c r="E63" s="7"/>
      <c r="F63" s="9" t="str">
        <f>IF(A63="","",IF(E63="",Parámetros!$B$5,E63)/6*30)</f>
        <v/>
      </c>
      <c r="G63" s="17" t="str">
        <f t="shared" si="1"/>
        <v/>
      </c>
    </row>
    <row r="64" spans="1:7" x14ac:dyDescent="0.25">
      <c r="A64" s="8"/>
      <c r="B64" s="16"/>
      <c r="C64" s="16"/>
      <c r="D64" s="6"/>
      <c r="E64" s="7"/>
      <c r="F64" s="9" t="str">
        <f>IF(A64="","",IF(E64="",Parámetros!$B$5,E64)/6*30)</f>
        <v/>
      </c>
      <c r="G64" s="17" t="str">
        <f t="shared" si="1"/>
        <v/>
      </c>
    </row>
    <row r="65" spans="1:7" x14ac:dyDescent="0.25">
      <c r="A65" s="8"/>
      <c r="B65" s="16"/>
      <c r="C65" s="16"/>
      <c r="D65" s="6"/>
      <c r="E65" s="7"/>
      <c r="F65" s="9" t="str">
        <f>IF(A65="","",IF(E65="",Parámetros!$B$5,E65)/6*30)</f>
        <v/>
      </c>
      <c r="G65" s="17" t="str">
        <f t="shared" si="1"/>
        <v/>
      </c>
    </row>
    <row r="66" spans="1:7" x14ac:dyDescent="0.25">
      <c r="A66" s="8"/>
      <c r="B66" s="16"/>
      <c r="C66" s="16"/>
      <c r="D66" s="6"/>
      <c r="E66" s="7"/>
      <c r="F66" s="9" t="str">
        <f>IF(A66="","",IF(E66="",Parámetros!$B$5,E66)/6*30)</f>
        <v/>
      </c>
      <c r="G66" s="17" t="str">
        <f t="shared" si="1"/>
        <v/>
      </c>
    </row>
    <row r="67" spans="1:7" x14ac:dyDescent="0.25">
      <c r="A67" s="8"/>
      <c r="B67" s="16"/>
      <c r="C67" s="16"/>
      <c r="D67" s="6"/>
      <c r="E67" s="7"/>
      <c r="F67" s="9" t="str">
        <f>IF(A67="","",IF(E67="",Parámetros!$B$5,E67)/6*30)</f>
        <v/>
      </c>
      <c r="G67" s="17" t="str">
        <f t="shared" si="1"/>
        <v/>
      </c>
    </row>
    <row r="68" spans="1:7" x14ac:dyDescent="0.25">
      <c r="A68" s="8"/>
      <c r="B68" s="16"/>
      <c r="C68" s="16"/>
      <c r="D68" s="6"/>
      <c r="E68" s="7"/>
      <c r="F68" s="9" t="str">
        <f>IF(A68="","",IF(E68="",Parámetros!$B$5,E68)/6*30)</f>
        <v/>
      </c>
      <c r="G68" s="17" t="str">
        <f t="shared" si="1"/>
        <v/>
      </c>
    </row>
    <row r="69" spans="1:7" x14ac:dyDescent="0.25">
      <c r="A69" s="8"/>
      <c r="B69" s="16"/>
      <c r="C69" s="16"/>
      <c r="D69" s="6"/>
      <c r="E69" s="7"/>
      <c r="F69" s="9" t="str">
        <f>IF(A69="","",IF(E69="",Parámetros!$B$5,E69)/6*30)</f>
        <v/>
      </c>
      <c r="G69" s="17" t="str">
        <f t="shared" ref="G69:G100" si="2">IF(OR(A69="",D69=""),"",D69/F69)</f>
        <v/>
      </c>
    </row>
    <row r="70" spans="1:7" x14ac:dyDescent="0.25">
      <c r="A70" s="8"/>
      <c r="B70" s="16"/>
      <c r="C70" s="16"/>
      <c r="D70" s="6"/>
      <c r="E70" s="7"/>
      <c r="F70" s="9" t="str">
        <f>IF(A70="","",IF(E70="",Parámetros!$B$5,E70)/6*30)</f>
        <v/>
      </c>
      <c r="G70" s="17" t="str">
        <f t="shared" si="2"/>
        <v/>
      </c>
    </row>
    <row r="71" spans="1:7" x14ac:dyDescent="0.25">
      <c r="A71" s="8"/>
      <c r="B71" s="16"/>
      <c r="C71" s="16"/>
      <c r="D71" s="6"/>
      <c r="E71" s="7"/>
      <c r="F71" s="9" t="str">
        <f>IF(A71="","",IF(E71="",Parámetros!$B$5,E71)/6*30)</f>
        <v/>
      </c>
      <c r="G71" s="17" t="str">
        <f t="shared" si="2"/>
        <v/>
      </c>
    </row>
    <row r="72" spans="1:7" x14ac:dyDescent="0.25">
      <c r="A72" s="8"/>
      <c r="B72" s="16"/>
      <c r="C72" s="16"/>
      <c r="D72" s="6"/>
      <c r="E72" s="7"/>
      <c r="F72" s="9" t="str">
        <f>IF(A72="","",IF(E72="",Parámetros!$B$5,E72)/6*30)</f>
        <v/>
      </c>
      <c r="G72" s="17" t="str">
        <f t="shared" si="2"/>
        <v/>
      </c>
    </row>
    <row r="73" spans="1:7" x14ac:dyDescent="0.25">
      <c r="A73" s="8"/>
      <c r="B73" s="16"/>
      <c r="C73" s="16"/>
      <c r="D73" s="6"/>
      <c r="E73" s="7"/>
      <c r="F73" s="9" t="str">
        <f>IF(A73="","",IF(E73="",Parámetros!$B$5,E73)/6*30)</f>
        <v/>
      </c>
      <c r="G73" s="17" t="str">
        <f t="shared" si="2"/>
        <v/>
      </c>
    </row>
    <row r="74" spans="1:7" x14ac:dyDescent="0.25">
      <c r="A74" s="8"/>
      <c r="B74" s="16"/>
      <c r="C74" s="16"/>
      <c r="D74" s="6"/>
      <c r="E74" s="7"/>
      <c r="F74" s="9" t="str">
        <f>IF(A74="","",IF(E74="",Parámetros!$B$5,E74)/6*30)</f>
        <v/>
      </c>
      <c r="G74" s="17" t="str">
        <f t="shared" si="2"/>
        <v/>
      </c>
    </row>
    <row r="75" spans="1:7" x14ac:dyDescent="0.25">
      <c r="A75" s="8"/>
      <c r="B75" s="16"/>
      <c r="C75" s="16"/>
      <c r="D75" s="6"/>
      <c r="E75" s="7"/>
      <c r="F75" s="9" t="str">
        <f>IF(A75="","",IF(E75="",Parámetros!$B$5,E75)/6*30)</f>
        <v/>
      </c>
      <c r="G75" s="17" t="str">
        <f t="shared" si="2"/>
        <v/>
      </c>
    </row>
    <row r="76" spans="1:7" x14ac:dyDescent="0.25">
      <c r="A76" s="8"/>
      <c r="B76" s="16"/>
      <c r="C76" s="16"/>
      <c r="D76" s="6"/>
      <c r="E76" s="7"/>
      <c r="F76" s="9" t="str">
        <f>IF(A76="","",IF(E76="",Parámetros!$B$5,E76)/6*30)</f>
        <v/>
      </c>
      <c r="G76" s="17" t="str">
        <f t="shared" si="2"/>
        <v/>
      </c>
    </row>
    <row r="77" spans="1:7" x14ac:dyDescent="0.25">
      <c r="A77" s="8"/>
      <c r="B77" s="16"/>
      <c r="C77" s="16"/>
      <c r="D77" s="6"/>
      <c r="E77" s="7"/>
      <c r="F77" s="9" t="str">
        <f>IF(A77="","",IF(E77="",Parámetros!$B$5,E77)/6*30)</f>
        <v/>
      </c>
      <c r="G77" s="17" t="str">
        <f t="shared" si="2"/>
        <v/>
      </c>
    </row>
    <row r="78" spans="1:7" x14ac:dyDescent="0.25">
      <c r="A78" s="8"/>
      <c r="B78" s="16"/>
      <c r="C78" s="16"/>
      <c r="D78" s="6"/>
      <c r="E78" s="7"/>
      <c r="F78" s="9" t="str">
        <f>IF(A78="","",IF(E78="",Parámetros!$B$5,E78)/6*30)</f>
        <v/>
      </c>
      <c r="G78" s="17" t="str">
        <f t="shared" si="2"/>
        <v/>
      </c>
    </row>
    <row r="79" spans="1:7" x14ac:dyDescent="0.25">
      <c r="A79" s="8"/>
      <c r="B79" s="16"/>
      <c r="C79" s="16"/>
      <c r="D79" s="6"/>
      <c r="E79" s="7"/>
      <c r="F79" s="9" t="str">
        <f>IF(A79="","",IF(E79="",Parámetros!$B$5,E79)/6*30)</f>
        <v/>
      </c>
      <c r="G79" s="17" t="str">
        <f t="shared" si="2"/>
        <v/>
      </c>
    </row>
    <row r="80" spans="1:7" x14ac:dyDescent="0.25">
      <c r="A80" s="8"/>
      <c r="B80" s="16"/>
      <c r="C80" s="16"/>
      <c r="D80" s="6"/>
      <c r="E80" s="7"/>
      <c r="F80" s="9" t="str">
        <f>IF(A80="","",IF(E80="",Parámetros!$B$5,E80)/6*30)</f>
        <v/>
      </c>
      <c r="G80" s="17" t="str">
        <f t="shared" si="2"/>
        <v/>
      </c>
    </row>
    <row r="81" spans="1:7" x14ac:dyDescent="0.25">
      <c r="A81" s="8"/>
      <c r="B81" s="16"/>
      <c r="C81" s="16"/>
      <c r="D81" s="6"/>
      <c r="E81" s="7"/>
      <c r="F81" s="9" t="str">
        <f>IF(A81="","",IF(E81="",Parámetros!$B$5,E81)/6*30)</f>
        <v/>
      </c>
      <c r="G81" s="17" t="str">
        <f t="shared" si="2"/>
        <v/>
      </c>
    </row>
    <row r="82" spans="1:7" x14ac:dyDescent="0.25">
      <c r="A82" s="8"/>
      <c r="B82" s="16"/>
      <c r="C82" s="16"/>
      <c r="D82" s="6"/>
      <c r="E82" s="7"/>
      <c r="F82" s="9" t="str">
        <f>IF(A82="","",IF(E82="",Parámetros!$B$5,E82)/6*30)</f>
        <v/>
      </c>
      <c r="G82" s="17" t="str">
        <f t="shared" si="2"/>
        <v/>
      </c>
    </row>
    <row r="83" spans="1:7" x14ac:dyDescent="0.25">
      <c r="A83" s="8"/>
      <c r="B83" s="16"/>
      <c r="C83" s="16"/>
      <c r="D83" s="6"/>
      <c r="E83" s="7"/>
      <c r="F83" s="9" t="str">
        <f>IF(A83="","",IF(E83="",Parámetros!$B$5,E83)/6*30)</f>
        <v/>
      </c>
      <c r="G83" s="17" t="str">
        <f t="shared" si="2"/>
        <v/>
      </c>
    </row>
    <row r="84" spans="1:7" x14ac:dyDescent="0.25">
      <c r="A84" s="8"/>
      <c r="B84" s="16"/>
      <c r="C84" s="16"/>
      <c r="D84" s="6"/>
      <c r="E84" s="7"/>
      <c r="F84" s="9" t="str">
        <f>IF(A84="","",IF(E84="",Parámetros!$B$5,E84)/6*30)</f>
        <v/>
      </c>
      <c r="G84" s="17" t="str">
        <f t="shared" si="2"/>
        <v/>
      </c>
    </row>
    <row r="85" spans="1:7" x14ac:dyDescent="0.25">
      <c r="A85" s="8"/>
      <c r="B85" s="16"/>
      <c r="C85" s="16"/>
      <c r="D85" s="6"/>
      <c r="E85" s="7"/>
      <c r="F85" s="9" t="str">
        <f>IF(A85="","",IF(E85="",Parámetros!$B$5,E85)/6*30)</f>
        <v/>
      </c>
      <c r="G85" s="17" t="str">
        <f t="shared" si="2"/>
        <v/>
      </c>
    </row>
    <row r="86" spans="1:7" x14ac:dyDescent="0.25">
      <c r="A86" s="8"/>
      <c r="B86" s="16"/>
      <c r="C86" s="16"/>
      <c r="D86" s="6"/>
      <c r="E86" s="7"/>
      <c r="F86" s="9" t="str">
        <f>IF(A86="","",IF(E86="",Parámetros!$B$5,E86)/6*30)</f>
        <v/>
      </c>
      <c r="G86" s="17" t="str">
        <f t="shared" si="2"/>
        <v/>
      </c>
    </row>
    <row r="87" spans="1:7" x14ac:dyDescent="0.25">
      <c r="A87" s="8"/>
      <c r="B87" s="16"/>
      <c r="C87" s="16"/>
      <c r="D87" s="6"/>
      <c r="E87" s="7"/>
      <c r="F87" s="9" t="str">
        <f>IF(A87="","",IF(E87="",Parámetros!$B$5,E87)/6*30)</f>
        <v/>
      </c>
      <c r="G87" s="17" t="str">
        <f t="shared" si="2"/>
        <v/>
      </c>
    </row>
    <row r="88" spans="1:7" x14ac:dyDescent="0.25">
      <c r="A88" s="8"/>
      <c r="B88" s="16"/>
      <c r="C88" s="16"/>
      <c r="D88" s="6"/>
      <c r="E88" s="7"/>
      <c r="F88" s="9" t="str">
        <f>IF(A88="","",IF(E88="",Parámetros!$B$5,E88)/6*30)</f>
        <v/>
      </c>
      <c r="G88" s="17" t="str">
        <f t="shared" si="2"/>
        <v/>
      </c>
    </row>
    <row r="89" spans="1:7" x14ac:dyDescent="0.25">
      <c r="A89" s="8"/>
      <c r="B89" s="16"/>
      <c r="C89" s="16"/>
      <c r="D89" s="6"/>
      <c r="E89" s="7"/>
      <c r="F89" s="9" t="str">
        <f>IF(A89="","",IF(E89="",Parámetros!$B$5,E89)/6*30)</f>
        <v/>
      </c>
      <c r="G89" s="17" t="str">
        <f t="shared" si="2"/>
        <v/>
      </c>
    </row>
    <row r="90" spans="1:7" x14ac:dyDescent="0.25">
      <c r="A90" s="8"/>
      <c r="B90" s="16"/>
      <c r="C90" s="16"/>
      <c r="D90" s="6"/>
      <c r="E90" s="7"/>
      <c r="F90" s="9" t="str">
        <f>IF(A90="","",IF(E90="",Parámetros!$B$5,E90)/6*30)</f>
        <v/>
      </c>
      <c r="G90" s="17" t="str">
        <f t="shared" si="2"/>
        <v/>
      </c>
    </row>
    <row r="91" spans="1:7" x14ac:dyDescent="0.25">
      <c r="A91" s="8"/>
      <c r="B91" s="16"/>
      <c r="C91" s="16"/>
      <c r="D91" s="6"/>
      <c r="E91" s="7"/>
      <c r="F91" s="9" t="str">
        <f>IF(A91="","",IF(E91="",Parámetros!$B$5,E91)/6*30)</f>
        <v/>
      </c>
      <c r="G91" s="17" t="str">
        <f t="shared" si="2"/>
        <v/>
      </c>
    </row>
    <row r="92" spans="1:7" x14ac:dyDescent="0.25">
      <c r="A92" s="8"/>
      <c r="B92" s="16"/>
      <c r="C92" s="16"/>
      <c r="D92" s="6"/>
      <c r="E92" s="7"/>
      <c r="F92" s="9" t="str">
        <f>IF(A92="","",IF(E92="",Parámetros!$B$5,E92)/6*30)</f>
        <v/>
      </c>
      <c r="G92" s="17" t="str">
        <f t="shared" si="2"/>
        <v/>
      </c>
    </row>
    <row r="93" spans="1:7" x14ac:dyDescent="0.25">
      <c r="A93" s="8"/>
      <c r="B93" s="16"/>
      <c r="C93" s="16"/>
      <c r="D93" s="6"/>
      <c r="E93" s="7"/>
      <c r="F93" s="9" t="str">
        <f>IF(A93="","",IF(E93="",Parámetros!$B$5,E93)/6*30)</f>
        <v/>
      </c>
      <c r="G93" s="17" t="str">
        <f t="shared" si="2"/>
        <v/>
      </c>
    </row>
    <row r="94" spans="1:7" x14ac:dyDescent="0.25">
      <c r="A94" s="8"/>
      <c r="B94" s="16"/>
      <c r="C94" s="16"/>
      <c r="D94" s="6"/>
      <c r="E94" s="7"/>
      <c r="F94" s="9" t="str">
        <f>IF(A94="","",IF(E94="",Parámetros!$B$5,E94)/6*30)</f>
        <v/>
      </c>
      <c r="G94" s="17" t="str">
        <f t="shared" si="2"/>
        <v/>
      </c>
    </row>
    <row r="95" spans="1:7" x14ac:dyDescent="0.25">
      <c r="A95" s="8"/>
      <c r="B95" s="16"/>
      <c r="C95" s="16"/>
      <c r="D95" s="6"/>
      <c r="E95" s="7"/>
      <c r="F95" s="9" t="str">
        <f>IF(A95="","",IF(E95="",Parámetros!$B$5,E95)/6*30)</f>
        <v/>
      </c>
      <c r="G95" s="17" t="str">
        <f t="shared" si="2"/>
        <v/>
      </c>
    </row>
    <row r="96" spans="1:7" x14ac:dyDescent="0.25">
      <c r="A96" s="8"/>
      <c r="B96" s="16"/>
      <c r="C96" s="16"/>
      <c r="D96" s="6"/>
      <c r="E96" s="7"/>
      <c r="F96" s="9" t="str">
        <f>IF(A96="","",IF(E96="",Parámetros!$B$5,E96)/6*30)</f>
        <v/>
      </c>
      <c r="G96" s="17" t="str">
        <f t="shared" si="2"/>
        <v/>
      </c>
    </row>
    <row r="97" spans="1:7" x14ac:dyDescent="0.25">
      <c r="A97" s="8"/>
      <c r="B97" s="16"/>
      <c r="C97" s="16"/>
      <c r="D97" s="6"/>
      <c r="E97" s="7"/>
      <c r="F97" s="9" t="str">
        <f>IF(A97="","",IF(E97="",Parámetros!$B$5,E97)/6*30)</f>
        <v/>
      </c>
      <c r="G97" s="17" t="str">
        <f t="shared" si="2"/>
        <v/>
      </c>
    </row>
    <row r="98" spans="1:7" x14ac:dyDescent="0.25">
      <c r="A98" s="8"/>
      <c r="B98" s="16"/>
      <c r="C98" s="16"/>
      <c r="D98" s="6"/>
      <c r="E98" s="7"/>
      <c r="F98" s="9" t="str">
        <f>IF(A98="","",IF(E98="",Parámetros!$B$5,E98)/6*30)</f>
        <v/>
      </c>
      <c r="G98" s="17" t="str">
        <f t="shared" si="2"/>
        <v/>
      </c>
    </row>
    <row r="99" spans="1:7" x14ac:dyDescent="0.25">
      <c r="A99" s="8"/>
      <c r="B99" s="16"/>
      <c r="C99" s="16"/>
      <c r="D99" s="6"/>
      <c r="E99" s="7"/>
      <c r="F99" s="9" t="str">
        <f>IF(A99="","",IF(E99="",Parámetros!$B$5,E99)/6*30)</f>
        <v/>
      </c>
      <c r="G99" s="17" t="str">
        <f t="shared" si="2"/>
        <v/>
      </c>
    </row>
    <row r="100" spans="1:7" x14ac:dyDescent="0.25">
      <c r="A100" s="8"/>
      <c r="B100" s="16"/>
      <c r="C100" s="16"/>
      <c r="D100" s="6"/>
      <c r="E100" s="7"/>
      <c r="F100" s="9" t="str">
        <f>IF(A100="","",IF(E100="",Parámetros!$B$5,E100)/6*30)</f>
        <v/>
      </c>
      <c r="G100" s="17" t="str">
        <f t="shared" si="2"/>
        <v/>
      </c>
    </row>
    <row r="101" spans="1:7" x14ac:dyDescent="0.25">
      <c r="A101" s="8"/>
      <c r="B101" s="16"/>
      <c r="C101" s="16"/>
      <c r="D101" s="6"/>
      <c r="E101" s="7"/>
      <c r="F101" s="9" t="str">
        <f>IF(A101="","",IF(E101="",Parámetros!$B$5,E101)/6*30)</f>
        <v/>
      </c>
      <c r="G101" s="17" t="str">
        <f t="shared" ref="G101:G132" si="3">IF(OR(A101="",D101=""),"",D101/F101)</f>
        <v/>
      </c>
    </row>
    <row r="102" spans="1:7" x14ac:dyDescent="0.25">
      <c r="A102" s="8"/>
      <c r="B102" s="16"/>
      <c r="C102" s="16"/>
      <c r="D102" s="6"/>
      <c r="E102" s="7"/>
      <c r="F102" s="9" t="str">
        <f>IF(A102="","",IF(E102="",Parámetros!$B$5,E102)/6*30)</f>
        <v/>
      </c>
      <c r="G102" s="17" t="str">
        <f t="shared" si="3"/>
        <v/>
      </c>
    </row>
    <row r="103" spans="1:7" x14ac:dyDescent="0.25">
      <c r="A103" s="8"/>
      <c r="B103" s="16"/>
      <c r="C103" s="16"/>
      <c r="D103" s="6"/>
      <c r="E103" s="7"/>
      <c r="F103" s="9" t="str">
        <f>IF(A103="","",IF(E103="",Parámetros!$B$5,E103)/6*30)</f>
        <v/>
      </c>
      <c r="G103" s="17" t="str">
        <f t="shared" si="3"/>
        <v/>
      </c>
    </row>
    <row r="104" spans="1:7" x14ac:dyDescent="0.25">
      <c r="A104" s="8"/>
      <c r="B104" s="16"/>
      <c r="C104" s="16"/>
      <c r="D104" s="6"/>
      <c r="E104" s="7"/>
      <c r="F104" s="9" t="str">
        <f>IF(A104="","",IF(E104="",Parámetros!$B$5,E104)/6*30)</f>
        <v/>
      </c>
      <c r="G104" s="17" t="str">
        <f t="shared" si="3"/>
        <v/>
      </c>
    </row>
    <row r="105" spans="1:7" x14ac:dyDescent="0.25">
      <c r="A105" s="8"/>
      <c r="B105" s="16"/>
      <c r="C105" s="16"/>
      <c r="D105" s="6"/>
      <c r="E105" s="7"/>
      <c r="F105" s="9" t="str">
        <f>IF(A105="","",IF(E105="",Parámetros!$B$5,E105)/6*30)</f>
        <v/>
      </c>
      <c r="G105" s="17" t="str">
        <f t="shared" si="3"/>
        <v/>
      </c>
    </row>
    <row r="106" spans="1:7" x14ac:dyDescent="0.25">
      <c r="A106" s="8"/>
      <c r="B106" s="16"/>
      <c r="C106" s="16"/>
      <c r="D106" s="6"/>
      <c r="E106" s="7"/>
      <c r="F106" s="9" t="str">
        <f>IF(A106="","",IF(E106="",Parámetros!$B$5,E106)/6*30)</f>
        <v/>
      </c>
      <c r="G106" s="17" t="str">
        <f t="shared" si="3"/>
        <v/>
      </c>
    </row>
    <row r="107" spans="1:7" x14ac:dyDescent="0.25">
      <c r="A107" s="8"/>
      <c r="B107" s="16"/>
      <c r="C107" s="16"/>
      <c r="D107" s="6"/>
      <c r="E107" s="7"/>
      <c r="F107" s="9" t="str">
        <f>IF(A107="","",IF(E107="",Parámetros!$B$5,E107)/6*30)</f>
        <v/>
      </c>
      <c r="G107" s="17" t="str">
        <f t="shared" si="3"/>
        <v/>
      </c>
    </row>
    <row r="108" spans="1:7" x14ac:dyDescent="0.25">
      <c r="A108" s="8"/>
      <c r="B108" s="16"/>
      <c r="C108" s="16"/>
      <c r="D108" s="6"/>
      <c r="E108" s="7"/>
      <c r="F108" s="9" t="str">
        <f>IF(A108="","",IF(E108="",Parámetros!$B$5,E108)/6*30)</f>
        <v/>
      </c>
      <c r="G108" s="17" t="str">
        <f t="shared" si="3"/>
        <v/>
      </c>
    </row>
    <row r="109" spans="1:7" x14ac:dyDescent="0.25">
      <c r="A109" s="8"/>
      <c r="B109" s="16"/>
      <c r="C109" s="16"/>
      <c r="D109" s="6"/>
      <c r="E109" s="7"/>
      <c r="F109" s="9" t="str">
        <f>IF(A109="","",IF(E109="",Parámetros!$B$5,E109)/6*30)</f>
        <v/>
      </c>
      <c r="G109" s="17" t="str">
        <f t="shared" si="3"/>
        <v/>
      </c>
    </row>
    <row r="110" spans="1:7" x14ac:dyDescent="0.25">
      <c r="A110" s="8"/>
      <c r="B110" s="16"/>
      <c r="C110" s="16"/>
      <c r="D110" s="6"/>
      <c r="E110" s="7"/>
      <c r="F110" s="9" t="str">
        <f>IF(A110="","",IF(E110="",Parámetros!$B$5,E110)/6*30)</f>
        <v/>
      </c>
      <c r="G110" s="17" t="str">
        <f t="shared" si="3"/>
        <v/>
      </c>
    </row>
    <row r="111" spans="1:7" x14ac:dyDescent="0.25">
      <c r="A111" s="8"/>
      <c r="B111" s="16"/>
      <c r="C111" s="16"/>
      <c r="D111" s="6"/>
      <c r="E111" s="7"/>
      <c r="F111" s="9" t="str">
        <f>IF(A111="","",IF(E111="",Parámetros!$B$5,E111)/6*30)</f>
        <v/>
      </c>
      <c r="G111" s="17" t="str">
        <f t="shared" si="3"/>
        <v/>
      </c>
    </row>
    <row r="112" spans="1:7" x14ac:dyDescent="0.25">
      <c r="A112" s="8"/>
      <c r="B112" s="16"/>
      <c r="C112" s="16"/>
      <c r="D112" s="6"/>
      <c r="E112" s="7"/>
      <c r="F112" s="9" t="str">
        <f>IF(A112="","",IF(E112="",Parámetros!$B$5,E112)/6*30)</f>
        <v/>
      </c>
      <c r="G112" s="17" t="str">
        <f t="shared" si="3"/>
        <v/>
      </c>
    </row>
    <row r="113" spans="1:7" x14ac:dyDescent="0.25">
      <c r="A113" s="8"/>
      <c r="B113" s="16"/>
      <c r="C113" s="16"/>
      <c r="D113" s="6"/>
      <c r="E113" s="7"/>
      <c r="F113" s="9" t="str">
        <f>IF(A113="","",IF(E113="",Parámetros!$B$5,E113)/6*30)</f>
        <v/>
      </c>
      <c r="G113" s="17" t="str">
        <f t="shared" si="3"/>
        <v/>
      </c>
    </row>
    <row r="114" spans="1:7" x14ac:dyDescent="0.25">
      <c r="A114" s="8"/>
      <c r="B114" s="16"/>
      <c r="C114" s="16"/>
      <c r="D114" s="6"/>
      <c r="E114" s="7"/>
      <c r="F114" s="9" t="str">
        <f>IF(A114="","",IF(E114="",Parámetros!$B$5,E114)/6*30)</f>
        <v/>
      </c>
      <c r="G114" s="17" t="str">
        <f t="shared" si="3"/>
        <v/>
      </c>
    </row>
    <row r="115" spans="1:7" x14ac:dyDescent="0.25">
      <c r="A115" s="8"/>
      <c r="B115" s="16"/>
      <c r="C115" s="16"/>
      <c r="D115" s="6"/>
      <c r="E115" s="7"/>
      <c r="F115" s="9" t="str">
        <f>IF(A115="","",IF(E115="",Parámetros!$B$5,E115)/6*30)</f>
        <v/>
      </c>
      <c r="G115" s="17" t="str">
        <f t="shared" si="3"/>
        <v/>
      </c>
    </row>
    <row r="116" spans="1:7" x14ac:dyDescent="0.25">
      <c r="A116" s="8"/>
      <c r="B116" s="16"/>
      <c r="C116" s="16"/>
      <c r="D116" s="6"/>
      <c r="E116" s="7"/>
      <c r="F116" s="9" t="str">
        <f>IF(A116="","",IF(E116="",Parámetros!$B$5,E116)/6*30)</f>
        <v/>
      </c>
      <c r="G116" s="17" t="str">
        <f t="shared" si="3"/>
        <v/>
      </c>
    </row>
    <row r="117" spans="1:7" x14ac:dyDescent="0.25">
      <c r="A117" s="8"/>
      <c r="B117" s="16"/>
      <c r="C117" s="16"/>
      <c r="D117" s="6"/>
      <c r="E117" s="7"/>
      <c r="F117" s="9" t="str">
        <f>IF(A117="","",IF(E117="",Parámetros!$B$5,E117)/6*30)</f>
        <v/>
      </c>
      <c r="G117" s="17" t="str">
        <f t="shared" si="3"/>
        <v/>
      </c>
    </row>
    <row r="118" spans="1:7" x14ac:dyDescent="0.25">
      <c r="A118" s="8"/>
      <c r="B118" s="16"/>
      <c r="C118" s="16"/>
      <c r="D118" s="6"/>
      <c r="E118" s="7"/>
      <c r="F118" s="9" t="str">
        <f>IF(A118="","",IF(E118="",Parámetros!$B$5,E118)/6*30)</f>
        <v/>
      </c>
      <c r="G118" s="17" t="str">
        <f t="shared" si="3"/>
        <v/>
      </c>
    </row>
    <row r="119" spans="1:7" x14ac:dyDescent="0.25">
      <c r="A119" s="8"/>
      <c r="B119" s="16"/>
      <c r="C119" s="16"/>
      <c r="D119" s="6"/>
      <c r="E119" s="7"/>
      <c r="F119" s="9" t="str">
        <f>IF(A119="","",IF(E119="",Parámetros!$B$5,E119)/6*30)</f>
        <v/>
      </c>
      <c r="G119" s="17" t="str">
        <f t="shared" si="3"/>
        <v/>
      </c>
    </row>
    <row r="120" spans="1:7" x14ac:dyDescent="0.25">
      <c r="A120" s="8"/>
      <c r="B120" s="16"/>
      <c r="C120" s="16"/>
      <c r="D120" s="6"/>
      <c r="E120" s="7"/>
      <c r="F120" s="9" t="str">
        <f>IF(A120="","",IF(E120="",Parámetros!$B$5,E120)/6*30)</f>
        <v/>
      </c>
      <c r="G120" s="17" t="str">
        <f t="shared" si="3"/>
        <v/>
      </c>
    </row>
    <row r="121" spans="1:7" x14ac:dyDescent="0.25">
      <c r="A121" s="8"/>
      <c r="B121" s="16"/>
      <c r="C121" s="16"/>
      <c r="D121" s="6"/>
      <c r="E121" s="7"/>
      <c r="F121" s="9" t="str">
        <f>IF(A121="","",IF(E121="",Parámetros!$B$5,E121)/6*30)</f>
        <v/>
      </c>
      <c r="G121" s="17" t="str">
        <f t="shared" si="3"/>
        <v/>
      </c>
    </row>
    <row r="122" spans="1:7" x14ac:dyDescent="0.25">
      <c r="A122" s="8"/>
      <c r="B122" s="16"/>
      <c r="C122" s="16"/>
      <c r="D122" s="6"/>
      <c r="E122" s="7"/>
      <c r="F122" s="9" t="str">
        <f>IF(A122="","",IF(E122="",Parámetros!$B$5,E122)/6*30)</f>
        <v/>
      </c>
      <c r="G122" s="17" t="str">
        <f t="shared" si="3"/>
        <v/>
      </c>
    </row>
    <row r="123" spans="1:7" x14ac:dyDescent="0.25">
      <c r="A123" s="8"/>
      <c r="B123" s="16"/>
      <c r="C123" s="16"/>
      <c r="D123" s="6"/>
      <c r="E123" s="7"/>
      <c r="F123" s="9" t="str">
        <f>IF(A123="","",IF(E123="",Parámetros!$B$5,E123)/6*30)</f>
        <v/>
      </c>
      <c r="G123" s="17" t="str">
        <f t="shared" si="3"/>
        <v/>
      </c>
    </row>
    <row r="124" spans="1:7" x14ac:dyDescent="0.25">
      <c r="A124" s="8"/>
      <c r="B124" s="16"/>
      <c r="C124" s="16"/>
      <c r="D124" s="6"/>
      <c r="E124" s="7"/>
      <c r="F124" s="9" t="str">
        <f>IF(A124="","",IF(E124="",Parámetros!$B$5,E124)/6*30)</f>
        <v/>
      </c>
      <c r="G124" s="17" t="str">
        <f t="shared" si="3"/>
        <v/>
      </c>
    </row>
    <row r="125" spans="1:7" x14ac:dyDescent="0.25">
      <c r="A125" s="8"/>
      <c r="B125" s="16"/>
      <c r="C125" s="16"/>
      <c r="D125" s="6"/>
      <c r="E125" s="7"/>
      <c r="F125" s="9" t="str">
        <f>IF(A125="","",IF(E125="",Parámetros!$B$5,E125)/6*30)</f>
        <v/>
      </c>
      <c r="G125" s="17" t="str">
        <f t="shared" si="3"/>
        <v/>
      </c>
    </row>
    <row r="126" spans="1:7" x14ac:dyDescent="0.25">
      <c r="A126" s="8"/>
      <c r="B126" s="16"/>
      <c r="C126" s="16"/>
      <c r="D126" s="6"/>
      <c r="E126" s="7"/>
      <c r="F126" s="9" t="str">
        <f>IF(A126="","",IF(E126="",Parámetros!$B$5,E126)/6*30)</f>
        <v/>
      </c>
      <c r="G126" s="17" t="str">
        <f t="shared" si="3"/>
        <v/>
      </c>
    </row>
    <row r="127" spans="1:7" x14ac:dyDescent="0.25">
      <c r="A127" s="8"/>
      <c r="B127" s="16"/>
      <c r="C127" s="16"/>
      <c r="D127" s="6"/>
      <c r="E127" s="7"/>
      <c r="F127" s="9" t="str">
        <f>IF(A127="","",IF(E127="",Parámetros!$B$5,E127)/6*30)</f>
        <v/>
      </c>
      <c r="G127" s="17" t="str">
        <f t="shared" si="3"/>
        <v/>
      </c>
    </row>
    <row r="128" spans="1:7" x14ac:dyDescent="0.25">
      <c r="A128" s="8"/>
      <c r="B128" s="16"/>
      <c r="C128" s="16"/>
      <c r="D128" s="6"/>
      <c r="E128" s="7"/>
      <c r="F128" s="9" t="str">
        <f>IF(A128="","",IF(E128="",Parámetros!$B$5,E128)/6*30)</f>
        <v/>
      </c>
      <c r="G128" s="17" t="str">
        <f t="shared" si="3"/>
        <v/>
      </c>
    </row>
    <row r="129" spans="1:7" x14ac:dyDescent="0.25">
      <c r="A129" s="8"/>
      <c r="B129" s="16"/>
      <c r="C129" s="16"/>
      <c r="D129" s="6"/>
      <c r="E129" s="7"/>
      <c r="F129" s="9" t="str">
        <f>IF(A129="","",IF(E129="",Parámetros!$B$5,E129)/6*30)</f>
        <v/>
      </c>
      <c r="G129" s="17" t="str">
        <f t="shared" si="3"/>
        <v/>
      </c>
    </row>
    <row r="130" spans="1:7" x14ac:dyDescent="0.25">
      <c r="A130" s="8"/>
      <c r="B130" s="16"/>
      <c r="C130" s="16"/>
      <c r="D130" s="6"/>
      <c r="E130" s="7"/>
      <c r="F130" s="9" t="str">
        <f>IF(A130="","",IF(E130="",Parámetros!$B$5,E130)/6*30)</f>
        <v/>
      </c>
      <c r="G130" s="17" t="str">
        <f t="shared" si="3"/>
        <v/>
      </c>
    </row>
    <row r="131" spans="1:7" x14ac:dyDescent="0.25">
      <c r="A131" s="8"/>
      <c r="B131" s="16"/>
      <c r="C131" s="16"/>
      <c r="D131" s="6"/>
      <c r="E131" s="7"/>
      <c r="F131" s="9" t="str">
        <f>IF(A131="","",IF(E131="",Parámetros!$B$5,E131)/6*30)</f>
        <v/>
      </c>
      <c r="G131" s="17" t="str">
        <f t="shared" si="3"/>
        <v/>
      </c>
    </row>
    <row r="132" spans="1:7" x14ac:dyDescent="0.25">
      <c r="A132" s="8"/>
      <c r="B132" s="16"/>
      <c r="C132" s="16"/>
      <c r="D132" s="6"/>
      <c r="E132" s="7"/>
      <c r="F132" s="9" t="str">
        <f>IF(A132="","",IF(E132="",Parámetros!$B$5,E132)/6*30)</f>
        <v/>
      </c>
      <c r="G132" s="17" t="str">
        <f t="shared" si="3"/>
        <v/>
      </c>
    </row>
    <row r="133" spans="1:7" x14ac:dyDescent="0.25">
      <c r="A133" s="8"/>
      <c r="B133" s="16"/>
      <c r="C133" s="16"/>
      <c r="D133" s="6"/>
      <c r="E133" s="7"/>
      <c r="F133" s="9" t="str">
        <f>IF(A133="","",IF(E133="",Parámetros!$B$5,E133)/6*30)</f>
        <v/>
      </c>
      <c r="G133" s="17" t="str">
        <f t="shared" ref="G133:G164" si="4">IF(OR(A133="",D133=""),"",D133/F133)</f>
        <v/>
      </c>
    </row>
    <row r="134" spans="1:7" x14ac:dyDescent="0.25">
      <c r="A134" s="8"/>
      <c r="B134" s="16"/>
      <c r="C134" s="16"/>
      <c r="D134" s="6"/>
      <c r="E134" s="7"/>
      <c r="F134" s="9" t="str">
        <f>IF(A134="","",IF(E134="",Parámetros!$B$5,E134)/6*30)</f>
        <v/>
      </c>
      <c r="G134" s="17" t="str">
        <f t="shared" si="4"/>
        <v/>
      </c>
    </row>
    <row r="135" spans="1:7" x14ac:dyDescent="0.25">
      <c r="A135" s="8"/>
      <c r="B135" s="16"/>
      <c r="C135" s="16"/>
      <c r="D135" s="6"/>
      <c r="E135" s="7"/>
      <c r="F135" s="9" t="str">
        <f>IF(A135="","",IF(E135="",Parámetros!$B$5,E135)/6*30)</f>
        <v/>
      </c>
      <c r="G135" s="17" t="str">
        <f t="shared" si="4"/>
        <v/>
      </c>
    </row>
    <row r="136" spans="1:7" x14ac:dyDescent="0.25">
      <c r="A136" s="8"/>
      <c r="B136" s="16"/>
      <c r="C136" s="16"/>
      <c r="D136" s="6"/>
      <c r="E136" s="7"/>
      <c r="F136" s="9" t="str">
        <f>IF(A136="","",IF(E136="",Parámetros!$B$5,E136)/6*30)</f>
        <v/>
      </c>
      <c r="G136" s="17" t="str">
        <f t="shared" si="4"/>
        <v/>
      </c>
    </row>
    <row r="137" spans="1:7" x14ac:dyDescent="0.25">
      <c r="A137" s="8"/>
      <c r="B137" s="16"/>
      <c r="C137" s="16"/>
      <c r="D137" s="6"/>
      <c r="E137" s="7"/>
      <c r="F137" s="9" t="str">
        <f>IF(A137="","",IF(E137="",Parámetros!$B$5,E137)/6*30)</f>
        <v/>
      </c>
      <c r="G137" s="17" t="str">
        <f t="shared" si="4"/>
        <v/>
      </c>
    </row>
    <row r="138" spans="1:7" x14ac:dyDescent="0.25">
      <c r="A138" s="8"/>
      <c r="B138" s="16"/>
      <c r="C138" s="16"/>
      <c r="D138" s="6"/>
      <c r="E138" s="7"/>
      <c r="F138" s="9" t="str">
        <f>IF(A138="","",IF(E138="",Parámetros!$B$5,E138)/6*30)</f>
        <v/>
      </c>
      <c r="G138" s="17" t="str">
        <f t="shared" si="4"/>
        <v/>
      </c>
    </row>
    <row r="139" spans="1:7" x14ac:dyDescent="0.25">
      <c r="A139" s="8"/>
      <c r="B139" s="16"/>
      <c r="C139" s="16"/>
      <c r="D139" s="6"/>
      <c r="E139" s="7"/>
      <c r="F139" s="9" t="str">
        <f>IF(A139="","",IF(E139="",Parámetros!$B$5,E139)/6*30)</f>
        <v/>
      </c>
      <c r="G139" s="17" t="str">
        <f t="shared" si="4"/>
        <v/>
      </c>
    </row>
    <row r="140" spans="1:7" x14ac:dyDescent="0.25">
      <c r="A140" s="8"/>
      <c r="B140" s="16"/>
      <c r="C140" s="16"/>
      <c r="D140" s="6"/>
      <c r="E140" s="7"/>
      <c r="F140" s="9" t="str">
        <f>IF(A140="","",IF(E140="",Parámetros!$B$5,E140)/6*30)</f>
        <v/>
      </c>
      <c r="G140" s="17" t="str">
        <f t="shared" si="4"/>
        <v/>
      </c>
    </row>
    <row r="141" spans="1:7" x14ac:dyDescent="0.25">
      <c r="A141" s="8"/>
      <c r="B141" s="16"/>
      <c r="C141" s="16"/>
      <c r="D141" s="6"/>
      <c r="E141" s="7"/>
      <c r="F141" s="9" t="str">
        <f>IF(A141="","",IF(E141="",Parámetros!$B$5,E141)/6*30)</f>
        <v/>
      </c>
      <c r="G141" s="17" t="str">
        <f t="shared" si="4"/>
        <v/>
      </c>
    </row>
    <row r="142" spans="1:7" x14ac:dyDescent="0.25">
      <c r="A142" s="8"/>
      <c r="B142" s="16"/>
      <c r="C142" s="16"/>
      <c r="D142" s="6"/>
      <c r="E142" s="7"/>
      <c r="F142" s="9" t="str">
        <f>IF(A142="","",IF(E142="",Parámetros!$B$5,E142)/6*30)</f>
        <v/>
      </c>
      <c r="G142" s="17" t="str">
        <f t="shared" si="4"/>
        <v/>
      </c>
    </row>
    <row r="143" spans="1:7" x14ac:dyDescent="0.25">
      <c r="A143" s="8"/>
      <c r="B143" s="16"/>
      <c r="C143" s="16"/>
      <c r="D143" s="6"/>
      <c r="E143" s="7"/>
      <c r="F143" s="9" t="str">
        <f>IF(A143="","",IF(E143="",Parámetros!$B$5,E143)/6*30)</f>
        <v/>
      </c>
      <c r="G143" s="17" t="str">
        <f t="shared" si="4"/>
        <v/>
      </c>
    </row>
    <row r="144" spans="1:7" x14ac:dyDescent="0.25">
      <c r="A144" s="8"/>
      <c r="B144" s="16"/>
      <c r="C144" s="16"/>
      <c r="D144" s="6"/>
      <c r="E144" s="7"/>
      <c r="F144" s="9" t="str">
        <f>IF(A144="","",IF(E144="",Parámetros!$B$5,E144)/6*30)</f>
        <v/>
      </c>
      <c r="G144" s="17" t="str">
        <f t="shared" si="4"/>
        <v/>
      </c>
    </row>
    <row r="145" spans="1:7" x14ac:dyDescent="0.25">
      <c r="A145" s="8"/>
      <c r="B145" s="16"/>
      <c r="C145" s="16"/>
      <c r="D145" s="6"/>
      <c r="E145" s="7"/>
      <c r="F145" s="9" t="str">
        <f>IF(A145="","",IF(E145="",Parámetros!$B$5,E145)/6*30)</f>
        <v/>
      </c>
      <c r="G145" s="17" t="str">
        <f t="shared" si="4"/>
        <v/>
      </c>
    </row>
    <row r="146" spans="1:7" x14ac:dyDescent="0.25">
      <c r="A146" s="8"/>
      <c r="B146" s="16"/>
      <c r="C146" s="16"/>
      <c r="D146" s="6"/>
      <c r="E146" s="7"/>
      <c r="F146" s="9" t="str">
        <f>IF(A146="","",IF(E146="",Parámetros!$B$5,E146)/6*30)</f>
        <v/>
      </c>
      <c r="G146" s="17" t="str">
        <f t="shared" si="4"/>
        <v/>
      </c>
    </row>
    <row r="147" spans="1:7" x14ac:dyDescent="0.25">
      <c r="A147" s="8"/>
      <c r="B147" s="16"/>
      <c r="C147" s="16"/>
      <c r="D147" s="6"/>
      <c r="E147" s="7"/>
      <c r="F147" s="9" t="str">
        <f>IF(A147="","",IF(E147="",Parámetros!$B$5,E147)/6*30)</f>
        <v/>
      </c>
      <c r="G147" s="17" t="str">
        <f t="shared" si="4"/>
        <v/>
      </c>
    </row>
    <row r="148" spans="1:7" x14ac:dyDescent="0.25">
      <c r="A148" s="8"/>
      <c r="B148" s="16"/>
      <c r="C148" s="16"/>
      <c r="D148" s="6"/>
      <c r="E148" s="7"/>
      <c r="F148" s="9" t="str">
        <f>IF(A148="","",IF(E148="",Parámetros!$B$5,E148)/6*30)</f>
        <v/>
      </c>
      <c r="G148" s="17" t="str">
        <f t="shared" si="4"/>
        <v/>
      </c>
    </row>
    <row r="149" spans="1:7" x14ac:dyDescent="0.25">
      <c r="A149" s="8"/>
      <c r="B149" s="16"/>
      <c r="C149" s="16"/>
      <c r="D149" s="6"/>
      <c r="E149" s="7"/>
      <c r="F149" s="9" t="str">
        <f>IF(A149="","",IF(E149="",Parámetros!$B$5,E149)/6*30)</f>
        <v/>
      </c>
      <c r="G149" s="17" t="str">
        <f t="shared" si="4"/>
        <v/>
      </c>
    </row>
    <row r="150" spans="1:7" x14ac:dyDescent="0.25">
      <c r="A150" s="8"/>
      <c r="B150" s="16"/>
      <c r="C150" s="16"/>
      <c r="D150" s="6"/>
      <c r="E150" s="7"/>
      <c r="F150" s="9" t="str">
        <f>IF(A150="","",IF(E150="",Parámetros!$B$5,E150)/6*30)</f>
        <v/>
      </c>
      <c r="G150" s="17" t="str">
        <f t="shared" si="4"/>
        <v/>
      </c>
    </row>
    <row r="151" spans="1:7" x14ac:dyDescent="0.25">
      <c r="A151" s="8"/>
      <c r="B151" s="16"/>
      <c r="C151" s="16"/>
      <c r="D151" s="6"/>
      <c r="E151" s="7"/>
      <c r="F151" s="9" t="str">
        <f>IF(A151="","",IF(E151="",Parámetros!$B$5,E151)/6*30)</f>
        <v/>
      </c>
      <c r="G151" s="17" t="str">
        <f t="shared" si="4"/>
        <v/>
      </c>
    </row>
    <row r="152" spans="1:7" x14ac:dyDescent="0.25">
      <c r="A152" s="8"/>
      <c r="B152" s="16"/>
      <c r="C152" s="16"/>
      <c r="D152" s="6"/>
      <c r="E152" s="7"/>
      <c r="F152" s="9" t="str">
        <f>IF(A152="","",IF(E152="",Parámetros!$B$5,E152)/6*30)</f>
        <v/>
      </c>
      <c r="G152" s="17" t="str">
        <f t="shared" si="4"/>
        <v/>
      </c>
    </row>
    <row r="153" spans="1:7" x14ac:dyDescent="0.25">
      <c r="A153" s="8"/>
      <c r="B153" s="16"/>
      <c r="C153" s="16"/>
      <c r="D153" s="6"/>
      <c r="E153" s="7"/>
      <c r="F153" s="9" t="str">
        <f>IF(A153="","",IF(E153="",Parámetros!$B$5,E153)/6*30)</f>
        <v/>
      </c>
      <c r="G153" s="17" t="str">
        <f t="shared" si="4"/>
        <v/>
      </c>
    </row>
    <row r="154" spans="1:7" x14ac:dyDescent="0.25">
      <c r="A154" s="8"/>
      <c r="B154" s="16"/>
      <c r="C154" s="16"/>
      <c r="D154" s="6"/>
      <c r="E154" s="7"/>
      <c r="F154" s="9" t="str">
        <f>IF(A154="","",IF(E154="",Parámetros!$B$5,E154)/6*30)</f>
        <v/>
      </c>
      <c r="G154" s="17" t="str">
        <f t="shared" si="4"/>
        <v/>
      </c>
    </row>
    <row r="155" spans="1:7" x14ac:dyDescent="0.25">
      <c r="A155" s="8"/>
      <c r="B155" s="16"/>
      <c r="C155" s="16"/>
      <c r="D155" s="6"/>
      <c r="E155" s="7"/>
      <c r="F155" s="9" t="str">
        <f>IF(A155="","",IF(E155="",Parámetros!$B$5,E155)/6*30)</f>
        <v/>
      </c>
      <c r="G155" s="17" t="str">
        <f t="shared" si="4"/>
        <v/>
      </c>
    </row>
    <row r="156" spans="1:7" x14ac:dyDescent="0.25">
      <c r="A156" s="8"/>
      <c r="B156" s="16"/>
      <c r="C156" s="16"/>
      <c r="D156" s="6"/>
      <c r="E156" s="7"/>
      <c r="F156" s="9" t="str">
        <f>IF(A156="","",IF(E156="",Parámetros!$B$5,E156)/6*30)</f>
        <v/>
      </c>
      <c r="G156" s="17" t="str">
        <f t="shared" si="4"/>
        <v/>
      </c>
    </row>
    <row r="157" spans="1:7" x14ac:dyDescent="0.25">
      <c r="A157" s="8"/>
      <c r="B157" s="16"/>
      <c r="C157" s="16"/>
      <c r="D157" s="6"/>
      <c r="E157" s="7"/>
      <c r="F157" s="9" t="str">
        <f>IF(A157="","",IF(E157="",Parámetros!$B$5,E157)/6*30)</f>
        <v/>
      </c>
      <c r="G157" s="17" t="str">
        <f t="shared" si="4"/>
        <v/>
      </c>
    </row>
    <row r="158" spans="1:7" x14ac:dyDescent="0.25">
      <c r="A158" s="8"/>
      <c r="B158" s="16"/>
      <c r="C158" s="16"/>
      <c r="D158" s="6"/>
      <c r="E158" s="7"/>
      <c r="F158" s="9" t="str">
        <f>IF(A158="","",IF(E158="",Parámetros!$B$5,E158)/6*30)</f>
        <v/>
      </c>
      <c r="G158" s="17" t="str">
        <f t="shared" si="4"/>
        <v/>
      </c>
    </row>
    <row r="159" spans="1:7" x14ac:dyDescent="0.25">
      <c r="A159" s="8"/>
      <c r="B159" s="16"/>
      <c r="C159" s="16"/>
      <c r="D159" s="6"/>
      <c r="E159" s="7"/>
      <c r="F159" s="9" t="str">
        <f>IF(A159="","",IF(E159="",Parámetros!$B$5,E159)/6*30)</f>
        <v/>
      </c>
      <c r="G159" s="17" t="str">
        <f t="shared" si="4"/>
        <v/>
      </c>
    </row>
    <row r="160" spans="1:7" x14ac:dyDescent="0.25">
      <c r="A160" s="8"/>
      <c r="B160" s="16"/>
      <c r="C160" s="16"/>
      <c r="D160" s="6"/>
      <c r="E160" s="7"/>
      <c r="F160" s="9" t="str">
        <f>IF(A160="","",IF(E160="",Parámetros!$B$5,E160)/6*30)</f>
        <v/>
      </c>
      <c r="G160" s="17" t="str">
        <f t="shared" si="4"/>
        <v/>
      </c>
    </row>
    <row r="161" spans="1:7" x14ac:dyDescent="0.25">
      <c r="A161" s="8"/>
      <c r="B161" s="16"/>
      <c r="C161" s="16"/>
      <c r="D161" s="6"/>
      <c r="E161" s="7"/>
      <c r="F161" s="9" t="str">
        <f>IF(A161="","",IF(E161="",Parámetros!$B$5,E161)/6*30)</f>
        <v/>
      </c>
      <c r="G161" s="17" t="str">
        <f t="shared" si="4"/>
        <v/>
      </c>
    </row>
    <row r="162" spans="1:7" x14ac:dyDescent="0.25">
      <c r="A162" s="8"/>
      <c r="B162" s="16"/>
      <c r="C162" s="16"/>
      <c r="D162" s="6"/>
      <c r="E162" s="7"/>
      <c r="F162" s="9" t="str">
        <f>IF(A162="","",IF(E162="",Parámetros!$B$5,E162)/6*30)</f>
        <v/>
      </c>
      <c r="G162" s="17" t="str">
        <f t="shared" si="4"/>
        <v/>
      </c>
    </row>
    <row r="163" spans="1:7" x14ac:dyDescent="0.25">
      <c r="A163" s="8"/>
      <c r="B163" s="16"/>
      <c r="C163" s="16"/>
      <c r="D163" s="6"/>
      <c r="E163" s="7"/>
      <c r="F163" s="9" t="str">
        <f>IF(A163="","",IF(E163="",Parámetros!$B$5,E163)/6*30)</f>
        <v/>
      </c>
      <c r="G163" s="17" t="str">
        <f t="shared" si="4"/>
        <v/>
      </c>
    </row>
    <row r="164" spans="1:7" x14ac:dyDescent="0.25">
      <c r="A164" s="8"/>
      <c r="B164" s="16"/>
      <c r="C164" s="16"/>
      <c r="D164" s="6"/>
      <c r="E164" s="7"/>
      <c r="F164" s="9" t="str">
        <f>IF(A164="","",IF(E164="",Parámetros!$B$5,E164)/6*30)</f>
        <v/>
      </c>
      <c r="G164" s="17" t="str">
        <f t="shared" si="4"/>
        <v/>
      </c>
    </row>
    <row r="165" spans="1:7" x14ac:dyDescent="0.25">
      <c r="A165" s="8"/>
      <c r="B165" s="16"/>
      <c r="C165" s="16"/>
      <c r="D165" s="6"/>
      <c r="E165" s="7"/>
      <c r="F165" s="9" t="str">
        <f>IF(A165="","",IF(E165="",Parámetros!$B$5,E165)/6*30)</f>
        <v/>
      </c>
      <c r="G165" s="17" t="str">
        <f t="shared" ref="G165:G196" si="5">IF(OR(A165="",D165=""),"",D165/F165)</f>
        <v/>
      </c>
    </row>
    <row r="166" spans="1:7" x14ac:dyDescent="0.25">
      <c r="A166" s="8"/>
      <c r="B166" s="16"/>
      <c r="C166" s="16"/>
      <c r="D166" s="6"/>
      <c r="E166" s="7"/>
      <c r="F166" s="9" t="str">
        <f>IF(A166="","",IF(E166="",Parámetros!$B$5,E166)/6*30)</f>
        <v/>
      </c>
      <c r="G166" s="17" t="str">
        <f t="shared" si="5"/>
        <v/>
      </c>
    </row>
    <row r="167" spans="1:7" x14ac:dyDescent="0.25">
      <c r="A167" s="8"/>
      <c r="B167" s="16"/>
      <c r="C167" s="16"/>
      <c r="D167" s="6"/>
      <c r="E167" s="7"/>
      <c r="F167" s="9" t="str">
        <f>IF(A167="","",IF(E167="",Parámetros!$B$5,E167)/6*30)</f>
        <v/>
      </c>
      <c r="G167" s="17" t="str">
        <f t="shared" si="5"/>
        <v/>
      </c>
    </row>
    <row r="168" spans="1:7" x14ac:dyDescent="0.25">
      <c r="A168" s="8"/>
      <c r="B168" s="16"/>
      <c r="C168" s="16"/>
      <c r="D168" s="6"/>
      <c r="E168" s="7"/>
      <c r="F168" s="9" t="str">
        <f>IF(A168="","",IF(E168="",Parámetros!$B$5,E168)/6*30)</f>
        <v/>
      </c>
      <c r="G168" s="17" t="str">
        <f t="shared" si="5"/>
        <v/>
      </c>
    </row>
    <row r="169" spans="1:7" x14ac:dyDescent="0.25">
      <c r="A169" s="8"/>
      <c r="B169" s="16"/>
      <c r="C169" s="16"/>
      <c r="D169" s="6"/>
      <c r="E169" s="7"/>
      <c r="F169" s="9" t="str">
        <f>IF(A169="","",IF(E169="",Parámetros!$B$5,E169)/6*30)</f>
        <v/>
      </c>
      <c r="G169" s="17" t="str">
        <f t="shared" si="5"/>
        <v/>
      </c>
    </row>
    <row r="170" spans="1:7" x14ac:dyDescent="0.25">
      <c r="A170" s="8"/>
      <c r="B170" s="16"/>
      <c r="C170" s="16"/>
      <c r="D170" s="6"/>
      <c r="E170" s="7"/>
      <c r="F170" s="9" t="str">
        <f>IF(A170="","",IF(E170="",Parámetros!$B$5,E170)/6*30)</f>
        <v/>
      </c>
      <c r="G170" s="17" t="str">
        <f t="shared" si="5"/>
        <v/>
      </c>
    </row>
    <row r="171" spans="1:7" x14ac:dyDescent="0.25">
      <c r="A171" s="8"/>
      <c r="B171" s="16"/>
      <c r="C171" s="16"/>
      <c r="D171" s="6"/>
      <c r="E171" s="7"/>
      <c r="F171" s="9" t="str">
        <f>IF(A171="","",IF(E171="",Parámetros!$B$5,E171)/6*30)</f>
        <v/>
      </c>
      <c r="G171" s="17" t="str">
        <f t="shared" si="5"/>
        <v/>
      </c>
    </row>
    <row r="172" spans="1:7" x14ac:dyDescent="0.25">
      <c r="A172" s="8"/>
      <c r="B172" s="16"/>
      <c r="C172" s="16"/>
      <c r="D172" s="6"/>
      <c r="E172" s="7"/>
      <c r="F172" s="9" t="str">
        <f>IF(A172="","",IF(E172="",Parámetros!$B$5,E172)/6*30)</f>
        <v/>
      </c>
      <c r="G172" s="17" t="str">
        <f t="shared" si="5"/>
        <v/>
      </c>
    </row>
    <row r="173" spans="1:7" x14ac:dyDescent="0.25">
      <c r="A173" s="8"/>
      <c r="B173" s="16"/>
      <c r="C173" s="16"/>
      <c r="D173" s="6"/>
      <c r="E173" s="7"/>
      <c r="F173" s="9" t="str">
        <f>IF(A173="","",IF(E173="",Parámetros!$B$5,E173)/6*30)</f>
        <v/>
      </c>
      <c r="G173" s="17" t="str">
        <f t="shared" si="5"/>
        <v/>
      </c>
    </row>
    <row r="174" spans="1:7" x14ac:dyDescent="0.25">
      <c r="A174" s="8"/>
      <c r="B174" s="16"/>
      <c r="C174" s="16"/>
      <c r="D174" s="6"/>
      <c r="E174" s="7"/>
      <c r="F174" s="9" t="str">
        <f>IF(A174="","",IF(E174="",Parámetros!$B$5,E174)/6*30)</f>
        <v/>
      </c>
      <c r="G174" s="17" t="str">
        <f t="shared" si="5"/>
        <v/>
      </c>
    </row>
    <row r="175" spans="1:7" x14ac:dyDescent="0.25">
      <c r="A175" s="8"/>
      <c r="B175" s="16"/>
      <c r="C175" s="16"/>
      <c r="D175" s="6"/>
      <c r="E175" s="7"/>
      <c r="F175" s="9" t="str">
        <f>IF(A175="","",IF(E175="",Parámetros!$B$5,E175)/6*30)</f>
        <v/>
      </c>
      <c r="G175" s="17" t="str">
        <f t="shared" si="5"/>
        <v/>
      </c>
    </row>
    <row r="176" spans="1:7" x14ac:dyDescent="0.25">
      <c r="A176" s="8"/>
      <c r="B176" s="16"/>
      <c r="C176" s="16"/>
      <c r="D176" s="6"/>
      <c r="E176" s="7"/>
      <c r="F176" s="9" t="str">
        <f>IF(A176="","",IF(E176="",Parámetros!$B$5,E176)/6*30)</f>
        <v/>
      </c>
      <c r="G176" s="17" t="str">
        <f t="shared" si="5"/>
        <v/>
      </c>
    </row>
    <row r="177" spans="1:7" x14ac:dyDescent="0.25">
      <c r="A177" s="8"/>
      <c r="B177" s="16"/>
      <c r="C177" s="16"/>
      <c r="D177" s="6"/>
      <c r="E177" s="7"/>
      <c r="F177" s="9" t="str">
        <f>IF(A177="","",IF(E177="",Parámetros!$B$5,E177)/6*30)</f>
        <v/>
      </c>
      <c r="G177" s="17" t="str">
        <f t="shared" si="5"/>
        <v/>
      </c>
    </row>
    <row r="178" spans="1:7" x14ac:dyDescent="0.25">
      <c r="A178" s="8"/>
      <c r="B178" s="16"/>
      <c r="C178" s="16"/>
      <c r="D178" s="6"/>
      <c r="E178" s="7"/>
      <c r="F178" s="9" t="str">
        <f>IF(A178="","",IF(E178="",Parámetros!$B$5,E178)/6*30)</f>
        <v/>
      </c>
      <c r="G178" s="17" t="str">
        <f t="shared" si="5"/>
        <v/>
      </c>
    </row>
    <row r="179" spans="1:7" x14ac:dyDescent="0.25">
      <c r="A179" s="8"/>
      <c r="B179" s="16"/>
      <c r="C179" s="16"/>
      <c r="D179" s="6"/>
      <c r="E179" s="7"/>
      <c r="F179" s="9" t="str">
        <f>IF(A179="","",IF(E179="",Parámetros!$B$5,E179)/6*30)</f>
        <v/>
      </c>
      <c r="G179" s="17" t="str">
        <f t="shared" si="5"/>
        <v/>
      </c>
    </row>
    <row r="180" spans="1:7" x14ac:dyDescent="0.25">
      <c r="A180" s="8"/>
      <c r="B180" s="16"/>
      <c r="C180" s="16"/>
      <c r="D180" s="6"/>
      <c r="E180" s="7"/>
      <c r="F180" s="9" t="str">
        <f>IF(A180="","",IF(E180="",Parámetros!$B$5,E180)/6*30)</f>
        <v/>
      </c>
      <c r="G180" s="17" t="str">
        <f t="shared" si="5"/>
        <v/>
      </c>
    </row>
    <row r="181" spans="1:7" x14ac:dyDescent="0.25">
      <c r="A181" s="8"/>
      <c r="B181" s="16"/>
      <c r="C181" s="16"/>
      <c r="D181" s="6"/>
      <c r="E181" s="7"/>
      <c r="F181" s="9" t="str">
        <f>IF(A181="","",IF(E181="",Parámetros!$B$5,E181)/6*30)</f>
        <v/>
      </c>
      <c r="G181" s="17" t="str">
        <f t="shared" si="5"/>
        <v/>
      </c>
    </row>
    <row r="182" spans="1:7" x14ac:dyDescent="0.25">
      <c r="A182" s="8"/>
      <c r="B182" s="16"/>
      <c r="C182" s="16"/>
      <c r="D182" s="6"/>
      <c r="E182" s="7"/>
      <c r="F182" s="9" t="str">
        <f>IF(A182="","",IF(E182="",Parámetros!$B$5,E182)/6*30)</f>
        <v/>
      </c>
      <c r="G182" s="17" t="str">
        <f t="shared" si="5"/>
        <v/>
      </c>
    </row>
    <row r="183" spans="1:7" x14ac:dyDescent="0.25">
      <c r="A183" s="8"/>
      <c r="B183" s="16"/>
      <c r="C183" s="16"/>
      <c r="D183" s="6"/>
      <c r="E183" s="7"/>
      <c r="F183" s="9" t="str">
        <f>IF(A183="","",IF(E183="",Parámetros!$B$5,E183)/6*30)</f>
        <v/>
      </c>
      <c r="G183" s="17" t="str">
        <f t="shared" si="5"/>
        <v/>
      </c>
    </row>
    <row r="184" spans="1:7" x14ac:dyDescent="0.25">
      <c r="A184" s="8"/>
      <c r="B184" s="16"/>
      <c r="C184" s="16"/>
      <c r="D184" s="6"/>
      <c r="E184" s="7"/>
      <c r="F184" s="9" t="str">
        <f>IF(A184="","",IF(E184="",Parámetros!$B$5,E184)/6*30)</f>
        <v/>
      </c>
      <c r="G184" s="17" t="str">
        <f t="shared" si="5"/>
        <v/>
      </c>
    </row>
    <row r="185" spans="1:7" x14ac:dyDescent="0.25">
      <c r="A185" s="8"/>
      <c r="B185" s="16"/>
      <c r="C185" s="16"/>
      <c r="D185" s="6"/>
      <c r="E185" s="7"/>
      <c r="F185" s="9" t="str">
        <f>IF(A185="","",IF(E185="",Parámetros!$B$5,E185)/6*30)</f>
        <v/>
      </c>
      <c r="G185" s="17" t="str">
        <f t="shared" si="5"/>
        <v/>
      </c>
    </row>
    <row r="186" spans="1:7" x14ac:dyDescent="0.25">
      <c r="A186" s="8"/>
      <c r="B186" s="16"/>
      <c r="C186" s="16"/>
      <c r="D186" s="6"/>
      <c r="E186" s="7"/>
      <c r="F186" s="9" t="str">
        <f>IF(A186="","",IF(E186="",Parámetros!$B$5,E186)/6*30)</f>
        <v/>
      </c>
      <c r="G186" s="17" t="str">
        <f t="shared" si="5"/>
        <v/>
      </c>
    </row>
    <row r="187" spans="1:7" x14ac:dyDescent="0.25">
      <c r="A187" s="8"/>
      <c r="B187" s="16"/>
      <c r="C187" s="16"/>
      <c r="D187" s="6"/>
      <c r="E187" s="7"/>
      <c r="F187" s="9" t="str">
        <f>IF(A187="","",IF(E187="",Parámetros!$B$5,E187)/6*30)</f>
        <v/>
      </c>
      <c r="G187" s="17" t="str">
        <f t="shared" si="5"/>
        <v/>
      </c>
    </row>
    <row r="188" spans="1:7" x14ac:dyDescent="0.25">
      <c r="A188" s="8"/>
      <c r="B188" s="16"/>
      <c r="C188" s="16"/>
      <c r="D188" s="6"/>
      <c r="E188" s="7"/>
      <c r="F188" s="9" t="str">
        <f>IF(A188="","",IF(E188="",Parámetros!$B$5,E188)/6*30)</f>
        <v/>
      </c>
      <c r="G188" s="17" t="str">
        <f t="shared" si="5"/>
        <v/>
      </c>
    </row>
    <row r="189" spans="1:7" x14ac:dyDescent="0.25">
      <c r="A189" s="8"/>
      <c r="B189" s="16"/>
      <c r="C189" s="16"/>
      <c r="D189" s="6"/>
      <c r="E189" s="7"/>
      <c r="F189" s="9" t="str">
        <f>IF(A189="","",IF(E189="",Parámetros!$B$5,E189)/6*30)</f>
        <v/>
      </c>
      <c r="G189" s="17" t="str">
        <f t="shared" si="5"/>
        <v/>
      </c>
    </row>
    <row r="190" spans="1:7" x14ac:dyDescent="0.25">
      <c r="A190" s="8"/>
      <c r="B190" s="16"/>
      <c r="C190" s="16"/>
      <c r="D190" s="6"/>
      <c r="E190" s="7"/>
      <c r="F190" s="9" t="str">
        <f>IF(A190="","",IF(E190="",Parámetros!$B$5,E190)/6*30)</f>
        <v/>
      </c>
      <c r="G190" s="17" t="str">
        <f t="shared" si="5"/>
        <v/>
      </c>
    </row>
    <row r="191" spans="1:7" x14ac:dyDescent="0.25">
      <c r="A191" s="8"/>
      <c r="B191" s="16"/>
      <c r="C191" s="16"/>
      <c r="D191" s="6"/>
      <c r="E191" s="7"/>
      <c r="F191" s="9" t="str">
        <f>IF(A191="","",IF(E191="",Parámetros!$B$5,E191)/6*30)</f>
        <v/>
      </c>
      <c r="G191" s="17" t="str">
        <f t="shared" si="5"/>
        <v/>
      </c>
    </row>
    <row r="192" spans="1:7" x14ac:dyDescent="0.25">
      <c r="A192" s="8"/>
      <c r="B192" s="16"/>
      <c r="C192" s="16"/>
      <c r="D192" s="6"/>
      <c r="E192" s="7"/>
      <c r="F192" s="9" t="str">
        <f>IF(A192="","",IF(E192="",Parámetros!$B$5,E192)/6*30)</f>
        <v/>
      </c>
      <c r="G192" s="17" t="str">
        <f t="shared" si="5"/>
        <v/>
      </c>
    </row>
    <row r="193" spans="1:7" x14ac:dyDescent="0.25">
      <c r="A193" s="8"/>
      <c r="B193" s="16"/>
      <c r="C193" s="16"/>
      <c r="D193" s="6"/>
      <c r="E193" s="7"/>
      <c r="F193" s="9" t="str">
        <f>IF(A193="","",IF(E193="",Parámetros!$B$5,E193)/6*30)</f>
        <v/>
      </c>
      <c r="G193" s="17" t="str">
        <f t="shared" si="5"/>
        <v/>
      </c>
    </row>
    <row r="194" spans="1:7" x14ac:dyDescent="0.25">
      <c r="A194" s="8"/>
      <c r="B194" s="16"/>
      <c r="C194" s="16"/>
      <c r="D194" s="6"/>
      <c r="E194" s="7"/>
      <c r="F194" s="9" t="str">
        <f>IF(A194="","",IF(E194="",Parámetros!$B$5,E194)/6*30)</f>
        <v/>
      </c>
      <c r="G194" s="17" t="str">
        <f t="shared" si="5"/>
        <v/>
      </c>
    </row>
    <row r="195" spans="1:7" x14ac:dyDescent="0.25">
      <c r="A195" s="8"/>
      <c r="B195" s="16"/>
      <c r="C195" s="16"/>
      <c r="D195" s="6"/>
      <c r="E195" s="7"/>
      <c r="F195" s="9" t="str">
        <f>IF(A195="","",IF(E195="",Parámetros!$B$5,E195)/6*30)</f>
        <v/>
      </c>
      <c r="G195" s="17" t="str">
        <f t="shared" si="5"/>
        <v/>
      </c>
    </row>
    <row r="196" spans="1:7" x14ac:dyDescent="0.25">
      <c r="A196" s="8"/>
      <c r="B196" s="16"/>
      <c r="C196" s="16"/>
      <c r="D196" s="6"/>
      <c r="E196" s="7"/>
      <c r="F196" s="9" t="str">
        <f>IF(A196="","",IF(E196="",Parámetros!$B$5,E196)/6*30)</f>
        <v/>
      </c>
      <c r="G196" s="17" t="str">
        <f t="shared" si="5"/>
        <v/>
      </c>
    </row>
    <row r="197" spans="1:7" x14ac:dyDescent="0.25">
      <c r="A197" s="8"/>
      <c r="B197" s="16"/>
      <c r="C197" s="16"/>
      <c r="D197" s="6"/>
      <c r="E197" s="7"/>
      <c r="F197" s="9" t="str">
        <f>IF(A197="","",IF(E197="",Parámetros!$B$5,E197)/6*30)</f>
        <v/>
      </c>
      <c r="G197" s="17" t="str">
        <f t="shared" ref="G197:G228" si="6">IF(OR(A197="",D197=""),"",D197/F197)</f>
        <v/>
      </c>
    </row>
    <row r="198" spans="1:7" x14ac:dyDescent="0.25">
      <c r="A198" s="8"/>
      <c r="B198" s="16"/>
      <c r="C198" s="16"/>
      <c r="D198" s="6"/>
      <c r="E198" s="7"/>
      <c r="F198" s="9" t="str">
        <f>IF(A198="","",IF(E198="",Parámetros!$B$5,E198)/6*30)</f>
        <v/>
      </c>
      <c r="G198" s="17" t="str">
        <f t="shared" si="6"/>
        <v/>
      </c>
    </row>
    <row r="199" spans="1:7" x14ac:dyDescent="0.25">
      <c r="A199" s="8"/>
      <c r="B199" s="16"/>
      <c r="C199" s="16"/>
      <c r="D199" s="6"/>
      <c r="E199" s="7"/>
      <c r="F199" s="9" t="str">
        <f>IF(A199="","",IF(E199="",Parámetros!$B$5,E199)/6*30)</f>
        <v/>
      </c>
      <c r="G199" s="17" t="str">
        <f t="shared" si="6"/>
        <v/>
      </c>
    </row>
    <row r="200" spans="1:7" x14ac:dyDescent="0.25">
      <c r="A200" s="8"/>
      <c r="B200" s="16"/>
      <c r="C200" s="16"/>
      <c r="D200" s="6"/>
      <c r="E200" s="7"/>
      <c r="F200" s="9" t="str">
        <f>IF(A200="","",IF(E200="",Parámetros!$B$5,E200)/6*30)</f>
        <v/>
      </c>
      <c r="G200" s="17" t="str">
        <f t="shared" si="6"/>
        <v/>
      </c>
    </row>
    <row r="201" spans="1:7" x14ac:dyDescent="0.25">
      <c r="A201" s="8"/>
      <c r="B201" s="16"/>
      <c r="C201" s="16"/>
      <c r="D201" s="6"/>
      <c r="E201" s="7"/>
      <c r="F201" s="9" t="str">
        <f>IF(A201="","",IF(E201="",Parámetros!$B$5,E201)/6*30)</f>
        <v/>
      </c>
      <c r="G201" s="17" t="str">
        <f t="shared" si="6"/>
        <v/>
      </c>
    </row>
    <row r="202" spans="1:7" x14ac:dyDescent="0.25">
      <c r="A202" s="8"/>
      <c r="B202" s="16"/>
      <c r="C202" s="16"/>
      <c r="D202" s="6"/>
      <c r="E202" s="7"/>
      <c r="F202" s="9" t="str">
        <f>IF(A202="","",IF(E202="",Parámetros!$B$5,E202)/6*30)</f>
        <v/>
      </c>
      <c r="G202" s="17" t="str">
        <f t="shared" si="6"/>
        <v/>
      </c>
    </row>
    <row r="203" spans="1:7" x14ac:dyDescent="0.25">
      <c r="A203" s="8"/>
      <c r="B203" s="16"/>
      <c r="C203" s="16"/>
      <c r="D203" s="6"/>
      <c r="E203" s="7"/>
      <c r="F203" s="9" t="str">
        <f>IF(A203="","",IF(E203="",Parámetros!$B$5,E203)/6*30)</f>
        <v/>
      </c>
      <c r="G203" s="17" t="str">
        <f t="shared" si="6"/>
        <v/>
      </c>
    </row>
    <row r="204" spans="1:7" x14ac:dyDescent="0.25">
      <c r="A204" s="8"/>
      <c r="B204" s="16"/>
      <c r="C204" s="16"/>
      <c r="D204" s="6"/>
      <c r="E204" s="7"/>
      <c r="F204" s="9" t="str">
        <f>IF(A204="","",IF(E204="",Parámetros!$B$5,E204)/6*30)</f>
        <v/>
      </c>
      <c r="G204" s="17" t="str">
        <f t="shared" si="6"/>
        <v/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O504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baseColWidth="10" defaultColWidth="8.7109375" defaultRowHeight="15" outlineLevelCol="1" x14ac:dyDescent="0.25"/>
  <cols>
    <col min="1" max="1" width="11" customWidth="1"/>
    <col min="2" max="2" width="12" customWidth="1"/>
    <col min="3" max="3" width="22" customWidth="1"/>
    <col min="4" max="5" width="8" customWidth="1"/>
    <col min="6" max="6" width="9" customWidth="1"/>
    <col min="7" max="7" width="11" customWidth="1"/>
    <col min="8" max="8" width="10" customWidth="1"/>
    <col min="9" max="9" width="13" customWidth="1"/>
    <col min="10" max="10" width="10" customWidth="1"/>
    <col min="11" max="20" width="12" customWidth="1"/>
    <col min="21" max="21" width="30" customWidth="1"/>
    <col min="24" max="41" width="13" hidden="1" customWidth="1" outlineLevel="1"/>
  </cols>
  <sheetData>
    <row r="1" spans="1:41" ht="18" x14ac:dyDescent="0.25">
      <c r="A1" s="1" t="s">
        <v>82</v>
      </c>
    </row>
    <row r="2" spans="1:41" x14ac:dyDescent="0.25">
      <c r="A2" s="13" t="s">
        <v>83</v>
      </c>
    </row>
    <row r="4" spans="1:41" ht="30" customHeight="1" x14ac:dyDescent="0.25">
      <c r="A4" s="4" t="s">
        <v>45</v>
      </c>
      <c r="B4" s="4" t="s">
        <v>71</v>
      </c>
      <c r="C4" s="4" t="s">
        <v>84</v>
      </c>
      <c r="D4" s="4" t="s">
        <v>85</v>
      </c>
      <c r="E4" s="4" t="s">
        <v>86</v>
      </c>
      <c r="F4" s="4" t="s">
        <v>87</v>
      </c>
      <c r="G4" s="4" t="s">
        <v>88</v>
      </c>
      <c r="H4" s="4" t="s">
        <v>46</v>
      </c>
      <c r="I4" s="4" t="s">
        <v>89</v>
      </c>
      <c r="J4" s="4" t="s">
        <v>90</v>
      </c>
      <c r="K4" s="4" t="s">
        <v>91</v>
      </c>
      <c r="L4" s="4" t="s">
        <v>92</v>
      </c>
      <c r="M4" s="4" t="s">
        <v>93</v>
      </c>
      <c r="N4" s="4" t="s">
        <v>94</v>
      </c>
      <c r="O4" s="4" t="s">
        <v>95</v>
      </c>
      <c r="P4" s="4" t="s">
        <v>96</v>
      </c>
      <c r="Q4" s="4" t="s">
        <v>97</v>
      </c>
      <c r="R4" s="4" t="s">
        <v>98</v>
      </c>
      <c r="S4" s="4" t="s">
        <v>77</v>
      </c>
      <c r="T4" s="4" t="s">
        <v>99</v>
      </c>
      <c r="U4" s="4" t="s">
        <v>100</v>
      </c>
      <c r="X4" s="4" t="s">
        <v>101</v>
      </c>
      <c r="Y4" s="4" t="s">
        <v>102</v>
      </c>
      <c r="Z4" s="4" t="s">
        <v>103</v>
      </c>
      <c r="AA4" s="4" t="s">
        <v>104</v>
      </c>
      <c r="AB4" s="4" t="s">
        <v>105</v>
      </c>
      <c r="AC4" s="4" t="s">
        <v>106</v>
      </c>
      <c r="AD4" s="4" t="s">
        <v>107</v>
      </c>
      <c r="AE4" s="4" t="s">
        <v>108</v>
      </c>
      <c r="AF4" s="4" t="s">
        <v>109</v>
      </c>
      <c r="AG4" s="4" t="s">
        <v>110</v>
      </c>
      <c r="AH4" s="4" t="s">
        <v>111</v>
      </c>
      <c r="AI4" s="4" t="s">
        <v>112</v>
      </c>
      <c r="AJ4" s="4" t="s">
        <v>113</v>
      </c>
      <c r="AK4" s="4" t="s">
        <v>114</v>
      </c>
      <c r="AL4" s="4" t="s">
        <v>115</v>
      </c>
      <c r="AM4" s="4" t="s">
        <v>116</v>
      </c>
      <c r="AN4" s="4" t="s">
        <v>117</v>
      </c>
      <c r="AO4" s="4" t="s">
        <v>118</v>
      </c>
    </row>
    <row r="5" spans="1:41" x14ac:dyDescent="0.25">
      <c r="A5" s="15">
        <v>46314</v>
      </c>
      <c r="B5" s="8">
        <v>92408250</v>
      </c>
      <c r="C5" s="5" t="str">
        <f>IF(B5="","",IFERROR(INDEX(Trabajadores!$B$5:$B$204,MATCH(B5,Trabajadores!$A$5:$A$204,0)),"Cédula no registrada"))</f>
        <v>Ana Torres</v>
      </c>
      <c r="D5" s="11">
        <v>0.33333333333333298</v>
      </c>
      <c r="E5" s="11">
        <v>0.75</v>
      </c>
      <c r="F5" s="8">
        <v>60</v>
      </c>
      <c r="G5" s="18">
        <f>IF(A5="","",IFERROR(INDEX(Trabajadores!$E$5:$E$204,MATCH(B5,Trabajadores!$A$5:$A$204,0))/Parámetros!$B$6,0)+IF(IFERROR(INDEX(Trabajadores!$E$5:$E$204,MATCH(B5,Trabajadores!$A$5:$A$204,0)),"")="",Parámetros!$B$7,0))</f>
        <v>8.4</v>
      </c>
      <c r="H5" s="5" t="str">
        <f t="shared" ref="H5:H68" si="0">IF(A5="","",CHOOSE(WEEKDAY(A5,2),"Lunes","Martes","Miércoles","Jueves","Viernes","Sábado","Domingo"))</f>
        <v>Lunes</v>
      </c>
      <c r="I5" s="5" t="str">
        <f>IF(A5="","",IF(COUNTIF(Festivos!$A$5:$A$451,A5)&gt;0,"Festivo",IF(WEEKDAY(A5,2)=7,"Domingo",IF(AND(AF5=1,AC5&gt;1),IF(COUNTIF(Festivos!$A$5:$A$451,A5+1)&gt;0,"Festivo","Domingo")&amp;" desde las 00:00",""))))</f>
        <v/>
      </c>
      <c r="J5" s="19">
        <f t="shared" ref="J5:J68" si="1">IF(OR(A5="",D5="",E5=""),"",ROUND((Z5)*24,2))</f>
        <v>9</v>
      </c>
      <c r="K5" s="19">
        <f t="shared" ref="K5:K68" si="2">IF(OR(A5="",D5="",E5=""),"",ROUND((AH5-AI5-AJ5+AK5)*24,2))</f>
        <v>8.4</v>
      </c>
      <c r="L5" s="19">
        <f t="shared" ref="L5:L68" si="3">IF(OR(A5="",D5="",E5=""),"",ROUND((AI5-AK5)*24,2))</f>
        <v>0</v>
      </c>
      <c r="M5" s="19">
        <f t="shared" ref="M5:M68" si="4">IF(OR(A5="",D5="",E5=""),"",ROUND((AL5-AM5-AN5+AO5)*24,2))</f>
        <v>0.6</v>
      </c>
      <c r="N5" s="19">
        <f t="shared" ref="N5:N68" si="5">IF(OR(A5="",D5="",E5=""),"",ROUND((AM5-AO5)*24,2))</f>
        <v>0</v>
      </c>
      <c r="O5" s="19">
        <f t="shared" ref="O5:O68" si="6">IF(OR(A5="",D5="",E5=""),"",ROUND((AJ5-AK5)*24,2))</f>
        <v>0</v>
      </c>
      <c r="P5" s="19">
        <f t="shared" ref="P5:P68" si="7">IF(OR(A5="",D5="",E5=""),"",ROUND((AK5)*24,2))</f>
        <v>0</v>
      </c>
      <c r="Q5" s="19">
        <f t="shared" ref="Q5:Q68" si="8">IF(OR(A5="",D5="",E5=""),"",ROUND((AN5-AO5)*24,2))</f>
        <v>0</v>
      </c>
      <c r="R5" s="19">
        <f t="shared" ref="R5:R68" si="9">IF(OR(A5="",D5="",E5=""),"",ROUND((AO5)*24,2))</f>
        <v>0</v>
      </c>
      <c r="S5" s="17">
        <f>IF(B5="","",IFERROR(INDEX(Trabajadores!$G$5:$G$204,MATCH(B5,Trabajadores!$A$5:$A$204,0)),""))</f>
        <v>23809.523809523809</v>
      </c>
      <c r="T5" s="17">
        <f>IF(OR(OR(A5="",D5="",E5=""),S5=""),"",ROUND(S5*(N(L5)*Parámetros!$B$8+N(M5)*(1+Parámetros!$B$9)+N(N5)*(1+Parámetros!$B$10)+N(O5)*(1+AG5)+N(P5)*(1+AG5+Parámetros!$B$8)+N(Q5)*(1+AG5+Parámetros!$B$9)+N(R5)*(1+AG5+Parámetros!$B$10)),0))</f>
        <v>17857</v>
      </c>
      <c r="U5" s="5" t="str">
        <f>IF(OR(A5="",D5="",E5=""),"",IF(N(M5)+N(N5)+N(Q5)+N(R5)&gt;Parámetros!$B$12,"Supera el límite de horas extras diarias",IF(C5="Cédula no registrada","Registre la cédula en «Trabajadores»","")))</f>
        <v/>
      </c>
      <c r="X5" s="20">
        <f t="shared" ref="X5:X68" si="10">IF(OR(A5="",D5="",E5=""),0,MOD(D5,1))</f>
        <v>0.33333333333333298</v>
      </c>
      <c r="Y5" s="20">
        <f t="shared" ref="Y5:Y68" si="11">IF(OR(A5="",D5="",E5=""),0,IF(MOD(E5,1)&gt;X5,MOD(E5,1)-X5,MOD(E5,1)+1-X5))</f>
        <v>0.41666666666666702</v>
      </c>
      <c r="Z5" s="20">
        <f t="shared" ref="Z5:Z68" si="12">MAX(0,Y5-N(F5)/1440)</f>
        <v>0.37500000000000033</v>
      </c>
      <c r="AA5" s="20">
        <f t="shared" ref="AA5:AA68" si="13">IF(G5="",0,MAX(0,N(G5))/24)</f>
        <v>0.35000000000000003</v>
      </c>
      <c r="AB5" s="20">
        <f t="shared" ref="AB5:AB68" si="14">X5+MIN(Z5,AA5)</f>
        <v>0.68333333333333302</v>
      </c>
      <c r="AC5" s="20">
        <f t="shared" ref="AC5:AC68" si="15">X5+Z5</f>
        <v>0.70833333333333326</v>
      </c>
      <c r="AD5" s="20">
        <f>IF(A5="",21/24,MOD(VLOOKUP(A5,Parámetros!$A$24:$B$25,2,TRUE()),1))</f>
        <v>0.79166666666666696</v>
      </c>
      <c r="AE5" s="5">
        <f>IF(A5="",0,IF(OR(WEEKDAY(A5,2)=7,COUNTIF(Festivos!$A$5:$A$451,A5)&gt;0),1,0))</f>
        <v>0</v>
      </c>
      <c r="AF5" s="5">
        <f>IF(A5="",0,IF(OR(WEEKDAY(A5+1,2)=7,COUNTIF(Festivos!$A$5:$A$451,A5+1)&gt;0),1,0))</f>
        <v>0</v>
      </c>
      <c r="AG5" s="9">
        <f>IF(A5="",0,VLOOKUP(A5,Parámetros!$A$18:$B$21,2,TRUE()))</f>
        <v>0.9</v>
      </c>
      <c r="AH5" s="20">
        <f t="shared" ref="AH5:AH68" si="16">AB5-X5</f>
        <v>0.35000000000000003</v>
      </c>
      <c r="AI5" s="20">
        <f>MAX(0,MIN(AB5,Parámetros!$B$11)-MAX(X5,0))+MAX(0,MIN(AB5,1+Parámetros!$B$11)-MAX(X5,AD5))+MAX(0,MIN(AB5,2)-MAX(X5,1+AD5))</f>
        <v>0</v>
      </c>
      <c r="AJ5" s="20">
        <f t="shared" ref="AJ5:AJ68" si="17">AE5*MAX(0,MIN(AB5,1)-MAX(X5,0))+AF5*MAX(0,MIN(AB5,2)-MAX(X5,1))</f>
        <v>0</v>
      </c>
      <c r="AK5" s="20">
        <f>AE5*(MAX(0,MIN(AB5,Parámetros!$B$11)-MAX(X5,0))+MAX(0,MIN(AB5,1)-MAX(X5,AD5)))+AF5*(MAX(0,MIN(AB5,1+Parámetros!$B$11)-MAX(X5,1))+MAX(0,MIN(AB5,2)-MAX(X5,1+AD5)))</f>
        <v>0</v>
      </c>
      <c r="AL5" s="20">
        <f t="shared" ref="AL5:AL68" si="18">AC5-AB5</f>
        <v>2.5000000000000244E-2</v>
      </c>
      <c r="AM5" s="20">
        <f>MAX(0,MIN(AC5,Parámetros!$B$11)-MAX(AB5,0))+MAX(0,MIN(AC5,1+Parámetros!$B$11)-MAX(AB5,AD5))+MAX(0,MIN(AC5,2)-MAX(AB5,1+AD5))</f>
        <v>0</v>
      </c>
      <c r="AN5" s="20">
        <f t="shared" ref="AN5:AN68" si="19">AE5*MAX(0,MIN(AC5,1)-MAX(AB5,0))+AF5*MAX(0,MIN(AC5,2)-MAX(AB5,1))</f>
        <v>0</v>
      </c>
      <c r="AO5" s="20">
        <f>AE5*(MAX(0,MIN(AC5,Parámetros!$B$11)-MAX(AB5,0))+MAX(0,MIN(AC5,1)-MAX(AB5,AD5)))+AF5*(MAX(0,MIN(AC5,1+Parámetros!$B$11)-MAX(AB5,1))+MAX(0,MIN(AC5,2)-MAX(AB5,1+AD5)))</f>
        <v>0</v>
      </c>
    </row>
    <row r="6" spans="1:41" x14ac:dyDescent="0.25">
      <c r="A6" s="15">
        <v>46315</v>
      </c>
      <c r="B6" s="8">
        <v>92408250</v>
      </c>
      <c r="C6" s="5" t="str">
        <f>IF(B6="","",IFERROR(INDEX(Trabajadores!$B$5:$B$204,MATCH(B6,Trabajadores!$A$5:$A$204,0)),"Cédula no registrada"))</f>
        <v>Ana Torres</v>
      </c>
      <c r="D6" s="11">
        <v>0.33333333333333298</v>
      </c>
      <c r="E6" s="11">
        <v>0.75</v>
      </c>
      <c r="F6" s="8">
        <v>60</v>
      </c>
      <c r="G6" s="18">
        <f>IF(A6="","",IFERROR(INDEX(Trabajadores!$E$5:$E$204,MATCH(B6,Trabajadores!$A$5:$A$204,0))/Parámetros!$B$6,0)+IF(IFERROR(INDEX(Trabajadores!$E$5:$E$204,MATCH(B6,Trabajadores!$A$5:$A$204,0)),"")="",Parámetros!$B$7,0))</f>
        <v>8.4</v>
      </c>
      <c r="H6" s="5" t="str">
        <f t="shared" si="0"/>
        <v>Martes</v>
      </c>
      <c r="I6" s="5" t="str">
        <f>IF(A6="","",IF(COUNTIF(Festivos!$A$5:$A$451,A6)&gt;0,"Festivo",IF(WEEKDAY(A6,2)=7,"Domingo",IF(AND(AF6=1,AC6&gt;1),IF(COUNTIF(Festivos!$A$5:$A$451,A6+1)&gt;0,"Festivo","Domingo")&amp;" desde las 00:00",""))))</f>
        <v/>
      </c>
      <c r="J6" s="19">
        <f t="shared" si="1"/>
        <v>9</v>
      </c>
      <c r="K6" s="19">
        <f t="shared" si="2"/>
        <v>8.4</v>
      </c>
      <c r="L6" s="19">
        <f t="shared" si="3"/>
        <v>0</v>
      </c>
      <c r="M6" s="19">
        <f t="shared" si="4"/>
        <v>0.6</v>
      </c>
      <c r="N6" s="19">
        <f t="shared" si="5"/>
        <v>0</v>
      </c>
      <c r="O6" s="19">
        <f t="shared" si="6"/>
        <v>0</v>
      </c>
      <c r="P6" s="19">
        <f t="shared" si="7"/>
        <v>0</v>
      </c>
      <c r="Q6" s="19">
        <f t="shared" si="8"/>
        <v>0</v>
      </c>
      <c r="R6" s="19">
        <f t="shared" si="9"/>
        <v>0</v>
      </c>
      <c r="S6" s="17">
        <f>IF(B6="","",IFERROR(INDEX(Trabajadores!$G$5:$G$204,MATCH(B6,Trabajadores!$A$5:$A$204,0)),""))</f>
        <v>23809.523809523809</v>
      </c>
      <c r="T6" s="17">
        <f>IF(OR(OR(A6="",D6="",E6=""),S6=""),"",ROUND(S6*(N(L6)*Parámetros!$B$8+N(M6)*(1+Parámetros!$B$9)+N(N6)*(1+Parámetros!$B$10)+N(O6)*(1+AG6)+N(P6)*(1+AG6+Parámetros!$B$8)+N(Q6)*(1+AG6+Parámetros!$B$9)+N(R6)*(1+AG6+Parámetros!$B$10)),0))</f>
        <v>17857</v>
      </c>
      <c r="U6" s="5" t="str">
        <f>IF(OR(A6="",D6="",E6=""),"",IF(N(M6)+N(N6)+N(Q6)+N(R6)&gt;Parámetros!$B$12,"Supera el límite de horas extras diarias",IF(C6="Cédula no registrada","Registre la cédula en «Trabajadores»","")))</f>
        <v/>
      </c>
      <c r="X6" s="20">
        <f t="shared" si="10"/>
        <v>0.33333333333333298</v>
      </c>
      <c r="Y6" s="20">
        <f t="shared" si="11"/>
        <v>0.41666666666666702</v>
      </c>
      <c r="Z6" s="20">
        <f t="shared" si="12"/>
        <v>0.37500000000000033</v>
      </c>
      <c r="AA6" s="20">
        <f t="shared" si="13"/>
        <v>0.35000000000000003</v>
      </c>
      <c r="AB6" s="20">
        <f t="shared" si="14"/>
        <v>0.68333333333333302</v>
      </c>
      <c r="AC6" s="20">
        <f t="shared" si="15"/>
        <v>0.70833333333333326</v>
      </c>
      <c r="AD6" s="20">
        <f>IF(A6="",21/24,MOD(VLOOKUP(A6,Parámetros!$A$24:$B$25,2,TRUE()),1))</f>
        <v>0.79166666666666696</v>
      </c>
      <c r="AE6" s="5">
        <f>IF(A6="",0,IF(OR(WEEKDAY(A6,2)=7,COUNTIF(Festivos!$A$5:$A$451,A6)&gt;0),1,0))</f>
        <v>0</v>
      </c>
      <c r="AF6" s="5">
        <f>IF(A6="",0,IF(OR(WEEKDAY(A6+1,2)=7,COUNTIF(Festivos!$A$5:$A$451,A6+1)&gt;0),1,0))</f>
        <v>0</v>
      </c>
      <c r="AG6" s="9">
        <f>IF(A6="",0,VLOOKUP(A6,Parámetros!$A$18:$B$21,2,TRUE()))</f>
        <v>0.9</v>
      </c>
      <c r="AH6" s="20">
        <f t="shared" si="16"/>
        <v>0.35000000000000003</v>
      </c>
      <c r="AI6" s="20">
        <f>MAX(0,MIN(AB6,Parámetros!$B$11)-MAX(X6,0))+MAX(0,MIN(AB6,1+Parámetros!$B$11)-MAX(X6,AD6))+MAX(0,MIN(AB6,2)-MAX(X6,1+AD6))</f>
        <v>0</v>
      </c>
      <c r="AJ6" s="20">
        <f t="shared" si="17"/>
        <v>0</v>
      </c>
      <c r="AK6" s="20">
        <f>AE6*(MAX(0,MIN(AB6,Parámetros!$B$11)-MAX(X6,0))+MAX(0,MIN(AB6,1)-MAX(X6,AD6)))+AF6*(MAX(0,MIN(AB6,1+Parámetros!$B$11)-MAX(X6,1))+MAX(0,MIN(AB6,2)-MAX(X6,1+AD6)))</f>
        <v>0</v>
      </c>
      <c r="AL6" s="20">
        <f t="shared" si="18"/>
        <v>2.5000000000000244E-2</v>
      </c>
      <c r="AM6" s="20">
        <f>MAX(0,MIN(AC6,Parámetros!$B$11)-MAX(AB6,0))+MAX(0,MIN(AC6,1+Parámetros!$B$11)-MAX(AB6,AD6))+MAX(0,MIN(AC6,2)-MAX(AB6,1+AD6))</f>
        <v>0</v>
      </c>
      <c r="AN6" s="20">
        <f t="shared" si="19"/>
        <v>0</v>
      </c>
      <c r="AO6" s="20">
        <f>AE6*(MAX(0,MIN(AC6,Parámetros!$B$11)-MAX(AB6,0))+MAX(0,MIN(AC6,1)-MAX(AB6,AD6)))+AF6*(MAX(0,MIN(AC6,1+Parámetros!$B$11)-MAX(AB6,1))+MAX(0,MIN(AC6,2)-MAX(AB6,1+AD6)))</f>
        <v>0</v>
      </c>
    </row>
    <row r="7" spans="1:41" x14ac:dyDescent="0.25">
      <c r="A7" s="15">
        <v>46316</v>
      </c>
      <c r="B7" s="8">
        <v>92408250</v>
      </c>
      <c r="C7" s="5" t="str">
        <f>IF(B7="","",IFERROR(INDEX(Trabajadores!$B$5:$B$204,MATCH(B7,Trabajadores!$A$5:$A$204,0)),"Cédula no registrada"))</f>
        <v>Ana Torres</v>
      </c>
      <c r="D7" s="11">
        <v>0.33333333333333298</v>
      </c>
      <c r="E7" s="11">
        <v>0.75</v>
      </c>
      <c r="F7" s="8">
        <v>60</v>
      </c>
      <c r="G7" s="18">
        <f>IF(A7="","",IFERROR(INDEX(Trabajadores!$E$5:$E$204,MATCH(B7,Trabajadores!$A$5:$A$204,0))/Parámetros!$B$6,0)+IF(IFERROR(INDEX(Trabajadores!$E$5:$E$204,MATCH(B7,Trabajadores!$A$5:$A$204,0)),"")="",Parámetros!$B$7,0))</f>
        <v>8.4</v>
      </c>
      <c r="H7" s="5" t="str">
        <f t="shared" si="0"/>
        <v>Miércoles</v>
      </c>
      <c r="I7" s="5" t="str">
        <f>IF(A7="","",IF(COUNTIF(Festivos!$A$5:$A$451,A7)&gt;0,"Festivo",IF(WEEKDAY(A7,2)=7,"Domingo",IF(AND(AF7=1,AC7&gt;1),IF(COUNTIF(Festivos!$A$5:$A$451,A7+1)&gt;0,"Festivo","Domingo")&amp;" desde las 00:00",""))))</f>
        <v/>
      </c>
      <c r="J7" s="19">
        <f t="shared" si="1"/>
        <v>9</v>
      </c>
      <c r="K7" s="19">
        <f t="shared" si="2"/>
        <v>8.4</v>
      </c>
      <c r="L7" s="19">
        <f t="shared" si="3"/>
        <v>0</v>
      </c>
      <c r="M7" s="19">
        <f t="shared" si="4"/>
        <v>0.6</v>
      </c>
      <c r="N7" s="19">
        <f t="shared" si="5"/>
        <v>0</v>
      </c>
      <c r="O7" s="19">
        <f t="shared" si="6"/>
        <v>0</v>
      </c>
      <c r="P7" s="19">
        <f t="shared" si="7"/>
        <v>0</v>
      </c>
      <c r="Q7" s="19">
        <f t="shared" si="8"/>
        <v>0</v>
      </c>
      <c r="R7" s="19">
        <f t="shared" si="9"/>
        <v>0</v>
      </c>
      <c r="S7" s="17">
        <f>IF(B7="","",IFERROR(INDEX(Trabajadores!$G$5:$G$204,MATCH(B7,Trabajadores!$A$5:$A$204,0)),""))</f>
        <v>23809.523809523809</v>
      </c>
      <c r="T7" s="17">
        <f>IF(OR(OR(A7="",D7="",E7=""),S7=""),"",ROUND(S7*(N(L7)*Parámetros!$B$8+N(M7)*(1+Parámetros!$B$9)+N(N7)*(1+Parámetros!$B$10)+N(O7)*(1+AG7)+N(P7)*(1+AG7+Parámetros!$B$8)+N(Q7)*(1+AG7+Parámetros!$B$9)+N(R7)*(1+AG7+Parámetros!$B$10)),0))</f>
        <v>17857</v>
      </c>
      <c r="U7" s="5" t="str">
        <f>IF(OR(A7="",D7="",E7=""),"",IF(N(M7)+N(N7)+N(Q7)+N(R7)&gt;Parámetros!$B$12,"Supera el límite de horas extras diarias",IF(C7="Cédula no registrada","Registre la cédula en «Trabajadores»","")))</f>
        <v/>
      </c>
      <c r="X7" s="20">
        <f t="shared" si="10"/>
        <v>0.33333333333333298</v>
      </c>
      <c r="Y7" s="20">
        <f t="shared" si="11"/>
        <v>0.41666666666666702</v>
      </c>
      <c r="Z7" s="20">
        <f t="shared" si="12"/>
        <v>0.37500000000000033</v>
      </c>
      <c r="AA7" s="20">
        <f t="shared" si="13"/>
        <v>0.35000000000000003</v>
      </c>
      <c r="AB7" s="20">
        <f t="shared" si="14"/>
        <v>0.68333333333333302</v>
      </c>
      <c r="AC7" s="20">
        <f t="shared" si="15"/>
        <v>0.70833333333333326</v>
      </c>
      <c r="AD7" s="20">
        <f>IF(A7="",21/24,MOD(VLOOKUP(A7,Parámetros!$A$24:$B$25,2,TRUE()),1))</f>
        <v>0.79166666666666696</v>
      </c>
      <c r="AE7" s="5">
        <f>IF(A7="",0,IF(OR(WEEKDAY(A7,2)=7,COUNTIF(Festivos!$A$5:$A$451,A7)&gt;0),1,0))</f>
        <v>0</v>
      </c>
      <c r="AF7" s="5">
        <f>IF(A7="",0,IF(OR(WEEKDAY(A7+1,2)=7,COUNTIF(Festivos!$A$5:$A$451,A7+1)&gt;0),1,0))</f>
        <v>0</v>
      </c>
      <c r="AG7" s="9">
        <f>IF(A7="",0,VLOOKUP(A7,Parámetros!$A$18:$B$21,2,TRUE()))</f>
        <v>0.9</v>
      </c>
      <c r="AH7" s="20">
        <f t="shared" si="16"/>
        <v>0.35000000000000003</v>
      </c>
      <c r="AI7" s="20">
        <f>MAX(0,MIN(AB7,Parámetros!$B$11)-MAX(X7,0))+MAX(0,MIN(AB7,1+Parámetros!$B$11)-MAX(X7,AD7))+MAX(0,MIN(AB7,2)-MAX(X7,1+AD7))</f>
        <v>0</v>
      </c>
      <c r="AJ7" s="20">
        <f t="shared" si="17"/>
        <v>0</v>
      </c>
      <c r="AK7" s="20">
        <f>AE7*(MAX(0,MIN(AB7,Parámetros!$B$11)-MAX(X7,0))+MAX(0,MIN(AB7,1)-MAX(X7,AD7)))+AF7*(MAX(0,MIN(AB7,1+Parámetros!$B$11)-MAX(X7,1))+MAX(0,MIN(AB7,2)-MAX(X7,1+AD7)))</f>
        <v>0</v>
      </c>
      <c r="AL7" s="20">
        <f t="shared" si="18"/>
        <v>2.5000000000000244E-2</v>
      </c>
      <c r="AM7" s="20">
        <f>MAX(0,MIN(AC7,Parámetros!$B$11)-MAX(AB7,0))+MAX(0,MIN(AC7,1+Parámetros!$B$11)-MAX(AB7,AD7))+MAX(0,MIN(AC7,2)-MAX(AB7,1+AD7))</f>
        <v>0</v>
      </c>
      <c r="AN7" s="20">
        <f t="shared" si="19"/>
        <v>0</v>
      </c>
      <c r="AO7" s="20">
        <f>AE7*(MAX(0,MIN(AC7,Parámetros!$B$11)-MAX(AB7,0))+MAX(0,MIN(AC7,1)-MAX(AB7,AD7)))+AF7*(MAX(0,MIN(AC7,1+Parámetros!$B$11)-MAX(AB7,1))+MAX(0,MIN(AC7,2)-MAX(AB7,1+AD7)))</f>
        <v>0</v>
      </c>
    </row>
    <row r="8" spans="1:41" x14ac:dyDescent="0.25">
      <c r="A8" s="15">
        <v>46317</v>
      </c>
      <c r="B8" s="8">
        <v>92408250</v>
      </c>
      <c r="C8" s="5" t="str">
        <f>IF(B8="","",IFERROR(INDEX(Trabajadores!$B$5:$B$204,MATCH(B8,Trabajadores!$A$5:$A$204,0)),"Cédula no registrada"))</f>
        <v>Ana Torres</v>
      </c>
      <c r="D8" s="11">
        <v>0.33333333333333298</v>
      </c>
      <c r="E8" s="11">
        <v>0.75</v>
      </c>
      <c r="F8" s="8">
        <v>60</v>
      </c>
      <c r="G8" s="18">
        <f>IF(A8="","",IFERROR(INDEX(Trabajadores!$E$5:$E$204,MATCH(B8,Trabajadores!$A$5:$A$204,0))/Parámetros!$B$6,0)+IF(IFERROR(INDEX(Trabajadores!$E$5:$E$204,MATCH(B8,Trabajadores!$A$5:$A$204,0)),"")="",Parámetros!$B$7,0))</f>
        <v>8.4</v>
      </c>
      <c r="H8" s="5" t="str">
        <f t="shared" si="0"/>
        <v>Jueves</v>
      </c>
      <c r="I8" s="5" t="str">
        <f>IF(A8="","",IF(COUNTIF(Festivos!$A$5:$A$451,A8)&gt;0,"Festivo",IF(WEEKDAY(A8,2)=7,"Domingo",IF(AND(AF8=1,AC8&gt;1),IF(COUNTIF(Festivos!$A$5:$A$451,A8+1)&gt;0,"Festivo","Domingo")&amp;" desde las 00:00",""))))</f>
        <v/>
      </c>
      <c r="J8" s="19">
        <f t="shared" si="1"/>
        <v>9</v>
      </c>
      <c r="K8" s="19">
        <f t="shared" si="2"/>
        <v>8.4</v>
      </c>
      <c r="L8" s="19">
        <f t="shared" si="3"/>
        <v>0</v>
      </c>
      <c r="M8" s="19">
        <f t="shared" si="4"/>
        <v>0.6</v>
      </c>
      <c r="N8" s="19">
        <f t="shared" si="5"/>
        <v>0</v>
      </c>
      <c r="O8" s="19">
        <f t="shared" si="6"/>
        <v>0</v>
      </c>
      <c r="P8" s="19">
        <f t="shared" si="7"/>
        <v>0</v>
      </c>
      <c r="Q8" s="19">
        <f t="shared" si="8"/>
        <v>0</v>
      </c>
      <c r="R8" s="19">
        <f t="shared" si="9"/>
        <v>0</v>
      </c>
      <c r="S8" s="17">
        <f>IF(B8="","",IFERROR(INDEX(Trabajadores!$G$5:$G$204,MATCH(B8,Trabajadores!$A$5:$A$204,0)),""))</f>
        <v>23809.523809523809</v>
      </c>
      <c r="T8" s="17">
        <f>IF(OR(OR(A8="",D8="",E8=""),S8=""),"",ROUND(S8*(N(L8)*Parámetros!$B$8+N(M8)*(1+Parámetros!$B$9)+N(N8)*(1+Parámetros!$B$10)+N(O8)*(1+AG8)+N(P8)*(1+AG8+Parámetros!$B$8)+N(Q8)*(1+AG8+Parámetros!$B$9)+N(R8)*(1+AG8+Parámetros!$B$10)),0))</f>
        <v>17857</v>
      </c>
      <c r="U8" s="5" t="str">
        <f>IF(OR(A8="",D8="",E8=""),"",IF(N(M8)+N(N8)+N(Q8)+N(R8)&gt;Parámetros!$B$12,"Supera el límite de horas extras diarias",IF(C8="Cédula no registrada","Registre la cédula en «Trabajadores»","")))</f>
        <v/>
      </c>
      <c r="X8" s="20">
        <f t="shared" si="10"/>
        <v>0.33333333333333298</v>
      </c>
      <c r="Y8" s="20">
        <f t="shared" si="11"/>
        <v>0.41666666666666702</v>
      </c>
      <c r="Z8" s="20">
        <f t="shared" si="12"/>
        <v>0.37500000000000033</v>
      </c>
      <c r="AA8" s="20">
        <f t="shared" si="13"/>
        <v>0.35000000000000003</v>
      </c>
      <c r="AB8" s="20">
        <f t="shared" si="14"/>
        <v>0.68333333333333302</v>
      </c>
      <c r="AC8" s="20">
        <f t="shared" si="15"/>
        <v>0.70833333333333326</v>
      </c>
      <c r="AD8" s="20">
        <f>IF(A8="",21/24,MOD(VLOOKUP(A8,Parámetros!$A$24:$B$25,2,TRUE()),1))</f>
        <v>0.79166666666666696</v>
      </c>
      <c r="AE8" s="5">
        <f>IF(A8="",0,IF(OR(WEEKDAY(A8,2)=7,COUNTIF(Festivos!$A$5:$A$451,A8)&gt;0),1,0))</f>
        <v>0</v>
      </c>
      <c r="AF8" s="5">
        <f>IF(A8="",0,IF(OR(WEEKDAY(A8+1,2)=7,COUNTIF(Festivos!$A$5:$A$451,A8+1)&gt;0),1,0))</f>
        <v>0</v>
      </c>
      <c r="AG8" s="9">
        <f>IF(A8="",0,VLOOKUP(A8,Parámetros!$A$18:$B$21,2,TRUE()))</f>
        <v>0.9</v>
      </c>
      <c r="AH8" s="20">
        <f t="shared" si="16"/>
        <v>0.35000000000000003</v>
      </c>
      <c r="AI8" s="20">
        <f>MAX(0,MIN(AB8,Parámetros!$B$11)-MAX(X8,0))+MAX(0,MIN(AB8,1+Parámetros!$B$11)-MAX(X8,AD8))+MAX(0,MIN(AB8,2)-MAX(X8,1+AD8))</f>
        <v>0</v>
      </c>
      <c r="AJ8" s="20">
        <f t="shared" si="17"/>
        <v>0</v>
      </c>
      <c r="AK8" s="20">
        <f>AE8*(MAX(0,MIN(AB8,Parámetros!$B$11)-MAX(X8,0))+MAX(0,MIN(AB8,1)-MAX(X8,AD8)))+AF8*(MAX(0,MIN(AB8,1+Parámetros!$B$11)-MAX(X8,1))+MAX(0,MIN(AB8,2)-MAX(X8,1+AD8)))</f>
        <v>0</v>
      </c>
      <c r="AL8" s="20">
        <f t="shared" si="18"/>
        <v>2.5000000000000244E-2</v>
      </c>
      <c r="AM8" s="20">
        <f>MAX(0,MIN(AC8,Parámetros!$B$11)-MAX(AB8,0))+MAX(0,MIN(AC8,1+Parámetros!$B$11)-MAX(AB8,AD8))+MAX(0,MIN(AC8,2)-MAX(AB8,1+AD8))</f>
        <v>0</v>
      </c>
      <c r="AN8" s="20">
        <f t="shared" si="19"/>
        <v>0</v>
      </c>
      <c r="AO8" s="20">
        <f>AE8*(MAX(0,MIN(AC8,Parámetros!$B$11)-MAX(AB8,0))+MAX(0,MIN(AC8,1)-MAX(AB8,AD8)))+AF8*(MAX(0,MIN(AC8,1+Parámetros!$B$11)-MAX(AB8,1))+MAX(0,MIN(AC8,2)-MAX(AB8,1+AD8)))</f>
        <v>0</v>
      </c>
    </row>
    <row r="9" spans="1:41" x14ac:dyDescent="0.25">
      <c r="A9" s="15">
        <v>46318</v>
      </c>
      <c r="B9" s="8">
        <v>92408250</v>
      </c>
      <c r="C9" s="5" t="str">
        <f>IF(B9="","",IFERROR(INDEX(Trabajadores!$B$5:$B$204,MATCH(B9,Trabajadores!$A$5:$A$204,0)),"Cédula no registrada"))</f>
        <v>Ana Torres</v>
      </c>
      <c r="D9" s="11">
        <v>0.33333333333333298</v>
      </c>
      <c r="E9" s="11">
        <v>0.75</v>
      </c>
      <c r="F9" s="8">
        <v>60</v>
      </c>
      <c r="G9" s="18">
        <f>IF(A9="","",IFERROR(INDEX(Trabajadores!$E$5:$E$204,MATCH(B9,Trabajadores!$A$5:$A$204,0))/Parámetros!$B$6,0)+IF(IFERROR(INDEX(Trabajadores!$E$5:$E$204,MATCH(B9,Trabajadores!$A$5:$A$204,0)),"")="",Parámetros!$B$7,0))</f>
        <v>8.4</v>
      </c>
      <c r="H9" s="5" t="str">
        <f t="shared" si="0"/>
        <v>Viernes</v>
      </c>
      <c r="I9" s="5" t="str">
        <f>IF(A9="","",IF(COUNTIF(Festivos!$A$5:$A$451,A9)&gt;0,"Festivo",IF(WEEKDAY(A9,2)=7,"Domingo",IF(AND(AF9=1,AC9&gt;1),IF(COUNTIF(Festivos!$A$5:$A$451,A9+1)&gt;0,"Festivo","Domingo")&amp;" desde las 00:00",""))))</f>
        <v/>
      </c>
      <c r="J9" s="19">
        <f t="shared" si="1"/>
        <v>9</v>
      </c>
      <c r="K9" s="19">
        <f t="shared" si="2"/>
        <v>8.4</v>
      </c>
      <c r="L9" s="19">
        <f t="shared" si="3"/>
        <v>0</v>
      </c>
      <c r="M9" s="19">
        <f t="shared" si="4"/>
        <v>0.6</v>
      </c>
      <c r="N9" s="19">
        <f t="shared" si="5"/>
        <v>0</v>
      </c>
      <c r="O9" s="19">
        <f t="shared" si="6"/>
        <v>0</v>
      </c>
      <c r="P9" s="19">
        <f t="shared" si="7"/>
        <v>0</v>
      </c>
      <c r="Q9" s="19">
        <f t="shared" si="8"/>
        <v>0</v>
      </c>
      <c r="R9" s="19">
        <f t="shared" si="9"/>
        <v>0</v>
      </c>
      <c r="S9" s="17">
        <f>IF(B9="","",IFERROR(INDEX(Trabajadores!$G$5:$G$204,MATCH(B9,Trabajadores!$A$5:$A$204,0)),""))</f>
        <v>23809.523809523809</v>
      </c>
      <c r="T9" s="17">
        <f>IF(OR(OR(A9="",D9="",E9=""),S9=""),"",ROUND(S9*(N(L9)*Parámetros!$B$8+N(M9)*(1+Parámetros!$B$9)+N(N9)*(1+Parámetros!$B$10)+N(O9)*(1+AG9)+N(P9)*(1+AG9+Parámetros!$B$8)+N(Q9)*(1+AG9+Parámetros!$B$9)+N(R9)*(1+AG9+Parámetros!$B$10)),0))</f>
        <v>17857</v>
      </c>
      <c r="U9" s="5" t="str">
        <f>IF(OR(A9="",D9="",E9=""),"",IF(N(M9)+N(N9)+N(Q9)+N(R9)&gt;Parámetros!$B$12,"Supera el límite de horas extras diarias",IF(C9="Cédula no registrada","Registre la cédula en «Trabajadores»","")))</f>
        <v/>
      </c>
      <c r="X9" s="20">
        <f t="shared" si="10"/>
        <v>0.33333333333333298</v>
      </c>
      <c r="Y9" s="20">
        <f t="shared" si="11"/>
        <v>0.41666666666666702</v>
      </c>
      <c r="Z9" s="20">
        <f t="shared" si="12"/>
        <v>0.37500000000000033</v>
      </c>
      <c r="AA9" s="20">
        <f t="shared" si="13"/>
        <v>0.35000000000000003</v>
      </c>
      <c r="AB9" s="20">
        <f t="shared" si="14"/>
        <v>0.68333333333333302</v>
      </c>
      <c r="AC9" s="20">
        <f t="shared" si="15"/>
        <v>0.70833333333333326</v>
      </c>
      <c r="AD9" s="20">
        <f>IF(A9="",21/24,MOD(VLOOKUP(A9,Parámetros!$A$24:$B$25,2,TRUE()),1))</f>
        <v>0.79166666666666696</v>
      </c>
      <c r="AE9" s="5">
        <f>IF(A9="",0,IF(OR(WEEKDAY(A9,2)=7,COUNTIF(Festivos!$A$5:$A$451,A9)&gt;0),1,0))</f>
        <v>0</v>
      </c>
      <c r="AF9" s="5">
        <f>IF(A9="",0,IF(OR(WEEKDAY(A9+1,2)=7,COUNTIF(Festivos!$A$5:$A$451,A9+1)&gt;0),1,0))</f>
        <v>0</v>
      </c>
      <c r="AG9" s="9">
        <f>IF(A9="",0,VLOOKUP(A9,Parámetros!$A$18:$B$21,2,TRUE()))</f>
        <v>0.9</v>
      </c>
      <c r="AH9" s="20">
        <f t="shared" si="16"/>
        <v>0.35000000000000003</v>
      </c>
      <c r="AI9" s="20">
        <f>MAX(0,MIN(AB9,Parámetros!$B$11)-MAX(X9,0))+MAX(0,MIN(AB9,1+Parámetros!$B$11)-MAX(X9,AD9))+MAX(0,MIN(AB9,2)-MAX(X9,1+AD9))</f>
        <v>0</v>
      </c>
      <c r="AJ9" s="20">
        <f t="shared" si="17"/>
        <v>0</v>
      </c>
      <c r="AK9" s="20">
        <f>AE9*(MAX(0,MIN(AB9,Parámetros!$B$11)-MAX(X9,0))+MAX(0,MIN(AB9,1)-MAX(X9,AD9)))+AF9*(MAX(0,MIN(AB9,1+Parámetros!$B$11)-MAX(X9,1))+MAX(0,MIN(AB9,2)-MAX(X9,1+AD9)))</f>
        <v>0</v>
      </c>
      <c r="AL9" s="20">
        <f t="shared" si="18"/>
        <v>2.5000000000000244E-2</v>
      </c>
      <c r="AM9" s="20">
        <f>MAX(0,MIN(AC9,Parámetros!$B$11)-MAX(AB9,0))+MAX(0,MIN(AC9,1+Parámetros!$B$11)-MAX(AB9,AD9))+MAX(0,MIN(AC9,2)-MAX(AB9,1+AD9))</f>
        <v>0</v>
      </c>
      <c r="AN9" s="20">
        <f t="shared" si="19"/>
        <v>0</v>
      </c>
      <c r="AO9" s="20">
        <f>AE9*(MAX(0,MIN(AC9,Parámetros!$B$11)-MAX(AB9,0))+MAX(0,MIN(AC9,1)-MAX(AB9,AD9)))+AF9*(MAX(0,MIN(AC9,1+Parámetros!$B$11)-MAX(AB9,1))+MAX(0,MIN(AC9,2)-MAX(AB9,1+AD9)))</f>
        <v>0</v>
      </c>
    </row>
    <row r="10" spans="1:41" x14ac:dyDescent="0.25">
      <c r="A10" s="15">
        <v>46319</v>
      </c>
      <c r="B10" s="8">
        <v>92408250</v>
      </c>
      <c r="C10" s="5" t="str">
        <f>IF(B10="","",IFERROR(INDEX(Trabajadores!$B$5:$B$204,MATCH(B10,Trabajadores!$A$5:$A$204,0)),"Cédula no registrada"))</f>
        <v>Ana Torres</v>
      </c>
      <c r="D10" s="11">
        <v>0.83333333333333304</v>
      </c>
      <c r="E10" s="11">
        <v>0.16666666666666699</v>
      </c>
      <c r="F10" s="8">
        <v>0</v>
      </c>
      <c r="G10" s="18">
        <v>0</v>
      </c>
      <c r="H10" s="5" t="str">
        <f t="shared" si="0"/>
        <v>Sábado</v>
      </c>
      <c r="I10" s="5" t="str">
        <f>IF(A10="","",IF(COUNTIF(Festivos!$A$5:$A$451,A10)&gt;0,"Festivo",IF(WEEKDAY(A10,2)=7,"Domingo",IF(AND(AF10=1,AC10&gt;1),IF(COUNTIF(Festivos!$A$5:$A$451,A10+1)&gt;0,"Festivo","Domingo")&amp;" desde las 00:00",""))))</f>
        <v>Domingo desde las 00:00</v>
      </c>
      <c r="J10" s="19">
        <f t="shared" si="1"/>
        <v>8</v>
      </c>
      <c r="K10" s="19">
        <f t="shared" si="2"/>
        <v>0</v>
      </c>
      <c r="L10" s="19">
        <f t="shared" si="3"/>
        <v>0</v>
      </c>
      <c r="M10" s="19">
        <f t="shared" si="4"/>
        <v>0</v>
      </c>
      <c r="N10" s="19">
        <f t="shared" si="5"/>
        <v>4</v>
      </c>
      <c r="O10" s="19">
        <f t="shared" si="6"/>
        <v>0</v>
      </c>
      <c r="P10" s="19">
        <f t="shared" si="7"/>
        <v>0</v>
      </c>
      <c r="Q10" s="19">
        <f t="shared" si="8"/>
        <v>0</v>
      </c>
      <c r="R10" s="19">
        <f t="shared" si="9"/>
        <v>4</v>
      </c>
      <c r="S10" s="17">
        <f>IF(B10="","",IFERROR(INDEX(Trabajadores!$G$5:$G$204,MATCH(B10,Trabajadores!$A$5:$A$204,0)),""))</f>
        <v>23809.523809523809</v>
      </c>
      <c r="T10" s="17">
        <f>IF(OR(OR(A10="",D10="",E10=""),S10=""),"",ROUND(S10*(N(L10)*Parámetros!$B$8+N(M10)*(1+Parámetros!$B$9)+N(N10)*(1+Parámetros!$B$10)+N(O10)*(1+AG10)+N(P10)*(1+AG10+Parámetros!$B$8)+N(Q10)*(1+AG10+Parámetros!$B$9)+N(R10)*(1+AG10+Parámetros!$B$10)),0))</f>
        <v>419048</v>
      </c>
      <c r="U10" s="5" t="str">
        <f>IF(OR(A10="",D10="",E10=""),"",IF(N(M10)+N(N10)+N(Q10)+N(R10)&gt;Parámetros!$B$12,"Supera el límite de horas extras diarias",IF(C10="Cédula no registrada","Registre la cédula en «Trabajadores»","")))</f>
        <v>Supera el límite de horas extras diarias</v>
      </c>
      <c r="X10" s="20">
        <f t="shared" si="10"/>
        <v>0.83333333333333304</v>
      </c>
      <c r="Y10" s="20">
        <f t="shared" si="11"/>
        <v>0.33333333333333393</v>
      </c>
      <c r="Z10" s="20">
        <f t="shared" si="12"/>
        <v>0.33333333333333393</v>
      </c>
      <c r="AA10" s="20">
        <f t="shared" si="13"/>
        <v>0</v>
      </c>
      <c r="AB10" s="20">
        <f t="shared" si="14"/>
        <v>0.83333333333333304</v>
      </c>
      <c r="AC10" s="20">
        <f t="shared" si="15"/>
        <v>1.166666666666667</v>
      </c>
      <c r="AD10" s="20">
        <f>IF(A10="",21/24,MOD(VLOOKUP(A10,Parámetros!$A$24:$B$25,2,TRUE()),1))</f>
        <v>0.79166666666666696</v>
      </c>
      <c r="AE10" s="5">
        <f>IF(A10="",0,IF(OR(WEEKDAY(A10,2)=7,COUNTIF(Festivos!$A$5:$A$451,A10)&gt;0),1,0))</f>
        <v>0</v>
      </c>
      <c r="AF10" s="5">
        <f>IF(A10="",0,IF(OR(WEEKDAY(A10+1,2)=7,COUNTIF(Festivos!$A$5:$A$451,A10+1)&gt;0),1,0))</f>
        <v>1</v>
      </c>
      <c r="AG10" s="9">
        <f>IF(A10="",0,VLOOKUP(A10,Parámetros!$A$18:$B$21,2,TRUE()))</f>
        <v>0.9</v>
      </c>
      <c r="AH10" s="20">
        <f t="shared" si="16"/>
        <v>0</v>
      </c>
      <c r="AI10" s="20">
        <f>MAX(0,MIN(AB10,Parámetros!$B$11)-MAX(X10,0))+MAX(0,MIN(AB10,1+Parámetros!$B$11)-MAX(X10,AD10))+MAX(0,MIN(AB10,2)-MAX(X10,1+AD10))</f>
        <v>0</v>
      </c>
      <c r="AJ10" s="20">
        <f t="shared" si="17"/>
        <v>0</v>
      </c>
      <c r="AK10" s="20">
        <f>AE10*(MAX(0,MIN(AB10,Parámetros!$B$11)-MAX(X10,0))+MAX(0,MIN(AB10,1)-MAX(X10,AD10)))+AF10*(MAX(0,MIN(AB10,1+Parámetros!$B$11)-MAX(X10,1))+MAX(0,MIN(AB10,2)-MAX(X10,1+AD10)))</f>
        <v>0</v>
      </c>
      <c r="AL10" s="20">
        <f t="shared" si="18"/>
        <v>0.33333333333333393</v>
      </c>
      <c r="AM10" s="20">
        <f>MAX(0,MIN(AC10,Parámetros!$B$11)-MAX(AB10,0))+MAX(0,MIN(AC10,1+Parámetros!$B$11)-MAX(AB10,AD10))+MAX(0,MIN(AC10,2)-MAX(AB10,1+AD10))</f>
        <v>0.33333333333333393</v>
      </c>
      <c r="AN10" s="20">
        <f t="shared" si="19"/>
        <v>0.16666666666666696</v>
      </c>
      <c r="AO10" s="20">
        <f>AE10*(MAX(0,MIN(AC10,Parámetros!$B$11)-MAX(AB10,0))+MAX(0,MIN(AC10,1)-MAX(AB10,AD10)))+AF10*(MAX(0,MIN(AC10,1+Parámetros!$B$11)-MAX(AB10,1))+MAX(0,MIN(AC10,2)-MAX(AB10,1+AD10)))</f>
        <v>0.16666666666666696</v>
      </c>
    </row>
    <row r="11" spans="1:41" x14ac:dyDescent="0.25">
      <c r="A11" s="15"/>
      <c r="B11" s="8"/>
      <c r="C11" s="5" t="str">
        <f>IF(B11="","",IFERROR(INDEX(Trabajadores!$B$5:$B$204,MATCH(B11,Trabajadores!$A$5:$A$204,0)),"Cédula no registrada"))</f>
        <v/>
      </c>
      <c r="D11" s="11"/>
      <c r="E11" s="11"/>
      <c r="F11" s="8"/>
      <c r="G11" s="18" t="str">
        <f>IF(A11="","",IFERROR(INDEX(Trabajadores!$E$5:$E$204,MATCH(B11,Trabajadores!$A$5:$A$204,0))/Parámetros!$B$6,0)+IF(IFERROR(INDEX(Trabajadores!$E$5:$E$204,MATCH(B11,Trabajadores!$A$5:$A$204,0)),"")="",Parámetros!$B$7,0))</f>
        <v/>
      </c>
      <c r="H11" s="5" t="str">
        <f t="shared" si="0"/>
        <v/>
      </c>
      <c r="I11" s="5" t="str">
        <f>IF(A11="","",IF(COUNTIF(Festivos!$A$5:$A$451,A11)&gt;0,"Festivo",IF(WEEKDAY(A11,2)=7,"Domingo",IF(AND(AF11=1,AC11&gt;1),IF(COUNTIF(Festivos!$A$5:$A$451,A11+1)&gt;0,"Festivo","Domingo")&amp;" desde las 00:00",""))))</f>
        <v/>
      </c>
      <c r="J11" s="19" t="str">
        <f t="shared" si="1"/>
        <v/>
      </c>
      <c r="K11" s="19" t="str">
        <f t="shared" si="2"/>
        <v/>
      </c>
      <c r="L11" s="19" t="str">
        <f t="shared" si="3"/>
        <v/>
      </c>
      <c r="M11" s="19" t="str">
        <f t="shared" si="4"/>
        <v/>
      </c>
      <c r="N11" s="19" t="str">
        <f t="shared" si="5"/>
        <v/>
      </c>
      <c r="O11" s="19" t="str">
        <f t="shared" si="6"/>
        <v/>
      </c>
      <c r="P11" s="19" t="str">
        <f t="shared" si="7"/>
        <v/>
      </c>
      <c r="Q11" s="19" t="str">
        <f t="shared" si="8"/>
        <v/>
      </c>
      <c r="R11" s="19" t="str">
        <f t="shared" si="9"/>
        <v/>
      </c>
      <c r="S11" s="17" t="str">
        <f>IF(B11="","",IFERROR(INDEX(Trabajadores!$G$5:$G$204,MATCH(B11,Trabajadores!$A$5:$A$204,0)),""))</f>
        <v/>
      </c>
      <c r="T11" s="17" t="str">
        <f>IF(OR(OR(A11="",D11="",E11=""),S11=""),"",ROUND(S11*(N(L11)*Parámetros!$B$8+N(M11)*(1+Parámetros!$B$9)+N(N11)*(1+Parámetros!$B$10)+N(O11)*(1+AG11)+N(P11)*(1+AG11+Parámetros!$B$8)+N(Q11)*(1+AG11+Parámetros!$B$9)+N(R11)*(1+AG11+Parámetros!$B$10)),0))</f>
        <v/>
      </c>
      <c r="U11" s="5" t="str">
        <f>IF(OR(A11="",D11="",E11=""),"",IF(N(M11)+N(N11)+N(Q11)+N(R11)&gt;Parámetros!$B$12,"Supera el límite de horas extras diarias",IF(C11="Cédula no registrada","Registre la cédula en «Trabajadores»","")))</f>
        <v/>
      </c>
      <c r="X11" s="20">
        <f t="shared" si="10"/>
        <v>0</v>
      </c>
      <c r="Y11" s="20">
        <f t="shared" si="11"/>
        <v>0</v>
      </c>
      <c r="Z11" s="20">
        <f t="shared" si="12"/>
        <v>0</v>
      </c>
      <c r="AA11" s="20">
        <f t="shared" si="13"/>
        <v>0</v>
      </c>
      <c r="AB11" s="20">
        <f t="shared" si="14"/>
        <v>0</v>
      </c>
      <c r="AC11" s="20">
        <f t="shared" si="15"/>
        <v>0</v>
      </c>
      <c r="AD11" s="20">
        <f>IF(A11="",21/24,MOD(VLOOKUP(A11,Parámetros!$A$24:$B$25,2,TRUE()),1))</f>
        <v>0.875</v>
      </c>
      <c r="AE11" s="5">
        <f>IF(A11="",0,IF(OR(WEEKDAY(A11,2)=7,COUNTIF(Festivos!$A$5:$A$451,A11)&gt;0),1,0))</f>
        <v>0</v>
      </c>
      <c r="AF11" s="5">
        <f>IF(A11="",0,IF(OR(WEEKDAY(A11+1,2)=7,COUNTIF(Festivos!$A$5:$A$451,A11+1)&gt;0),1,0))</f>
        <v>0</v>
      </c>
      <c r="AG11" s="9">
        <f>IF(A11="",0,VLOOKUP(A11,Parámetros!$A$18:$B$21,2,TRUE()))</f>
        <v>0</v>
      </c>
      <c r="AH11" s="20">
        <f t="shared" si="16"/>
        <v>0</v>
      </c>
      <c r="AI11" s="20">
        <f>MAX(0,MIN(AB11,Parámetros!$B$11)-MAX(X11,0))+MAX(0,MIN(AB11,1+Parámetros!$B$11)-MAX(X11,AD11))+MAX(0,MIN(AB11,2)-MAX(X11,1+AD11))</f>
        <v>0</v>
      </c>
      <c r="AJ11" s="20">
        <f t="shared" si="17"/>
        <v>0</v>
      </c>
      <c r="AK11" s="20">
        <f>AE11*(MAX(0,MIN(AB11,Parámetros!$B$11)-MAX(X11,0))+MAX(0,MIN(AB11,1)-MAX(X11,AD11)))+AF11*(MAX(0,MIN(AB11,1+Parámetros!$B$11)-MAX(X11,1))+MAX(0,MIN(AB11,2)-MAX(X11,1+AD11)))</f>
        <v>0</v>
      </c>
      <c r="AL11" s="20">
        <f t="shared" si="18"/>
        <v>0</v>
      </c>
      <c r="AM11" s="20">
        <f>MAX(0,MIN(AC11,Parámetros!$B$11)-MAX(AB11,0))+MAX(0,MIN(AC11,1+Parámetros!$B$11)-MAX(AB11,AD11))+MAX(0,MIN(AC11,2)-MAX(AB11,1+AD11))</f>
        <v>0</v>
      </c>
      <c r="AN11" s="20">
        <f t="shared" si="19"/>
        <v>0</v>
      </c>
      <c r="AO11" s="20">
        <f>AE11*(MAX(0,MIN(AC11,Parámetros!$B$11)-MAX(AB11,0))+MAX(0,MIN(AC11,1)-MAX(AB11,AD11)))+AF11*(MAX(0,MIN(AC11,1+Parámetros!$B$11)-MAX(AB11,1))+MAX(0,MIN(AC11,2)-MAX(AB11,1+AD11)))</f>
        <v>0</v>
      </c>
    </row>
    <row r="12" spans="1:41" x14ac:dyDescent="0.25">
      <c r="A12" s="15"/>
      <c r="B12" s="8"/>
      <c r="C12" s="5" t="str">
        <f>IF(B12="","",IFERROR(INDEX(Trabajadores!$B$5:$B$204,MATCH(B12,Trabajadores!$A$5:$A$204,0)),"Cédula no registrada"))</f>
        <v/>
      </c>
      <c r="D12" s="11"/>
      <c r="E12" s="11"/>
      <c r="F12" s="8"/>
      <c r="G12" s="18" t="str">
        <f>IF(A12="","",IFERROR(INDEX(Trabajadores!$E$5:$E$204,MATCH(B12,Trabajadores!$A$5:$A$204,0))/Parámetros!$B$6,0)+IF(IFERROR(INDEX(Trabajadores!$E$5:$E$204,MATCH(B12,Trabajadores!$A$5:$A$204,0)),"")="",Parámetros!$B$7,0))</f>
        <v/>
      </c>
      <c r="H12" s="5" t="str">
        <f t="shared" si="0"/>
        <v/>
      </c>
      <c r="I12" s="5" t="str">
        <f>IF(A12="","",IF(COUNTIF(Festivos!$A$5:$A$451,A12)&gt;0,"Festivo",IF(WEEKDAY(A12,2)=7,"Domingo",IF(AND(AF12=1,AC12&gt;1),IF(COUNTIF(Festivos!$A$5:$A$451,A12+1)&gt;0,"Festivo","Domingo")&amp;" desde las 00:00",""))))</f>
        <v/>
      </c>
      <c r="J12" s="19" t="str">
        <f t="shared" si="1"/>
        <v/>
      </c>
      <c r="K12" s="19" t="str">
        <f t="shared" si="2"/>
        <v/>
      </c>
      <c r="L12" s="19" t="str">
        <f t="shared" si="3"/>
        <v/>
      </c>
      <c r="M12" s="19" t="str">
        <f t="shared" si="4"/>
        <v/>
      </c>
      <c r="N12" s="19" t="str">
        <f t="shared" si="5"/>
        <v/>
      </c>
      <c r="O12" s="19" t="str">
        <f t="shared" si="6"/>
        <v/>
      </c>
      <c r="P12" s="19" t="str">
        <f t="shared" si="7"/>
        <v/>
      </c>
      <c r="Q12" s="19" t="str">
        <f t="shared" si="8"/>
        <v/>
      </c>
      <c r="R12" s="19" t="str">
        <f t="shared" si="9"/>
        <v/>
      </c>
      <c r="S12" s="17" t="str">
        <f>IF(B12="","",IFERROR(INDEX(Trabajadores!$G$5:$G$204,MATCH(B12,Trabajadores!$A$5:$A$204,0)),""))</f>
        <v/>
      </c>
      <c r="T12" s="17" t="str">
        <f>IF(OR(OR(A12="",D12="",E12=""),S12=""),"",ROUND(S12*(N(L12)*Parámetros!$B$8+N(M12)*(1+Parámetros!$B$9)+N(N12)*(1+Parámetros!$B$10)+N(O12)*(1+AG12)+N(P12)*(1+AG12+Parámetros!$B$8)+N(Q12)*(1+AG12+Parámetros!$B$9)+N(R12)*(1+AG12+Parámetros!$B$10)),0))</f>
        <v/>
      </c>
      <c r="U12" s="5" t="str">
        <f>IF(OR(A12="",D12="",E12=""),"",IF(N(M12)+N(N12)+N(Q12)+N(R12)&gt;Parámetros!$B$12,"Supera el límite de horas extras diarias",IF(C12="Cédula no registrada","Registre la cédula en «Trabajadores»","")))</f>
        <v/>
      </c>
      <c r="X12" s="20">
        <f t="shared" si="10"/>
        <v>0</v>
      </c>
      <c r="Y12" s="20">
        <f t="shared" si="11"/>
        <v>0</v>
      </c>
      <c r="Z12" s="20">
        <f t="shared" si="12"/>
        <v>0</v>
      </c>
      <c r="AA12" s="20">
        <f t="shared" si="13"/>
        <v>0</v>
      </c>
      <c r="AB12" s="20">
        <f t="shared" si="14"/>
        <v>0</v>
      </c>
      <c r="AC12" s="20">
        <f t="shared" si="15"/>
        <v>0</v>
      </c>
      <c r="AD12" s="20">
        <f>IF(A12="",21/24,MOD(VLOOKUP(A12,Parámetros!$A$24:$B$25,2,TRUE()),1))</f>
        <v>0.875</v>
      </c>
      <c r="AE12" s="5">
        <f>IF(A12="",0,IF(OR(WEEKDAY(A12,2)=7,COUNTIF(Festivos!$A$5:$A$451,A12)&gt;0),1,0))</f>
        <v>0</v>
      </c>
      <c r="AF12" s="5">
        <f>IF(A12="",0,IF(OR(WEEKDAY(A12+1,2)=7,COUNTIF(Festivos!$A$5:$A$451,A12+1)&gt;0),1,0))</f>
        <v>0</v>
      </c>
      <c r="AG12" s="9">
        <f>IF(A12="",0,VLOOKUP(A12,Parámetros!$A$18:$B$21,2,TRUE()))</f>
        <v>0</v>
      </c>
      <c r="AH12" s="20">
        <f t="shared" si="16"/>
        <v>0</v>
      </c>
      <c r="AI12" s="20">
        <f>MAX(0,MIN(AB12,Parámetros!$B$11)-MAX(X12,0))+MAX(0,MIN(AB12,1+Parámetros!$B$11)-MAX(X12,AD12))+MAX(0,MIN(AB12,2)-MAX(X12,1+AD12))</f>
        <v>0</v>
      </c>
      <c r="AJ12" s="20">
        <f t="shared" si="17"/>
        <v>0</v>
      </c>
      <c r="AK12" s="20">
        <f>AE12*(MAX(0,MIN(AB12,Parámetros!$B$11)-MAX(X12,0))+MAX(0,MIN(AB12,1)-MAX(X12,AD12)))+AF12*(MAX(0,MIN(AB12,1+Parámetros!$B$11)-MAX(X12,1))+MAX(0,MIN(AB12,2)-MAX(X12,1+AD12)))</f>
        <v>0</v>
      </c>
      <c r="AL12" s="20">
        <f t="shared" si="18"/>
        <v>0</v>
      </c>
      <c r="AM12" s="20">
        <f>MAX(0,MIN(AC12,Parámetros!$B$11)-MAX(AB12,0))+MAX(0,MIN(AC12,1+Parámetros!$B$11)-MAX(AB12,AD12))+MAX(0,MIN(AC12,2)-MAX(AB12,1+AD12))</f>
        <v>0</v>
      </c>
      <c r="AN12" s="20">
        <f t="shared" si="19"/>
        <v>0</v>
      </c>
      <c r="AO12" s="20">
        <f>AE12*(MAX(0,MIN(AC12,Parámetros!$B$11)-MAX(AB12,0))+MAX(0,MIN(AC12,1)-MAX(AB12,AD12)))+AF12*(MAX(0,MIN(AC12,1+Parámetros!$B$11)-MAX(AB12,1))+MAX(0,MIN(AC12,2)-MAX(AB12,1+AD12)))</f>
        <v>0</v>
      </c>
    </row>
    <row r="13" spans="1:41" x14ac:dyDescent="0.25">
      <c r="A13" s="15"/>
      <c r="B13" s="8"/>
      <c r="C13" s="5" t="str">
        <f>IF(B13="","",IFERROR(INDEX(Trabajadores!$B$5:$B$204,MATCH(B13,Trabajadores!$A$5:$A$204,0)),"Cédula no registrada"))</f>
        <v/>
      </c>
      <c r="D13" s="11"/>
      <c r="E13" s="11"/>
      <c r="F13" s="8"/>
      <c r="G13" s="18" t="str">
        <f>IF(A13="","",IFERROR(INDEX(Trabajadores!$E$5:$E$204,MATCH(B13,Trabajadores!$A$5:$A$204,0))/Parámetros!$B$6,0)+IF(IFERROR(INDEX(Trabajadores!$E$5:$E$204,MATCH(B13,Trabajadores!$A$5:$A$204,0)),"")="",Parámetros!$B$7,0))</f>
        <v/>
      </c>
      <c r="H13" s="5" t="str">
        <f t="shared" si="0"/>
        <v/>
      </c>
      <c r="I13" s="5" t="str">
        <f>IF(A13="","",IF(COUNTIF(Festivos!$A$5:$A$451,A13)&gt;0,"Festivo",IF(WEEKDAY(A13,2)=7,"Domingo",IF(AND(AF13=1,AC13&gt;1),IF(COUNTIF(Festivos!$A$5:$A$451,A13+1)&gt;0,"Festivo","Domingo")&amp;" desde las 00:00",""))))</f>
        <v/>
      </c>
      <c r="J13" s="19" t="str">
        <f t="shared" si="1"/>
        <v/>
      </c>
      <c r="K13" s="19" t="str">
        <f t="shared" si="2"/>
        <v/>
      </c>
      <c r="L13" s="19" t="str">
        <f t="shared" si="3"/>
        <v/>
      </c>
      <c r="M13" s="19" t="str">
        <f t="shared" si="4"/>
        <v/>
      </c>
      <c r="N13" s="19" t="str">
        <f t="shared" si="5"/>
        <v/>
      </c>
      <c r="O13" s="19" t="str">
        <f t="shared" si="6"/>
        <v/>
      </c>
      <c r="P13" s="19" t="str">
        <f t="shared" si="7"/>
        <v/>
      </c>
      <c r="Q13" s="19" t="str">
        <f t="shared" si="8"/>
        <v/>
      </c>
      <c r="R13" s="19" t="str">
        <f t="shared" si="9"/>
        <v/>
      </c>
      <c r="S13" s="17" t="str">
        <f>IF(B13="","",IFERROR(INDEX(Trabajadores!$G$5:$G$204,MATCH(B13,Trabajadores!$A$5:$A$204,0)),""))</f>
        <v/>
      </c>
      <c r="T13" s="17" t="str">
        <f>IF(OR(OR(A13="",D13="",E13=""),S13=""),"",ROUND(S13*(N(L13)*Parámetros!$B$8+N(M13)*(1+Parámetros!$B$9)+N(N13)*(1+Parámetros!$B$10)+N(O13)*(1+AG13)+N(P13)*(1+AG13+Parámetros!$B$8)+N(Q13)*(1+AG13+Parámetros!$B$9)+N(R13)*(1+AG13+Parámetros!$B$10)),0))</f>
        <v/>
      </c>
      <c r="U13" s="5" t="str">
        <f>IF(OR(A13="",D13="",E13=""),"",IF(N(M13)+N(N13)+N(Q13)+N(R13)&gt;Parámetros!$B$12,"Supera el límite de horas extras diarias",IF(C13="Cédula no registrada","Registre la cédula en «Trabajadores»","")))</f>
        <v/>
      </c>
      <c r="X13" s="20">
        <f t="shared" si="10"/>
        <v>0</v>
      </c>
      <c r="Y13" s="20">
        <f t="shared" si="11"/>
        <v>0</v>
      </c>
      <c r="Z13" s="20">
        <f t="shared" si="12"/>
        <v>0</v>
      </c>
      <c r="AA13" s="20">
        <f t="shared" si="13"/>
        <v>0</v>
      </c>
      <c r="AB13" s="20">
        <f t="shared" si="14"/>
        <v>0</v>
      </c>
      <c r="AC13" s="20">
        <f t="shared" si="15"/>
        <v>0</v>
      </c>
      <c r="AD13" s="20">
        <f>IF(A13="",21/24,MOD(VLOOKUP(A13,Parámetros!$A$24:$B$25,2,TRUE()),1))</f>
        <v>0.875</v>
      </c>
      <c r="AE13" s="5">
        <f>IF(A13="",0,IF(OR(WEEKDAY(A13,2)=7,COUNTIF(Festivos!$A$5:$A$451,A13)&gt;0),1,0))</f>
        <v>0</v>
      </c>
      <c r="AF13" s="5">
        <f>IF(A13="",0,IF(OR(WEEKDAY(A13+1,2)=7,COUNTIF(Festivos!$A$5:$A$451,A13+1)&gt;0),1,0))</f>
        <v>0</v>
      </c>
      <c r="AG13" s="9">
        <f>IF(A13="",0,VLOOKUP(A13,Parámetros!$A$18:$B$21,2,TRUE()))</f>
        <v>0</v>
      </c>
      <c r="AH13" s="20">
        <f t="shared" si="16"/>
        <v>0</v>
      </c>
      <c r="AI13" s="20">
        <f>MAX(0,MIN(AB13,Parámetros!$B$11)-MAX(X13,0))+MAX(0,MIN(AB13,1+Parámetros!$B$11)-MAX(X13,AD13))+MAX(0,MIN(AB13,2)-MAX(X13,1+AD13))</f>
        <v>0</v>
      </c>
      <c r="AJ13" s="20">
        <f t="shared" si="17"/>
        <v>0</v>
      </c>
      <c r="AK13" s="20">
        <f>AE13*(MAX(0,MIN(AB13,Parámetros!$B$11)-MAX(X13,0))+MAX(0,MIN(AB13,1)-MAX(X13,AD13)))+AF13*(MAX(0,MIN(AB13,1+Parámetros!$B$11)-MAX(X13,1))+MAX(0,MIN(AB13,2)-MAX(X13,1+AD13)))</f>
        <v>0</v>
      </c>
      <c r="AL13" s="20">
        <f t="shared" si="18"/>
        <v>0</v>
      </c>
      <c r="AM13" s="20">
        <f>MAX(0,MIN(AC13,Parámetros!$B$11)-MAX(AB13,0))+MAX(0,MIN(AC13,1+Parámetros!$B$11)-MAX(AB13,AD13))+MAX(0,MIN(AC13,2)-MAX(AB13,1+AD13))</f>
        <v>0</v>
      </c>
      <c r="AN13" s="20">
        <f t="shared" si="19"/>
        <v>0</v>
      </c>
      <c r="AO13" s="20">
        <f>AE13*(MAX(0,MIN(AC13,Parámetros!$B$11)-MAX(AB13,0))+MAX(0,MIN(AC13,1)-MAX(AB13,AD13)))+AF13*(MAX(0,MIN(AC13,1+Parámetros!$B$11)-MAX(AB13,1))+MAX(0,MIN(AC13,2)-MAX(AB13,1+AD13)))</f>
        <v>0</v>
      </c>
    </row>
    <row r="14" spans="1:41" x14ac:dyDescent="0.25">
      <c r="A14" s="15"/>
      <c r="B14" s="8"/>
      <c r="C14" s="5" t="str">
        <f>IF(B14="","",IFERROR(INDEX(Trabajadores!$B$5:$B$204,MATCH(B14,Trabajadores!$A$5:$A$204,0)),"Cédula no registrada"))</f>
        <v/>
      </c>
      <c r="D14" s="11"/>
      <c r="E14" s="11"/>
      <c r="F14" s="8"/>
      <c r="G14" s="18" t="str">
        <f>IF(A14="","",IFERROR(INDEX(Trabajadores!$E$5:$E$204,MATCH(B14,Trabajadores!$A$5:$A$204,0))/Parámetros!$B$6,0)+IF(IFERROR(INDEX(Trabajadores!$E$5:$E$204,MATCH(B14,Trabajadores!$A$5:$A$204,0)),"")="",Parámetros!$B$7,0))</f>
        <v/>
      </c>
      <c r="H14" s="5" t="str">
        <f t="shared" si="0"/>
        <v/>
      </c>
      <c r="I14" s="5" t="str">
        <f>IF(A14="","",IF(COUNTIF(Festivos!$A$5:$A$451,A14)&gt;0,"Festivo",IF(WEEKDAY(A14,2)=7,"Domingo",IF(AND(AF14=1,AC14&gt;1),IF(COUNTIF(Festivos!$A$5:$A$451,A14+1)&gt;0,"Festivo","Domingo")&amp;" desde las 00:00",""))))</f>
        <v/>
      </c>
      <c r="J14" s="19" t="str">
        <f t="shared" si="1"/>
        <v/>
      </c>
      <c r="K14" s="19" t="str">
        <f t="shared" si="2"/>
        <v/>
      </c>
      <c r="L14" s="19" t="str">
        <f t="shared" si="3"/>
        <v/>
      </c>
      <c r="M14" s="19" t="str">
        <f t="shared" si="4"/>
        <v/>
      </c>
      <c r="N14" s="19" t="str">
        <f t="shared" si="5"/>
        <v/>
      </c>
      <c r="O14" s="19" t="str">
        <f t="shared" si="6"/>
        <v/>
      </c>
      <c r="P14" s="19" t="str">
        <f t="shared" si="7"/>
        <v/>
      </c>
      <c r="Q14" s="19" t="str">
        <f t="shared" si="8"/>
        <v/>
      </c>
      <c r="R14" s="19" t="str">
        <f t="shared" si="9"/>
        <v/>
      </c>
      <c r="S14" s="17" t="str">
        <f>IF(B14="","",IFERROR(INDEX(Trabajadores!$G$5:$G$204,MATCH(B14,Trabajadores!$A$5:$A$204,0)),""))</f>
        <v/>
      </c>
      <c r="T14" s="17" t="str">
        <f>IF(OR(OR(A14="",D14="",E14=""),S14=""),"",ROUND(S14*(N(L14)*Parámetros!$B$8+N(M14)*(1+Parámetros!$B$9)+N(N14)*(1+Parámetros!$B$10)+N(O14)*(1+AG14)+N(P14)*(1+AG14+Parámetros!$B$8)+N(Q14)*(1+AG14+Parámetros!$B$9)+N(R14)*(1+AG14+Parámetros!$B$10)),0))</f>
        <v/>
      </c>
      <c r="U14" s="5" t="str">
        <f>IF(OR(A14="",D14="",E14=""),"",IF(N(M14)+N(N14)+N(Q14)+N(R14)&gt;Parámetros!$B$12,"Supera el límite de horas extras diarias",IF(C14="Cédula no registrada","Registre la cédula en «Trabajadores»","")))</f>
        <v/>
      </c>
      <c r="X14" s="20">
        <f t="shared" si="10"/>
        <v>0</v>
      </c>
      <c r="Y14" s="20">
        <f t="shared" si="11"/>
        <v>0</v>
      </c>
      <c r="Z14" s="20">
        <f t="shared" si="12"/>
        <v>0</v>
      </c>
      <c r="AA14" s="20">
        <f t="shared" si="13"/>
        <v>0</v>
      </c>
      <c r="AB14" s="20">
        <f t="shared" si="14"/>
        <v>0</v>
      </c>
      <c r="AC14" s="20">
        <f t="shared" si="15"/>
        <v>0</v>
      </c>
      <c r="AD14" s="20">
        <f>IF(A14="",21/24,MOD(VLOOKUP(A14,Parámetros!$A$24:$B$25,2,TRUE()),1))</f>
        <v>0.875</v>
      </c>
      <c r="AE14" s="5">
        <f>IF(A14="",0,IF(OR(WEEKDAY(A14,2)=7,COUNTIF(Festivos!$A$5:$A$451,A14)&gt;0),1,0))</f>
        <v>0</v>
      </c>
      <c r="AF14" s="5">
        <f>IF(A14="",0,IF(OR(WEEKDAY(A14+1,2)=7,COUNTIF(Festivos!$A$5:$A$451,A14+1)&gt;0),1,0))</f>
        <v>0</v>
      </c>
      <c r="AG14" s="9">
        <f>IF(A14="",0,VLOOKUP(A14,Parámetros!$A$18:$B$21,2,TRUE()))</f>
        <v>0</v>
      </c>
      <c r="AH14" s="20">
        <f t="shared" si="16"/>
        <v>0</v>
      </c>
      <c r="AI14" s="20">
        <f>MAX(0,MIN(AB14,Parámetros!$B$11)-MAX(X14,0))+MAX(0,MIN(AB14,1+Parámetros!$B$11)-MAX(X14,AD14))+MAX(0,MIN(AB14,2)-MAX(X14,1+AD14))</f>
        <v>0</v>
      </c>
      <c r="AJ14" s="20">
        <f t="shared" si="17"/>
        <v>0</v>
      </c>
      <c r="AK14" s="20">
        <f>AE14*(MAX(0,MIN(AB14,Parámetros!$B$11)-MAX(X14,0))+MAX(0,MIN(AB14,1)-MAX(X14,AD14)))+AF14*(MAX(0,MIN(AB14,1+Parámetros!$B$11)-MAX(X14,1))+MAX(0,MIN(AB14,2)-MAX(X14,1+AD14)))</f>
        <v>0</v>
      </c>
      <c r="AL14" s="20">
        <f t="shared" si="18"/>
        <v>0</v>
      </c>
      <c r="AM14" s="20">
        <f>MAX(0,MIN(AC14,Parámetros!$B$11)-MAX(AB14,0))+MAX(0,MIN(AC14,1+Parámetros!$B$11)-MAX(AB14,AD14))+MAX(0,MIN(AC14,2)-MAX(AB14,1+AD14))</f>
        <v>0</v>
      </c>
      <c r="AN14" s="20">
        <f t="shared" si="19"/>
        <v>0</v>
      </c>
      <c r="AO14" s="20">
        <f>AE14*(MAX(0,MIN(AC14,Parámetros!$B$11)-MAX(AB14,0))+MAX(0,MIN(AC14,1)-MAX(AB14,AD14)))+AF14*(MAX(0,MIN(AC14,1+Parámetros!$B$11)-MAX(AB14,1))+MAX(0,MIN(AC14,2)-MAX(AB14,1+AD14)))</f>
        <v>0</v>
      </c>
    </row>
    <row r="15" spans="1:41" x14ac:dyDescent="0.25">
      <c r="A15" s="15"/>
      <c r="B15" s="8"/>
      <c r="C15" s="5" t="str">
        <f>IF(B15="","",IFERROR(INDEX(Trabajadores!$B$5:$B$204,MATCH(B15,Trabajadores!$A$5:$A$204,0)),"Cédula no registrada"))</f>
        <v/>
      </c>
      <c r="D15" s="11"/>
      <c r="E15" s="11"/>
      <c r="F15" s="8"/>
      <c r="G15" s="18" t="str">
        <f>IF(A15="","",IFERROR(INDEX(Trabajadores!$E$5:$E$204,MATCH(B15,Trabajadores!$A$5:$A$204,0))/Parámetros!$B$6,0)+IF(IFERROR(INDEX(Trabajadores!$E$5:$E$204,MATCH(B15,Trabajadores!$A$5:$A$204,0)),"")="",Parámetros!$B$7,0))</f>
        <v/>
      </c>
      <c r="H15" s="5" t="str">
        <f t="shared" si="0"/>
        <v/>
      </c>
      <c r="I15" s="5" t="str">
        <f>IF(A15="","",IF(COUNTIF(Festivos!$A$5:$A$451,A15)&gt;0,"Festivo",IF(WEEKDAY(A15,2)=7,"Domingo",IF(AND(AF15=1,AC15&gt;1),IF(COUNTIF(Festivos!$A$5:$A$451,A15+1)&gt;0,"Festivo","Domingo")&amp;" desde las 00:00",""))))</f>
        <v/>
      </c>
      <c r="J15" s="19" t="str">
        <f t="shared" si="1"/>
        <v/>
      </c>
      <c r="K15" s="19" t="str">
        <f t="shared" si="2"/>
        <v/>
      </c>
      <c r="L15" s="19" t="str">
        <f t="shared" si="3"/>
        <v/>
      </c>
      <c r="M15" s="19" t="str">
        <f t="shared" si="4"/>
        <v/>
      </c>
      <c r="N15" s="19" t="str">
        <f t="shared" si="5"/>
        <v/>
      </c>
      <c r="O15" s="19" t="str">
        <f t="shared" si="6"/>
        <v/>
      </c>
      <c r="P15" s="19" t="str">
        <f t="shared" si="7"/>
        <v/>
      </c>
      <c r="Q15" s="19" t="str">
        <f t="shared" si="8"/>
        <v/>
      </c>
      <c r="R15" s="19" t="str">
        <f t="shared" si="9"/>
        <v/>
      </c>
      <c r="S15" s="17" t="str">
        <f>IF(B15="","",IFERROR(INDEX(Trabajadores!$G$5:$G$204,MATCH(B15,Trabajadores!$A$5:$A$204,0)),""))</f>
        <v/>
      </c>
      <c r="T15" s="17" t="str">
        <f>IF(OR(OR(A15="",D15="",E15=""),S15=""),"",ROUND(S15*(N(L15)*Parámetros!$B$8+N(M15)*(1+Parámetros!$B$9)+N(N15)*(1+Parámetros!$B$10)+N(O15)*(1+AG15)+N(P15)*(1+AG15+Parámetros!$B$8)+N(Q15)*(1+AG15+Parámetros!$B$9)+N(R15)*(1+AG15+Parámetros!$B$10)),0))</f>
        <v/>
      </c>
      <c r="U15" s="5" t="str">
        <f>IF(OR(A15="",D15="",E15=""),"",IF(N(M15)+N(N15)+N(Q15)+N(R15)&gt;Parámetros!$B$12,"Supera el límite de horas extras diarias",IF(C15="Cédula no registrada","Registre la cédula en «Trabajadores»","")))</f>
        <v/>
      </c>
      <c r="X15" s="20">
        <f t="shared" si="10"/>
        <v>0</v>
      </c>
      <c r="Y15" s="20">
        <f t="shared" si="11"/>
        <v>0</v>
      </c>
      <c r="Z15" s="20">
        <f t="shared" si="12"/>
        <v>0</v>
      </c>
      <c r="AA15" s="20">
        <f t="shared" si="13"/>
        <v>0</v>
      </c>
      <c r="AB15" s="20">
        <f t="shared" si="14"/>
        <v>0</v>
      </c>
      <c r="AC15" s="20">
        <f t="shared" si="15"/>
        <v>0</v>
      </c>
      <c r="AD15" s="20">
        <f>IF(A15="",21/24,MOD(VLOOKUP(A15,Parámetros!$A$24:$B$25,2,TRUE()),1))</f>
        <v>0.875</v>
      </c>
      <c r="AE15" s="5">
        <f>IF(A15="",0,IF(OR(WEEKDAY(A15,2)=7,COUNTIF(Festivos!$A$5:$A$451,A15)&gt;0),1,0))</f>
        <v>0</v>
      </c>
      <c r="AF15" s="5">
        <f>IF(A15="",0,IF(OR(WEEKDAY(A15+1,2)=7,COUNTIF(Festivos!$A$5:$A$451,A15+1)&gt;0),1,0))</f>
        <v>0</v>
      </c>
      <c r="AG15" s="9">
        <f>IF(A15="",0,VLOOKUP(A15,Parámetros!$A$18:$B$21,2,TRUE()))</f>
        <v>0</v>
      </c>
      <c r="AH15" s="20">
        <f t="shared" si="16"/>
        <v>0</v>
      </c>
      <c r="AI15" s="20">
        <f>MAX(0,MIN(AB15,Parámetros!$B$11)-MAX(X15,0))+MAX(0,MIN(AB15,1+Parámetros!$B$11)-MAX(X15,AD15))+MAX(0,MIN(AB15,2)-MAX(X15,1+AD15))</f>
        <v>0</v>
      </c>
      <c r="AJ15" s="20">
        <f t="shared" si="17"/>
        <v>0</v>
      </c>
      <c r="AK15" s="20">
        <f>AE15*(MAX(0,MIN(AB15,Parámetros!$B$11)-MAX(X15,0))+MAX(0,MIN(AB15,1)-MAX(X15,AD15)))+AF15*(MAX(0,MIN(AB15,1+Parámetros!$B$11)-MAX(X15,1))+MAX(0,MIN(AB15,2)-MAX(X15,1+AD15)))</f>
        <v>0</v>
      </c>
      <c r="AL15" s="20">
        <f t="shared" si="18"/>
        <v>0</v>
      </c>
      <c r="AM15" s="20">
        <f>MAX(0,MIN(AC15,Parámetros!$B$11)-MAX(AB15,0))+MAX(0,MIN(AC15,1+Parámetros!$B$11)-MAX(AB15,AD15))+MAX(0,MIN(AC15,2)-MAX(AB15,1+AD15))</f>
        <v>0</v>
      </c>
      <c r="AN15" s="20">
        <f t="shared" si="19"/>
        <v>0</v>
      </c>
      <c r="AO15" s="20">
        <f>AE15*(MAX(0,MIN(AC15,Parámetros!$B$11)-MAX(AB15,0))+MAX(0,MIN(AC15,1)-MAX(AB15,AD15)))+AF15*(MAX(0,MIN(AC15,1+Parámetros!$B$11)-MAX(AB15,1))+MAX(0,MIN(AC15,2)-MAX(AB15,1+AD15)))</f>
        <v>0</v>
      </c>
    </row>
    <row r="16" spans="1:41" x14ac:dyDescent="0.25">
      <c r="A16" s="15"/>
      <c r="B16" s="8"/>
      <c r="C16" s="5" t="str">
        <f>IF(B16="","",IFERROR(INDEX(Trabajadores!$B$5:$B$204,MATCH(B16,Trabajadores!$A$5:$A$204,0)),"Cédula no registrada"))</f>
        <v/>
      </c>
      <c r="D16" s="11"/>
      <c r="E16" s="11"/>
      <c r="F16" s="8"/>
      <c r="G16" s="18" t="str">
        <f>IF(A16="","",IFERROR(INDEX(Trabajadores!$E$5:$E$204,MATCH(B16,Trabajadores!$A$5:$A$204,0))/Parámetros!$B$6,0)+IF(IFERROR(INDEX(Trabajadores!$E$5:$E$204,MATCH(B16,Trabajadores!$A$5:$A$204,0)),"")="",Parámetros!$B$7,0))</f>
        <v/>
      </c>
      <c r="H16" s="5" t="str">
        <f t="shared" si="0"/>
        <v/>
      </c>
      <c r="I16" s="5" t="str">
        <f>IF(A16="","",IF(COUNTIF(Festivos!$A$5:$A$451,A16)&gt;0,"Festivo",IF(WEEKDAY(A16,2)=7,"Domingo",IF(AND(AF16=1,AC16&gt;1),IF(COUNTIF(Festivos!$A$5:$A$451,A16+1)&gt;0,"Festivo","Domingo")&amp;" desde las 00:00",""))))</f>
        <v/>
      </c>
      <c r="J16" s="19" t="str">
        <f t="shared" si="1"/>
        <v/>
      </c>
      <c r="K16" s="19" t="str">
        <f t="shared" si="2"/>
        <v/>
      </c>
      <c r="L16" s="19" t="str">
        <f t="shared" si="3"/>
        <v/>
      </c>
      <c r="M16" s="19" t="str">
        <f t="shared" si="4"/>
        <v/>
      </c>
      <c r="N16" s="19" t="str">
        <f t="shared" si="5"/>
        <v/>
      </c>
      <c r="O16" s="19" t="str">
        <f t="shared" si="6"/>
        <v/>
      </c>
      <c r="P16" s="19" t="str">
        <f t="shared" si="7"/>
        <v/>
      </c>
      <c r="Q16" s="19" t="str">
        <f t="shared" si="8"/>
        <v/>
      </c>
      <c r="R16" s="19" t="str">
        <f t="shared" si="9"/>
        <v/>
      </c>
      <c r="S16" s="17" t="str">
        <f>IF(B16="","",IFERROR(INDEX(Trabajadores!$G$5:$G$204,MATCH(B16,Trabajadores!$A$5:$A$204,0)),""))</f>
        <v/>
      </c>
      <c r="T16" s="17" t="str">
        <f>IF(OR(OR(A16="",D16="",E16=""),S16=""),"",ROUND(S16*(N(L16)*Parámetros!$B$8+N(M16)*(1+Parámetros!$B$9)+N(N16)*(1+Parámetros!$B$10)+N(O16)*(1+AG16)+N(P16)*(1+AG16+Parámetros!$B$8)+N(Q16)*(1+AG16+Parámetros!$B$9)+N(R16)*(1+AG16+Parámetros!$B$10)),0))</f>
        <v/>
      </c>
      <c r="U16" s="5" t="str">
        <f>IF(OR(A16="",D16="",E16=""),"",IF(N(M16)+N(N16)+N(Q16)+N(R16)&gt;Parámetros!$B$12,"Supera el límite de horas extras diarias",IF(C16="Cédula no registrada","Registre la cédula en «Trabajadores»","")))</f>
        <v/>
      </c>
      <c r="X16" s="20">
        <f t="shared" si="10"/>
        <v>0</v>
      </c>
      <c r="Y16" s="20">
        <f t="shared" si="11"/>
        <v>0</v>
      </c>
      <c r="Z16" s="20">
        <f t="shared" si="12"/>
        <v>0</v>
      </c>
      <c r="AA16" s="20">
        <f t="shared" si="13"/>
        <v>0</v>
      </c>
      <c r="AB16" s="20">
        <f t="shared" si="14"/>
        <v>0</v>
      </c>
      <c r="AC16" s="20">
        <f t="shared" si="15"/>
        <v>0</v>
      </c>
      <c r="AD16" s="20">
        <f>IF(A16="",21/24,MOD(VLOOKUP(A16,Parámetros!$A$24:$B$25,2,TRUE()),1))</f>
        <v>0.875</v>
      </c>
      <c r="AE16" s="5">
        <f>IF(A16="",0,IF(OR(WEEKDAY(A16,2)=7,COUNTIF(Festivos!$A$5:$A$451,A16)&gt;0),1,0))</f>
        <v>0</v>
      </c>
      <c r="AF16" s="5">
        <f>IF(A16="",0,IF(OR(WEEKDAY(A16+1,2)=7,COUNTIF(Festivos!$A$5:$A$451,A16+1)&gt;0),1,0))</f>
        <v>0</v>
      </c>
      <c r="AG16" s="9">
        <f>IF(A16="",0,VLOOKUP(A16,Parámetros!$A$18:$B$21,2,TRUE()))</f>
        <v>0</v>
      </c>
      <c r="AH16" s="20">
        <f t="shared" si="16"/>
        <v>0</v>
      </c>
      <c r="AI16" s="20">
        <f>MAX(0,MIN(AB16,Parámetros!$B$11)-MAX(X16,0))+MAX(0,MIN(AB16,1+Parámetros!$B$11)-MAX(X16,AD16))+MAX(0,MIN(AB16,2)-MAX(X16,1+AD16))</f>
        <v>0</v>
      </c>
      <c r="AJ16" s="20">
        <f t="shared" si="17"/>
        <v>0</v>
      </c>
      <c r="AK16" s="20">
        <f>AE16*(MAX(0,MIN(AB16,Parámetros!$B$11)-MAX(X16,0))+MAX(0,MIN(AB16,1)-MAX(X16,AD16)))+AF16*(MAX(0,MIN(AB16,1+Parámetros!$B$11)-MAX(X16,1))+MAX(0,MIN(AB16,2)-MAX(X16,1+AD16)))</f>
        <v>0</v>
      </c>
      <c r="AL16" s="20">
        <f t="shared" si="18"/>
        <v>0</v>
      </c>
      <c r="AM16" s="20">
        <f>MAX(0,MIN(AC16,Parámetros!$B$11)-MAX(AB16,0))+MAX(0,MIN(AC16,1+Parámetros!$B$11)-MAX(AB16,AD16))+MAX(0,MIN(AC16,2)-MAX(AB16,1+AD16))</f>
        <v>0</v>
      </c>
      <c r="AN16" s="20">
        <f t="shared" si="19"/>
        <v>0</v>
      </c>
      <c r="AO16" s="20">
        <f>AE16*(MAX(0,MIN(AC16,Parámetros!$B$11)-MAX(AB16,0))+MAX(0,MIN(AC16,1)-MAX(AB16,AD16)))+AF16*(MAX(0,MIN(AC16,1+Parámetros!$B$11)-MAX(AB16,1))+MAX(0,MIN(AC16,2)-MAX(AB16,1+AD16)))</f>
        <v>0</v>
      </c>
    </row>
    <row r="17" spans="1:41" x14ac:dyDescent="0.25">
      <c r="A17" s="15"/>
      <c r="B17" s="8"/>
      <c r="C17" s="5" t="str">
        <f>IF(B17="","",IFERROR(INDEX(Trabajadores!$B$5:$B$204,MATCH(B17,Trabajadores!$A$5:$A$204,0)),"Cédula no registrada"))</f>
        <v/>
      </c>
      <c r="D17" s="11"/>
      <c r="E17" s="11"/>
      <c r="F17" s="8"/>
      <c r="G17" s="18" t="str">
        <f>IF(A17="","",IFERROR(INDEX(Trabajadores!$E$5:$E$204,MATCH(B17,Trabajadores!$A$5:$A$204,0))/Parámetros!$B$6,0)+IF(IFERROR(INDEX(Trabajadores!$E$5:$E$204,MATCH(B17,Trabajadores!$A$5:$A$204,0)),"")="",Parámetros!$B$7,0))</f>
        <v/>
      </c>
      <c r="H17" s="5" t="str">
        <f t="shared" si="0"/>
        <v/>
      </c>
      <c r="I17" s="5" t="str">
        <f>IF(A17="","",IF(COUNTIF(Festivos!$A$5:$A$451,A17)&gt;0,"Festivo",IF(WEEKDAY(A17,2)=7,"Domingo",IF(AND(AF17=1,AC17&gt;1),IF(COUNTIF(Festivos!$A$5:$A$451,A17+1)&gt;0,"Festivo","Domingo")&amp;" desde las 00:00",""))))</f>
        <v/>
      </c>
      <c r="J17" s="19" t="str">
        <f t="shared" si="1"/>
        <v/>
      </c>
      <c r="K17" s="19" t="str">
        <f t="shared" si="2"/>
        <v/>
      </c>
      <c r="L17" s="19" t="str">
        <f t="shared" si="3"/>
        <v/>
      </c>
      <c r="M17" s="19" t="str">
        <f t="shared" si="4"/>
        <v/>
      </c>
      <c r="N17" s="19" t="str">
        <f t="shared" si="5"/>
        <v/>
      </c>
      <c r="O17" s="19" t="str">
        <f t="shared" si="6"/>
        <v/>
      </c>
      <c r="P17" s="19" t="str">
        <f t="shared" si="7"/>
        <v/>
      </c>
      <c r="Q17" s="19" t="str">
        <f t="shared" si="8"/>
        <v/>
      </c>
      <c r="R17" s="19" t="str">
        <f t="shared" si="9"/>
        <v/>
      </c>
      <c r="S17" s="17" t="str">
        <f>IF(B17="","",IFERROR(INDEX(Trabajadores!$G$5:$G$204,MATCH(B17,Trabajadores!$A$5:$A$204,0)),""))</f>
        <v/>
      </c>
      <c r="T17" s="17" t="str">
        <f>IF(OR(OR(A17="",D17="",E17=""),S17=""),"",ROUND(S17*(N(L17)*Parámetros!$B$8+N(M17)*(1+Parámetros!$B$9)+N(N17)*(1+Parámetros!$B$10)+N(O17)*(1+AG17)+N(P17)*(1+AG17+Parámetros!$B$8)+N(Q17)*(1+AG17+Parámetros!$B$9)+N(R17)*(1+AG17+Parámetros!$B$10)),0))</f>
        <v/>
      </c>
      <c r="U17" s="5" t="str">
        <f>IF(OR(A17="",D17="",E17=""),"",IF(N(M17)+N(N17)+N(Q17)+N(R17)&gt;Parámetros!$B$12,"Supera el límite de horas extras diarias",IF(C17="Cédula no registrada","Registre la cédula en «Trabajadores»","")))</f>
        <v/>
      </c>
      <c r="X17" s="20">
        <f t="shared" si="10"/>
        <v>0</v>
      </c>
      <c r="Y17" s="20">
        <f t="shared" si="11"/>
        <v>0</v>
      </c>
      <c r="Z17" s="20">
        <f t="shared" si="12"/>
        <v>0</v>
      </c>
      <c r="AA17" s="20">
        <f t="shared" si="13"/>
        <v>0</v>
      </c>
      <c r="AB17" s="20">
        <f t="shared" si="14"/>
        <v>0</v>
      </c>
      <c r="AC17" s="20">
        <f t="shared" si="15"/>
        <v>0</v>
      </c>
      <c r="AD17" s="20">
        <f>IF(A17="",21/24,MOD(VLOOKUP(A17,Parámetros!$A$24:$B$25,2,TRUE()),1))</f>
        <v>0.875</v>
      </c>
      <c r="AE17" s="5">
        <f>IF(A17="",0,IF(OR(WEEKDAY(A17,2)=7,COUNTIF(Festivos!$A$5:$A$451,A17)&gt;0),1,0))</f>
        <v>0</v>
      </c>
      <c r="AF17" s="5">
        <f>IF(A17="",0,IF(OR(WEEKDAY(A17+1,2)=7,COUNTIF(Festivos!$A$5:$A$451,A17+1)&gt;0),1,0))</f>
        <v>0</v>
      </c>
      <c r="AG17" s="9">
        <f>IF(A17="",0,VLOOKUP(A17,Parámetros!$A$18:$B$21,2,TRUE()))</f>
        <v>0</v>
      </c>
      <c r="AH17" s="20">
        <f t="shared" si="16"/>
        <v>0</v>
      </c>
      <c r="AI17" s="20">
        <f>MAX(0,MIN(AB17,Parámetros!$B$11)-MAX(X17,0))+MAX(0,MIN(AB17,1+Parámetros!$B$11)-MAX(X17,AD17))+MAX(0,MIN(AB17,2)-MAX(X17,1+AD17))</f>
        <v>0</v>
      </c>
      <c r="AJ17" s="20">
        <f t="shared" si="17"/>
        <v>0</v>
      </c>
      <c r="AK17" s="20">
        <f>AE17*(MAX(0,MIN(AB17,Parámetros!$B$11)-MAX(X17,0))+MAX(0,MIN(AB17,1)-MAX(X17,AD17)))+AF17*(MAX(0,MIN(AB17,1+Parámetros!$B$11)-MAX(X17,1))+MAX(0,MIN(AB17,2)-MAX(X17,1+AD17)))</f>
        <v>0</v>
      </c>
      <c r="AL17" s="20">
        <f t="shared" si="18"/>
        <v>0</v>
      </c>
      <c r="AM17" s="20">
        <f>MAX(0,MIN(AC17,Parámetros!$B$11)-MAX(AB17,0))+MAX(0,MIN(AC17,1+Parámetros!$B$11)-MAX(AB17,AD17))+MAX(0,MIN(AC17,2)-MAX(AB17,1+AD17))</f>
        <v>0</v>
      </c>
      <c r="AN17" s="20">
        <f t="shared" si="19"/>
        <v>0</v>
      </c>
      <c r="AO17" s="20">
        <f>AE17*(MAX(0,MIN(AC17,Parámetros!$B$11)-MAX(AB17,0))+MAX(0,MIN(AC17,1)-MAX(AB17,AD17)))+AF17*(MAX(0,MIN(AC17,1+Parámetros!$B$11)-MAX(AB17,1))+MAX(0,MIN(AC17,2)-MAX(AB17,1+AD17)))</f>
        <v>0</v>
      </c>
    </row>
    <row r="18" spans="1:41" x14ac:dyDescent="0.25">
      <c r="A18" s="15"/>
      <c r="B18" s="8"/>
      <c r="C18" s="5" t="str">
        <f>IF(B18="","",IFERROR(INDEX(Trabajadores!$B$5:$B$204,MATCH(B18,Trabajadores!$A$5:$A$204,0)),"Cédula no registrada"))</f>
        <v/>
      </c>
      <c r="D18" s="11"/>
      <c r="E18" s="11"/>
      <c r="F18" s="8"/>
      <c r="G18" s="18" t="str">
        <f>IF(A18="","",IFERROR(INDEX(Trabajadores!$E$5:$E$204,MATCH(B18,Trabajadores!$A$5:$A$204,0))/Parámetros!$B$6,0)+IF(IFERROR(INDEX(Trabajadores!$E$5:$E$204,MATCH(B18,Trabajadores!$A$5:$A$204,0)),"")="",Parámetros!$B$7,0))</f>
        <v/>
      </c>
      <c r="H18" s="5" t="str">
        <f t="shared" si="0"/>
        <v/>
      </c>
      <c r="I18" s="5" t="str">
        <f>IF(A18="","",IF(COUNTIF(Festivos!$A$5:$A$451,A18)&gt;0,"Festivo",IF(WEEKDAY(A18,2)=7,"Domingo",IF(AND(AF18=1,AC18&gt;1),IF(COUNTIF(Festivos!$A$5:$A$451,A18+1)&gt;0,"Festivo","Domingo")&amp;" desde las 00:00",""))))</f>
        <v/>
      </c>
      <c r="J18" s="19" t="str">
        <f t="shared" si="1"/>
        <v/>
      </c>
      <c r="K18" s="19" t="str">
        <f t="shared" si="2"/>
        <v/>
      </c>
      <c r="L18" s="19" t="str">
        <f t="shared" si="3"/>
        <v/>
      </c>
      <c r="M18" s="19" t="str">
        <f t="shared" si="4"/>
        <v/>
      </c>
      <c r="N18" s="19" t="str">
        <f t="shared" si="5"/>
        <v/>
      </c>
      <c r="O18" s="19" t="str">
        <f t="shared" si="6"/>
        <v/>
      </c>
      <c r="P18" s="19" t="str">
        <f t="shared" si="7"/>
        <v/>
      </c>
      <c r="Q18" s="19" t="str">
        <f t="shared" si="8"/>
        <v/>
      </c>
      <c r="R18" s="19" t="str">
        <f t="shared" si="9"/>
        <v/>
      </c>
      <c r="S18" s="17" t="str">
        <f>IF(B18="","",IFERROR(INDEX(Trabajadores!$G$5:$G$204,MATCH(B18,Trabajadores!$A$5:$A$204,0)),""))</f>
        <v/>
      </c>
      <c r="T18" s="17" t="str">
        <f>IF(OR(OR(A18="",D18="",E18=""),S18=""),"",ROUND(S18*(N(L18)*Parámetros!$B$8+N(M18)*(1+Parámetros!$B$9)+N(N18)*(1+Parámetros!$B$10)+N(O18)*(1+AG18)+N(P18)*(1+AG18+Parámetros!$B$8)+N(Q18)*(1+AG18+Parámetros!$B$9)+N(R18)*(1+AG18+Parámetros!$B$10)),0))</f>
        <v/>
      </c>
      <c r="U18" s="5" t="str">
        <f>IF(OR(A18="",D18="",E18=""),"",IF(N(M18)+N(N18)+N(Q18)+N(R18)&gt;Parámetros!$B$12,"Supera el límite de horas extras diarias",IF(C18="Cédula no registrada","Registre la cédula en «Trabajadores»","")))</f>
        <v/>
      </c>
      <c r="X18" s="20">
        <f t="shared" si="10"/>
        <v>0</v>
      </c>
      <c r="Y18" s="20">
        <f t="shared" si="11"/>
        <v>0</v>
      </c>
      <c r="Z18" s="20">
        <f t="shared" si="12"/>
        <v>0</v>
      </c>
      <c r="AA18" s="20">
        <f t="shared" si="13"/>
        <v>0</v>
      </c>
      <c r="AB18" s="20">
        <f t="shared" si="14"/>
        <v>0</v>
      </c>
      <c r="AC18" s="20">
        <f t="shared" si="15"/>
        <v>0</v>
      </c>
      <c r="AD18" s="20">
        <f>IF(A18="",21/24,MOD(VLOOKUP(A18,Parámetros!$A$24:$B$25,2,TRUE()),1))</f>
        <v>0.875</v>
      </c>
      <c r="AE18" s="5">
        <f>IF(A18="",0,IF(OR(WEEKDAY(A18,2)=7,COUNTIF(Festivos!$A$5:$A$451,A18)&gt;0),1,0))</f>
        <v>0</v>
      </c>
      <c r="AF18" s="5">
        <f>IF(A18="",0,IF(OR(WEEKDAY(A18+1,2)=7,COUNTIF(Festivos!$A$5:$A$451,A18+1)&gt;0),1,0))</f>
        <v>0</v>
      </c>
      <c r="AG18" s="9">
        <f>IF(A18="",0,VLOOKUP(A18,Parámetros!$A$18:$B$21,2,TRUE()))</f>
        <v>0</v>
      </c>
      <c r="AH18" s="20">
        <f t="shared" si="16"/>
        <v>0</v>
      </c>
      <c r="AI18" s="20">
        <f>MAX(0,MIN(AB18,Parámetros!$B$11)-MAX(X18,0))+MAX(0,MIN(AB18,1+Parámetros!$B$11)-MAX(X18,AD18))+MAX(0,MIN(AB18,2)-MAX(X18,1+AD18))</f>
        <v>0</v>
      </c>
      <c r="AJ18" s="20">
        <f t="shared" si="17"/>
        <v>0</v>
      </c>
      <c r="AK18" s="20">
        <f>AE18*(MAX(0,MIN(AB18,Parámetros!$B$11)-MAX(X18,0))+MAX(0,MIN(AB18,1)-MAX(X18,AD18)))+AF18*(MAX(0,MIN(AB18,1+Parámetros!$B$11)-MAX(X18,1))+MAX(0,MIN(AB18,2)-MAX(X18,1+AD18)))</f>
        <v>0</v>
      </c>
      <c r="AL18" s="20">
        <f t="shared" si="18"/>
        <v>0</v>
      </c>
      <c r="AM18" s="20">
        <f>MAX(0,MIN(AC18,Parámetros!$B$11)-MAX(AB18,0))+MAX(0,MIN(AC18,1+Parámetros!$B$11)-MAX(AB18,AD18))+MAX(0,MIN(AC18,2)-MAX(AB18,1+AD18))</f>
        <v>0</v>
      </c>
      <c r="AN18" s="20">
        <f t="shared" si="19"/>
        <v>0</v>
      </c>
      <c r="AO18" s="20">
        <f>AE18*(MAX(0,MIN(AC18,Parámetros!$B$11)-MAX(AB18,0))+MAX(0,MIN(AC18,1)-MAX(AB18,AD18)))+AF18*(MAX(0,MIN(AC18,1+Parámetros!$B$11)-MAX(AB18,1))+MAX(0,MIN(AC18,2)-MAX(AB18,1+AD18)))</f>
        <v>0</v>
      </c>
    </row>
    <row r="19" spans="1:41" x14ac:dyDescent="0.25">
      <c r="A19" s="15"/>
      <c r="B19" s="8"/>
      <c r="C19" s="5" t="str">
        <f>IF(B19="","",IFERROR(INDEX(Trabajadores!$B$5:$B$204,MATCH(B19,Trabajadores!$A$5:$A$204,0)),"Cédula no registrada"))</f>
        <v/>
      </c>
      <c r="D19" s="11"/>
      <c r="E19" s="11"/>
      <c r="F19" s="8"/>
      <c r="G19" s="18" t="str">
        <f>IF(A19="","",IFERROR(INDEX(Trabajadores!$E$5:$E$204,MATCH(B19,Trabajadores!$A$5:$A$204,0))/Parámetros!$B$6,0)+IF(IFERROR(INDEX(Trabajadores!$E$5:$E$204,MATCH(B19,Trabajadores!$A$5:$A$204,0)),"")="",Parámetros!$B$7,0))</f>
        <v/>
      </c>
      <c r="H19" s="5" t="str">
        <f t="shared" si="0"/>
        <v/>
      </c>
      <c r="I19" s="5" t="str">
        <f>IF(A19="","",IF(COUNTIF(Festivos!$A$5:$A$451,A19)&gt;0,"Festivo",IF(WEEKDAY(A19,2)=7,"Domingo",IF(AND(AF19=1,AC19&gt;1),IF(COUNTIF(Festivos!$A$5:$A$451,A19+1)&gt;0,"Festivo","Domingo")&amp;" desde las 00:00",""))))</f>
        <v/>
      </c>
      <c r="J19" s="19" t="str">
        <f t="shared" si="1"/>
        <v/>
      </c>
      <c r="K19" s="19" t="str">
        <f t="shared" si="2"/>
        <v/>
      </c>
      <c r="L19" s="19" t="str">
        <f t="shared" si="3"/>
        <v/>
      </c>
      <c r="M19" s="19" t="str">
        <f t="shared" si="4"/>
        <v/>
      </c>
      <c r="N19" s="19" t="str">
        <f t="shared" si="5"/>
        <v/>
      </c>
      <c r="O19" s="19" t="str">
        <f t="shared" si="6"/>
        <v/>
      </c>
      <c r="P19" s="19" t="str">
        <f t="shared" si="7"/>
        <v/>
      </c>
      <c r="Q19" s="19" t="str">
        <f t="shared" si="8"/>
        <v/>
      </c>
      <c r="R19" s="19" t="str">
        <f t="shared" si="9"/>
        <v/>
      </c>
      <c r="S19" s="17" t="str">
        <f>IF(B19="","",IFERROR(INDEX(Trabajadores!$G$5:$G$204,MATCH(B19,Trabajadores!$A$5:$A$204,0)),""))</f>
        <v/>
      </c>
      <c r="T19" s="17" t="str">
        <f>IF(OR(OR(A19="",D19="",E19=""),S19=""),"",ROUND(S19*(N(L19)*Parámetros!$B$8+N(M19)*(1+Parámetros!$B$9)+N(N19)*(1+Parámetros!$B$10)+N(O19)*(1+AG19)+N(P19)*(1+AG19+Parámetros!$B$8)+N(Q19)*(1+AG19+Parámetros!$B$9)+N(R19)*(1+AG19+Parámetros!$B$10)),0))</f>
        <v/>
      </c>
      <c r="U19" s="5" t="str">
        <f>IF(OR(A19="",D19="",E19=""),"",IF(N(M19)+N(N19)+N(Q19)+N(R19)&gt;Parámetros!$B$12,"Supera el límite de horas extras diarias",IF(C19="Cédula no registrada","Registre la cédula en «Trabajadores»","")))</f>
        <v/>
      </c>
      <c r="X19" s="20">
        <f t="shared" si="10"/>
        <v>0</v>
      </c>
      <c r="Y19" s="20">
        <f t="shared" si="11"/>
        <v>0</v>
      </c>
      <c r="Z19" s="20">
        <f t="shared" si="12"/>
        <v>0</v>
      </c>
      <c r="AA19" s="20">
        <f t="shared" si="13"/>
        <v>0</v>
      </c>
      <c r="AB19" s="20">
        <f t="shared" si="14"/>
        <v>0</v>
      </c>
      <c r="AC19" s="20">
        <f t="shared" si="15"/>
        <v>0</v>
      </c>
      <c r="AD19" s="20">
        <f>IF(A19="",21/24,MOD(VLOOKUP(A19,Parámetros!$A$24:$B$25,2,TRUE()),1))</f>
        <v>0.875</v>
      </c>
      <c r="AE19" s="5">
        <f>IF(A19="",0,IF(OR(WEEKDAY(A19,2)=7,COUNTIF(Festivos!$A$5:$A$451,A19)&gt;0),1,0))</f>
        <v>0</v>
      </c>
      <c r="AF19" s="5">
        <f>IF(A19="",0,IF(OR(WEEKDAY(A19+1,2)=7,COUNTIF(Festivos!$A$5:$A$451,A19+1)&gt;0),1,0))</f>
        <v>0</v>
      </c>
      <c r="AG19" s="9">
        <f>IF(A19="",0,VLOOKUP(A19,Parámetros!$A$18:$B$21,2,TRUE()))</f>
        <v>0</v>
      </c>
      <c r="AH19" s="20">
        <f t="shared" si="16"/>
        <v>0</v>
      </c>
      <c r="AI19" s="20">
        <f>MAX(0,MIN(AB19,Parámetros!$B$11)-MAX(X19,0))+MAX(0,MIN(AB19,1+Parámetros!$B$11)-MAX(X19,AD19))+MAX(0,MIN(AB19,2)-MAX(X19,1+AD19))</f>
        <v>0</v>
      </c>
      <c r="AJ19" s="20">
        <f t="shared" si="17"/>
        <v>0</v>
      </c>
      <c r="AK19" s="20">
        <f>AE19*(MAX(0,MIN(AB19,Parámetros!$B$11)-MAX(X19,0))+MAX(0,MIN(AB19,1)-MAX(X19,AD19)))+AF19*(MAX(0,MIN(AB19,1+Parámetros!$B$11)-MAX(X19,1))+MAX(0,MIN(AB19,2)-MAX(X19,1+AD19)))</f>
        <v>0</v>
      </c>
      <c r="AL19" s="20">
        <f t="shared" si="18"/>
        <v>0</v>
      </c>
      <c r="AM19" s="20">
        <f>MAX(0,MIN(AC19,Parámetros!$B$11)-MAX(AB19,0))+MAX(0,MIN(AC19,1+Parámetros!$B$11)-MAX(AB19,AD19))+MAX(0,MIN(AC19,2)-MAX(AB19,1+AD19))</f>
        <v>0</v>
      </c>
      <c r="AN19" s="20">
        <f t="shared" si="19"/>
        <v>0</v>
      </c>
      <c r="AO19" s="20">
        <f>AE19*(MAX(0,MIN(AC19,Parámetros!$B$11)-MAX(AB19,0))+MAX(0,MIN(AC19,1)-MAX(AB19,AD19)))+AF19*(MAX(0,MIN(AC19,1+Parámetros!$B$11)-MAX(AB19,1))+MAX(0,MIN(AC19,2)-MAX(AB19,1+AD19)))</f>
        <v>0</v>
      </c>
    </row>
    <row r="20" spans="1:41" x14ac:dyDescent="0.25">
      <c r="A20" s="15"/>
      <c r="B20" s="8"/>
      <c r="C20" s="5" t="str">
        <f>IF(B20="","",IFERROR(INDEX(Trabajadores!$B$5:$B$204,MATCH(B20,Trabajadores!$A$5:$A$204,0)),"Cédula no registrada"))</f>
        <v/>
      </c>
      <c r="D20" s="11"/>
      <c r="E20" s="11"/>
      <c r="F20" s="8"/>
      <c r="G20" s="18" t="str">
        <f>IF(A20="","",IFERROR(INDEX(Trabajadores!$E$5:$E$204,MATCH(B20,Trabajadores!$A$5:$A$204,0))/Parámetros!$B$6,0)+IF(IFERROR(INDEX(Trabajadores!$E$5:$E$204,MATCH(B20,Trabajadores!$A$5:$A$204,0)),"")="",Parámetros!$B$7,0))</f>
        <v/>
      </c>
      <c r="H20" s="5" t="str">
        <f t="shared" si="0"/>
        <v/>
      </c>
      <c r="I20" s="5" t="str">
        <f>IF(A20="","",IF(COUNTIF(Festivos!$A$5:$A$451,A20)&gt;0,"Festivo",IF(WEEKDAY(A20,2)=7,"Domingo",IF(AND(AF20=1,AC20&gt;1),IF(COUNTIF(Festivos!$A$5:$A$451,A20+1)&gt;0,"Festivo","Domingo")&amp;" desde las 00:00",""))))</f>
        <v/>
      </c>
      <c r="J20" s="19" t="str">
        <f t="shared" si="1"/>
        <v/>
      </c>
      <c r="K20" s="19" t="str">
        <f t="shared" si="2"/>
        <v/>
      </c>
      <c r="L20" s="19" t="str">
        <f t="shared" si="3"/>
        <v/>
      </c>
      <c r="M20" s="19" t="str">
        <f t="shared" si="4"/>
        <v/>
      </c>
      <c r="N20" s="19" t="str">
        <f t="shared" si="5"/>
        <v/>
      </c>
      <c r="O20" s="19" t="str">
        <f t="shared" si="6"/>
        <v/>
      </c>
      <c r="P20" s="19" t="str">
        <f t="shared" si="7"/>
        <v/>
      </c>
      <c r="Q20" s="19" t="str">
        <f t="shared" si="8"/>
        <v/>
      </c>
      <c r="R20" s="19" t="str">
        <f t="shared" si="9"/>
        <v/>
      </c>
      <c r="S20" s="17" t="str">
        <f>IF(B20="","",IFERROR(INDEX(Trabajadores!$G$5:$G$204,MATCH(B20,Trabajadores!$A$5:$A$204,0)),""))</f>
        <v/>
      </c>
      <c r="T20" s="17" t="str">
        <f>IF(OR(OR(A20="",D20="",E20=""),S20=""),"",ROUND(S20*(N(L20)*Parámetros!$B$8+N(M20)*(1+Parámetros!$B$9)+N(N20)*(1+Parámetros!$B$10)+N(O20)*(1+AG20)+N(P20)*(1+AG20+Parámetros!$B$8)+N(Q20)*(1+AG20+Parámetros!$B$9)+N(R20)*(1+AG20+Parámetros!$B$10)),0))</f>
        <v/>
      </c>
      <c r="U20" s="5" t="str">
        <f>IF(OR(A20="",D20="",E20=""),"",IF(N(M20)+N(N20)+N(Q20)+N(R20)&gt;Parámetros!$B$12,"Supera el límite de horas extras diarias",IF(C20="Cédula no registrada","Registre la cédula en «Trabajadores»","")))</f>
        <v/>
      </c>
      <c r="X20" s="20">
        <f t="shared" si="10"/>
        <v>0</v>
      </c>
      <c r="Y20" s="20">
        <f t="shared" si="11"/>
        <v>0</v>
      </c>
      <c r="Z20" s="20">
        <f t="shared" si="12"/>
        <v>0</v>
      </c>
      <c r="AA20" s="20">
        <f t="shared" si="13"/>
        <v>0</v>
      </c>
      <c r="AB20" s="20">
        <f t="shared" si="14"/>
        <v>0</v>
      </c>
      <c r="AC20" s="20">
        <f t="shared" si="15"/>
        <v>0</v>
      </c>
      <c r="AD20" s="20">
        <f>IF(A20="",21/24,MOD(VLOOKUP(A20,Parámetros!$A$24:$B$25,2,TRUE()),1))</f>
        <v>0.875</v>
      </c>
      <c r="AE20" s="5">
        <f>IF(A20="",0,IF(OR(WEEKDAY(A20,2)=7,COUNTIF(Festivos!$A$5:$A$451,A20)&gt;0),1,0))</f>
        <v>0</v>
      </c>
      <c r="AF20" s="5">
        <f>IF(A20="",0,IF(OR(WEEKDAY(A20+1,2)=7,COUNTIF(Festivos!$A$5:$A$451,A20+1)&gt;0),1,0))</f>
        <v>0</v>
      </c>
      <c r="AG20" s="9">
        <f>IF(A20="",0,VLOOKUP(A20,Parámetros!$A$18:$B$21,2,TRUE()))</f>
        <v>0</v>
      </c>
      <c r="AH20" s="20">
        <f t="shared" si="16"/>
        <v>0</v>
      </c>
      <c r="AI20" s="20">
        <f>MAX(0,MIN(AB20,Parámetros!$B$11)-MAX(X20,0))+MAX(0,MIN(AB20,1+Parámetros!$B$11)-MAX(X20,AD20))+MAX(0,MIN(AB20,2)-MAX(X20,1+AD20))</f>
        <v>0</v>
      </c>
      <c r="AJ20" s="20">
        <f t="shared" si="17"/>
        <v>0</v>
      </c>
      <c r="AK20" s="20">
        <f>AE20*(MAX(0,MIN(AB20,Parámetros!$B$11)-MAX(X20,0))+MAX(0,MIN(AB20,1)-MAX(X20,AD20)))+AF20*(MAX(0,MIN(AB20,1+Parámetros!$B$11)-MAX(X20,1))+MAX(0,MIN(AB20,2)-MAX(X20,1+AD20)))</f>
        <v>0</v>
      </c>
      <c r="AL20" s="20">
        <f t="shared" si="18"/>
        <v>0</v>
      </c>
      <c r="AM20" s="20">
        <f>MAX(0,MIN(AC20,Parámetros!$B$11)-MAX(AB20,0))+MAX(0,MIN(AC20,1+Parámetros!$B$11)-MAX(AB20,AD20))+MAX(0,MIN(AC20,2)-MAX(AB20,1+AD20))</f>
        <v>0</v>
      </c>
      <c r="AN20" s="20">
        <f t="shared" si="19"/>
        <v>0</v>
      </c>
      <c r="AO20" s="20">
        <f>AE20*(MAX(0,MIN(AC20,Parámetros!$B$11)-MAX(AB20,0))+MAX(0,MIN(AC20,1)-MAX(AB20,AD20)))+AF20*(MAX(0,MIN(AC20,1+Parámetros!$B$11)-MAX(AB20,1))+MAX(0,MIN(AC20,2)-MAX(AB20,1+AD20)))</f>
        <v>0</v>
      </c>
    </row>
    <row r="21" spans="1:41" x14ac:dyDescent="0.25">
      <c r="A21" s="15"/>
      <c r="B21" s="8"/>
      <c r="C21" s="5" t="str">
        <f>IF(B21="","",IFERROR(INDEX(Trabajadores!$B$5:$B$204,MATCH(B21,Trabajadores!$A$5:$A$204,0)),"Cédula no registrada"))</f>
        <v/>
      </c>
      <c r="D21" s="11"/>
      <c r="E21" s="11"/>
      <c r="F21" s="8"/>
      <c r="G21" s="18" t="str">
        <f>IF(A21="","",IFERROR(INDEX(Trabajadores!$E$5:$E$204,MATCH(B21,Trabajadores!$A$5:$A$204,0))/Parámetros!$B$6,0)+IF(IFERROR(INDEX(Trabajadores!$E$5:$E$204,MATCH(B21,Trabajadores!$A$5:$A$204,0)),"")="",Parámetros!$B$7,0))</f>
        <v/>
      </c>
      <c r="H21" s="5" t="str">
        <f t="shared" si="0"/>
        <v/>
      </c>
      <c r="I21" s="5" t="str">
        <f>IF(A21="","",IF(COUNTIF(Festivos!$A$5:$A$451,A21)&gt;0,"Festivo",IF(WEEKDAY(A21,2)=7,"Domingo",IF(AND(AF21=1,AC21&gt;1),IF(COUNTIF(Festivos!$A$5:$A$451,A21+1)&gt;0,"Festivo","Domingo")&amp;" desde las 00:00",""))))</f>
        <v/>
      </c>
      <c r="J21" s="19" t="str">
        <f t="shared" si="1"/>
        <v/>
      </c>
      <c r="K21" s="19" t="str">
        <f t="shared" si="2"/>
        <v/>
      </c>
      <c r="L21" s="19" t="str">
        <f t="shared" si="3"/>
        <v/>
      </c>
      <c r="M21" s="19" t="str">
        <f t="shared" si="4"/>
        <v/>
      </c>
      <c r="N21" s="19" t="str">
        <f t="shared" si="5"/>
        <v/>
      </c>
      <c r="O21" s="19" t="str">
        <f t="shared" si="6"/>
        <v/>
      </c>
      <c r="P21" s="19" t="str">
        <f t="shared" si="7"/>
        <v/>
      </c>
      <c r="Q21" s="19" t="str">
        <f t="shared" si="8"/>
        <v/>
      </c>
      <c r="R21" s="19" t="str">
        <f t="shared" si="9"/>
        <v/>
      </c>
      <c r="S21" s="17" t="str">
        <f>IF(B21="","",IFERROR(INDEX(Trabajadores!$G$5:$G$204,MATCH(B21,Trabajadores!$A$5:$A$204,0)),""))</f>
        <v/>
      </c>
      <c r="T21" s="17" t="str">
        <f>IF(OR(OR(A21="",D21="",E21=""),S21=""),"",ROUND(S21*(N(L21)*Parámetros!$B$8+N(M21)*(1+Parámetros!$B$9)+N(N21)*(1+Parámetros!$B$10)+N(O21)*(1+AG21)+N(P21)*(1+AG21+Parámetros!$B$8)+N(Q21)*(1+AG21+Parámetros!$B$9)+N(R21)*(1+AG21+Parámetros!$B$10)),0))</f>
        <v/>
      </c>
      <c r="U21" s="5" t="str">
        <f>IF(OR(A21="",D21="",E21=""),"",IF(N(M21)+N(N21)+N(Q21)+N(R21)&gt;Parámetros!$B$12,"Supera el límite de horas extras diarias",IF(C21="Cédula no registrada","Registre la cédula en «Trabajadores»","")))</f>
        <v/>
      </c>
      <c r="X21" s="20">
        <f t="shared" si="10"/>
        <v>0</v>
      </c>
      <c r="Y21" s="20">
        <f t="shared" si="11"/>
        <v>0</v>
      </c>
      <c r="Z21" s="20">
        <f t="shared" si="12"/>
        <v>0</v>
      </c>
      <c r="AA21" s="20">
        <f t="shared" si="13"/>
        <v>0</v>
      </c>
      <c r="AB21" s="20">
        <f t="shared" si="14"/>
        <v>0</v>
      </c>
      <c r="AC21" s="20">
        <f t="shared" si="15"/>
        <v>0</v>
      </c>
      <c r="AD21" s="20">
        <f>IF(A21="",21/24,MOD(VLOOKUP(A21,Parámetros!$A$24:$B$25,2,TRUE()),1))</f>
        <v>0.875</v>
      </c>
      <c r="AE21" s="5">
        <f>IF(A21="",0,IF(OR(WEEKDAY(A21,2)=7,COUNTIF(Festivos!$A$5:$A$451,A21)&gt;0),1,0))</f>
        <v>0</v>
      </c>
      <c r="AF21" s="5">
        <f>IF(A21="",0,IF(OR(WEEKDAY(A21+1,2)=7,COUNTIF(Festivos!$A$5:$A$451,A21+1)&gt;0),1,0))</f>
        <v>0</v>
      </c>
      <c r="AG21" s="9">
        <f>IF(A21="",0,VLOOKUP(A21,Parámetros!$A$18:$B$21,2,TRUE()))</f>
        <v>0</v>
      </c>
      <c r="AH21" s="20">
        <f t="shared" si="16"/>
        <v>0</v>
      </c>
      <c r="AI21" s="20">
        <f>MAX(0,MIN(AB21,Parámetros!$B$11)-MAX(X21,0))+MAX(0,MIN(AB21,1+Parámetros!$B$11)-MAX(X21,AD21))+MAX(0,MIN(AB21,2)-MAX(X21,1+AD21))</f>
        <v>0</v>
      </c>
      <c r="AJ21" s="20">
        <f t="shared" si="17"/>
        <v>0</v>
      </c>
      <c r="AK21" s="20">
        <f>AE21*(MAX(0,MIN(AB21,Parámetros!$B$11)-MAX(X21,0))+MAX(0,MIN(AB21,1)-MAX(X21,AD21)))+AF21*(MAX(0,MIN(AB21,1+Parámetros!$B$11)-MAX(X21,1))+MAX(0,MIN(AB21,2)-MAX(X21,1+AD21)))</f>
        <v>0</v>
      </c>
      <c r="AL21" s="20">
        <f t="shared" si="18"/>
        <v>0</v>
      </c>
      <c r="AM21" s="20">
        <f>MAX(0,MIN(AC21,Parámetros!$B$11)-MAX(AB21,0))+MAX(0,MIN(AC21,1+Parámetros!$B$11)-MAX(AB21,AD21))+MAX(0,MIN(AC21,2)-MAX(AB21,1+AD21))</f>
        <v>0</v>
      </c>
      <c r="AN21" s="20">
        <f t="shared" si="19"/>
        <v>0</v>
      </c>
      <c r="AO21" s="20">
        <f>AE21*(MAX(0,MIN(AC21,Parámetros!$B$11)-MAX(AB21,0))+MAX(0,MIN(AC21,1)-MAX(AB21,AD21)))+AF21*(MAX(0,MIN(AC21,1+Parámetros!$B$11)-MAX(AB21,1))+MAX(0,MIN(AC21,2)-MAX(AB21,1+AD21)))</f>
        <v>0</v>
      </c>
    </row>
    <row r="22" spans="1:41" x14ac:dyDescent="0.25">
      <c r="A22" s="15"/>
      <c r="B22" s="8"/>
      <c r="C22" s="5" t="str">
        <f>IF(B22="","",IFERROR(INDEX(Trabajadores!$B$5:$B$204,MATCH(B22,Trabajadores!$A$5:$A$204,0)),"Cédula no registrada"))</f>
        <v/>
      </c>
      <c r="D22" s="11"/>
      <c r="E22" s="11"/>
      <c r="F22" s="8"/>
      <c r="G22" s="18" t="str">
        <f>IF(A22="","",IFERROR(INDEX(Trabajadores!$E$5:$E$204,MATCH(B22,Trabajadores!$A$5:$A$204,0))/Parámetros!$B$6,0)+IF(IFERROR(INDEX(Trabajadores!$E$5:$E$204,MATCH(B22,Trabajadores!$A$5:$A$204,0)),"")="",Parámetros!$B$7,0))</f>
        <v/>
      </c>
      <c r="H22" s="5" t="str">
        <f t="shared" si="0"/>
        <v/>
      </c>
      <c r="I22" s="5" t="str">
        <f>IF(A22="","",IF(COUNTIF(Festivos!$A$5:$A$451,A22)&gt;0,"Festivo",IF(WEEKDAY(A22,2)=7,"Domingo",IF(AND(AF22=1,AC22&gt;1),IF(COUNTIF(Festivos!$A$5:$A$451,A22+1)&gt;0,"Festivo","Domingo")&amp;" desde las 00:00",""))))</f>
        <v/>
      </c>
      <c r="J22" s="19" t="str">
        <f t="shared" si="1"/>
        <v/>
      </c>
      <c r="K22" s="19" t="str">
        <f t="shared" si="2"/>
        <v/>
      </c>
      <c r="L22" s="19" t="str">
        <f t="shared" si="3"/>
        <v/>
      </c>
      <c r="M22" s="19" t="str">
        <f t="shared" si="4"/>
        <v/>
      </c>
      <c r="N22" s="19" t="str">
        <f t="shared" si="5"/>
        <v/>
      </c>
      <c r="O22" s="19" t="str">
        <f t="shared" si="6"/>
        <v/>
      </c>
      <c r="P22" s="19" t="str">
        <f t="shared" si="7"/>
        <v/>
      </c>
      <c r="Q22" s="19" t="str">
        <f t="shared" si="8"/>
        <v/>
      </c>
      <c r="R22" s="19" t="str">
        <f t="shared" si="9"/>
        <v/>
      </c>
      <c r="S22" s="17" t="str">
        <f>IF(B22="","",IFERROR(INDEX(Trabajadores!$G$5:$G$204,MATCH(B22,Trabajadores!$A$5:$A$204,0)),""))</f>
        <v/>
      </c>
      <c r="T22" s="17" t="str">
        <f>IF(OR(OR(A22="",D22="",E22=""),S22=""),"",ROUND(S22*(N(L22)*Parámetros!$B$8+N(M22)*(1+Parámetros!$B$9)+N(N22)*(1+Parámetros!$B$10)+N(O22)*(1+AG22)+N(P22)*(1+AG22+Parámetros!$B$8)+N(Q22)*(1+AG22+Parámetros!$B$9)+N(R22)*(1+AG22+Parámetros!$B$10)),0))</f>
        <v/>
      </c>
      <c r="U22" s="5" t="str">
        <f>IF(OR(A22="",D22="",E22=""),"",IF(N(M22)+N(N22)+N(Q22)+N(R22)&gt;Parámetros!$B$12,"Supera el límite de horas extras diarias",IF(C22="Cédula no registrada","Registre la cédula en «Trabajadores»","")))</f>
        <v/>
      </c>
      <c r="X22" s="20">
        <f t="shared" si="10"/>
        <v>0</v>
      </c>
      <c r="Y22" s="20">
        <f t="shared" si="11"/>
        <v>0</v>
      </c>
      <c r="Z22" s="20">
        <f t="shared" si="12"/>
        <v>0</v>
      </c>
      <c r="AA22" s="20">
        <f t="shared" si="13"/>
        <v>0</v>
      </c>
      <c r="AB22" s="20">
        <f t="shared" si="14"/>
        <v>0</v>
      </c>
      <c r="AC22" s="20">
        <f t="shared" si="15"/>
        <v>0</v>
      </c>
      <c r="AD22" s="20">
        <f>IF(A22="",21/24,MOD(VLOOKUP(A22,Parámetros!$A$24:$B$25,2,TRUE()),1))</f>
        <v>0.875</v>
      </c>
      <c r="AE22" s="5">
        <f>IF(A22="",0,IF(OR(WEEKDAY(A22,2)=7,COUNTIF(Festivos!$A$5:$A$451,A22)&gt;0),1,0))</f>
        <v>0</v>
      </c>
      <c r="AF22" s="5">
        <f>IF(A22="",0,IF(OR(WEEKDAY(A22+1,2)=7,COUNTIF(Festivos!$A$5:$A$451,A22+1)&gt;0),1,0))</f>
        <v>0</v>
      </c>
      <c r="AG22" s="9">
        <f>IF(A22="",0,VLOOKUP(A22,Parámetros!$A$18:$B$21,2,TRUE()))</f>
        <v>0</v>
      </c>
      <c r="AH22" s="20">
        <f t="shared" si="16"/>
        <v>0</v>
      </c>
      <c r="AI22" s="20">
        <f>MAX(0,MIN(AB22,Parámetros!$B$11)-MAX(X22,0))+MAX(0,MIN(AB22,1+Parámetros!$B$11)-MAX(X22,AD22))+MAX(0,MIN(AB22,2)-MAX(X22,1+AD22))</f>
        <v>0</v>
      </c>
      <c r="AJ22" s="20">
        <f t="shared" si="17"/>
        <v>0</v>
      </c>
      <c r="AK22" s="20">
        <f>AE22*(MAX(0,MIN(AB22,Parámetros!$B$11)-MAX(X22,0))+MAX(0,MIN(AB22,1)-MAX(X22,AD22)))+AF22*(MAX(0,MIN(AB22,1+Parámetros!$B$11)-MAX(X22,1))+MAX(0,MIN(AB22,2)-MAX(X22,1+AD22)))</f>
        <v>0</v>
      </c>
      <c r="AL22" s="20">
        <f t="shared" si="18"/>
        <v>0</v>
      </c>
      <c r="AM22" s="20">
        <f>MAX(0,MIN(AC22,Parámetros!$B$11)-MAX(AB22,0))+MAX(0,MIN(AC22,1+Parámetros!$B$11)-MAX(AB22,AD22))+MAX(0,MIN(AC22,2)-MAX(AB22,1+AD22))</f>
        <v>0</v>
      </c>
      <c r="AN22" s="20">
        <f t="shared" si="19"/>
        <v>0</v>
      </c>
      <c r="AO22" s="20">
        <f>AE22*(MAX(0,MIN(AC22,Parámetros!$B$11)-MAX(AB22,0))+MAX(0,MIN(AC22,1)-MAX(AB22,AD22)))+AF22*(MAX(0,MIN(AC22,1+Parámetros!$B$11)-MAX(AB22,1))+MAX(0,MIN(AC22,2)-MAX(AB22,1+AD22)))</f>
        <v>0</v>
      </c>
    </row>
    <row r="23" spans="1:41" x14ac:dyDescent="0.25">
      <c r="A23" s="15"/>
      <c r="B23" s="8"/>
      <c r="C23" s="5" t="str">
        <f>IF(B23="","",IFERROR(INDEX(Trabajadores!$B$5:$B$204,MATCH(B23,Trabajadores!$A$5:$A$204,0)),"Cédula no registrada"))</f>
        <v/>
      </c>
      <c r="D23" s="11"/>
      <c r="E23" s="11"/>
      <c r="F23" s="8"/>
      <c r="G23" s="18" t="str">
        <f>IF(A23="","",IFERROR(INDEX(Trabajadores!$E$5:$E$204,MATCH(B23,Trabajadores!$A$5:$A$204,0))/Parámetros!$B$6,0)+IF(IFERROR(INDEX(Trabajadores!$E$5:$E$204,MATCH(B23,Trabajadores!$A$5:$A$204,0)),"")="",Parámetros!$B$7,0))</f>
        <v/>
      </c>
      <c r="H23" s="5" t="str">
        <f t="shared" si="0"/>
        <v/>
      </c>
      <c r="I23" s="5" t="str">
        <f>IF(A23="","",IF(COUNTIF(Festivos!$A$5:$A$451,A23)&gt;0,"Festivo",IF(WEEKDAY(A23,2)=7,"Domingo",IF(AND(AF23=1,AC23&gt;1),IF(COUNTIF(Festivos!$A$5:$A$451,A23+1)&gt;0,"Festivo","Domingo")&amp;" desde las 00:00",""))))</f>
        <v/>
      </c>
      <c r="J23" s="19" t="str">
        <f t="shared" si="1"/>
        <v/>
      </c>
      <c r="K23" s="19" t="str">
        <f t="shared" si="2"/>
        <v/>
      </c>
      <c r="L23" s="19" t="str">
        <f t="shared" si="3"/>
        <v/>
      </c>
      <c r="M23" s="19" t="str">
        <f t="shared" si="4"/>
        <v/>
      </c>
      <c r="N23" s="19" t="str">
        <f t="shared" si="5"/>
        <v/>
      </c>
      <c r="O23" s="19" t="str">
        <f t="shared" si="6"/>
        <v/>
      </c>
      <c r="P23" s="19" t="str">
        <f t="shared" si="7"/>
        <v/>
      </c>
      <c r="Q23" s="19" t="str">
        <f t="shared" si="8"/>
        <v/>
      </c>
      <c r="R23" s="19" t="str">
        <f t="shared" si="9"/>
        <v/>
      </c>
      <c r="S23" s="17" t="str">
        <f>IF(B23="","",IFERROR(INDEX(Trabajadores!$G$5:$G$204,MATCH(B23,Trabajadores!$A$5:$A$204,0)),""))</f>
        <v/>
      </c>
      <c r="T23" s="17" t="str">
        <f>IF(OR(OR(A23="",D23="",E23=""),S23=""),"",ROUND(S23*(N(L23)*Parámetros!$B$8+N(M23)*(1+Parámetros!$B$9)+N(N23)*(1+Parámetros!$B$10)+N(O23)*(1+AG23)+N(P23)*(1+AG23+Parámetros!$B$8)+N(Q23)*(1+AG23+Parámetros!$B$9)+N(R23)*(1+AG23+Parámetros!$B$10)),0))</f>
        <v/>
      </c>
      <c r="U23" s="5" t="str">
        <f>IF(OR(A23="",D23="",E23=""),"",IF(N(M23)+N(N23)+N(Q23)+N(R23)&gt;Parámetros!$B$12,"Supera el límite de horas extras diarias",IF(C23="Cédula no registrada","Registre la cédula en «Trabajadores»","")))</f>
        <v/>
      </c>
      <c r="X23" s="20">
        <f t="shared" si="10"/>
        <v>0</v>
      </c>
      <c r="Y23" s="20">
        <f t="shared" si="11"/>
        <v>0</v>
      </c>
      <c r="Z23" s="20">
        <f t="shared" si="12"/>
        <v>0</v>
      </c>
      <c r="AA23" s="20">
        <f t="shared" si="13"/>
        <v>0</v>
      </c>
      <c r="AB23" s="20">
        <f t="shared" si="14"/>
        <v>0</v>
      </c>
      <c r="AC23" s="20">
        <f t="shared" si="15"/>
        <v>0</v>
      </c>
      <c r="AD23" s="20">
        <f>IF(A23="",21/24,MOD(VLOOKUP(A23,Parámetros!$A$24:$B$25,2,TRUE()),1))</f>
        <v>0.875</v>
      </c>
      <c r="AE23" s="5">
        <f>IF(A23="",0,IF(OR(WEEKDAY(A23,2)=7,COUNTIF(Festivos!$A$5:$A$451,A23)&gt;0),1,0))</f>
        <v>0</v>
      </c>
      <c r="AF23" s="5">
        <f>IF(A23="",0,IF(OR(WEEKDAY(A23+1,2)=7,COUNTIF(Festivos!$A$5:$A$451,A23+1)&gt;0),1,0))</f>
        <v>0</v>
      </c>
      <c r="AG23" s="9">
        <f>IF(A23="",0,VLOOKUP(A23,Parámetros!$A$18:$B$21,2,TRUE()))</f>
        <v>0</v>
      </c>
      <c r="AH23" s="20">
        <f t="shared" si="16"/>
        <v>0</v>
      </c>
      <c r="AI23" s="20">
        <f>MAX(0,MIN(AB23,Parámetros!$B$11)-MAX(X23,0))+MAX(0,MIN(AB23,1+Parámetros!$B$11)-MAX(X23,AD23))+MAX(0,MIN(AB23,2)-MAX(X23,1+AD23))</f>
        <v>0</v>
      </c>
      <c r="AJ23" s="20">
        <f t="shared" si="17"/>
        <v>0</v>
      </c>
      <c r="AK23" s="20">
        <f>AE23*(MAX(0,MIN(AB23,Parámetros!$B$11)-MAX(X23,0))+MAX(0,MIN(AB23,1)-MAX(X23,AD23)))+AF23*(MAX(0,MIN(AB23,1+Parámetros!$B$11)-MAX(X23,1))+MAX(0,MIN(AB23,2)-MAX(X23,1+AD23)))</f>
        <v>0</v>
      </c>
      <c r="AL23" s="20">
        <f t="shared" si="18"/>
        <v>0</v>
      </c>
      <c r="AM23" s="20">
        <f>MAX(0,MIN(AC23,Parámetros!$B$11)-MAX(AB23,0))+MAX(0,MIN(AC23,1+Parámetros!$B$11)-MAX(AB23,AD23))+MAX(0,MIN(AC23,2)-MAX(AB23,1+AD23))</f>
        <v>0</v>
      </c>
      <c r="AN23" s="20">
        <f t="shared" si="19"/>
        <v>0</v>
      </c>
      <c r="AO23" s="20">
        <f>AE23*(MAX(0,MIN(AC23,Parámetros!$B$11)-MAX(AB23,0))+MAX(0,MIN(AC23,1)-MAX(AB23,AD23)))+AF23*(MAX(0,MIN(AC23,1+Parámetros!$B$11)-MAX(AB23,1))+MAX(0,MIN(AC23,2)-MAX(AB23,1+AD23)))</f>
        <v>0</v>
      </c>
    </row>
    <row r="24" spans="1:41" x14ac:dyDescent="0.25">
      <c r="A24" s="15"/>
      <c r="B24" s="8"/>
      <c r="C24" s="5" t="str">
        <f>IF(B24="","",IFERROR(INDEX(Trabajadores!$B$5:$B$204,MATCH(B24,Trabajadores!$A$5:$A$204,0)),"Cédula no registrada"))</f>
        <v/>
      </c>
      <c r="D24" s="11"/>
      <c r="E24" s="11"/>
      <c r="F24" s="8"/>
      <c r="G24" s="18" t="str">
        <f>IF(A24="","",IFERROR(INDEX(Trabajadores!$E$5:$E$204,MATCH(B24,Trabajadores!$A$5:$A$204,0))/Parámetros!$B$6,0)+IF(IFERROR(INDEX(Trabajadores!$E$5:$E$204,MATCH(B24,Trabajadores!$A$5:$A$204,0)),"")="",Parámetros!$B$7,0))</f>
        <v/>
      </c>
      <c r="H24" s="5" t="str">
        <f t="shared" si="0"/>
        <v/>
      </c>
      <c r="I24" s="5" t="str">
        <f>IF(A24="","",IF(COUNTIF(Festivos!$A$5:$A$451,A24)&gt;0,"Festivo",IF(WEEKDAY(A24,2)=7,"Domingo",IF(AND(AF24=1,AC24&gt;1),IF(COUNTIF(Festivos!$A$5:$A$451,A24+1)&gt;0,"Festivo","Domingo")&amp;" desde las 00:00",""))))</f>
        <v/>
      </c>
      <c r="J24" s="19" t="str">
        <f t="shared" si="1"/>
        <v/>
      </c>
      <c r="K24" s="19" t="str">
        <f t="shared" si="2"/>
        <v/>
      </c>
      <c r="L24" s="19" t="str">
        <f t="shared" si="3"/>
        <v/>
      </c>
      <c r="M24" s="19" t="str">
        <f t="shared" si="4"/>
        <v/>
      </c>
      <c r="N24" s="19" t="str">
        <f t="shared" si="5"/>
        <v/>
      </c>
      <c r="O24" s="19" t="str">
        <f t="shared" si="6"/>
        <v/>
      </c>
      <c r="P24" s="19" t="str">
        <f t="shared" si="7"/>
        <v/>
      </c>
      <c r="Q24" s="19" t="str">
        <f t="shared" si="8"/>
        <v/>
      </c>
      <c r="R24" s="19" t="str">
        <f t="shared" si="9"/>
        <v/>
      </c>
      <c r="S24" s="17" t="str">
        <f>IF(B24="","",IFERROR(INDEX(Trabajadores!$G$5:$G$204,MATCH(B24,Trabajadores!$A$5:$A$204,0)),""))</f>
        <v/>
      </c>
      <c r="T24" s="17" t="str">
        <f>IF(OR(OR(A24="",D24="",E24=""),S24=""),"",ROUND(S24*(N(L24)*Parámetros!$B$8+N(M24)*(1+Parámetros!$B$9)+N(N24)*(1+Parámetros!$B$10)+N(O24)*(1+AG24)+N(P24)*(1+AG24+Parámetros!$B$8)+N(Q24)*(1+AG24+Parámetros!$B$9)+N(R24)*(1+AG24+Parámetros!$B$10)),0))</f>
        <v/>
      </c>
      <c r="U24" s="5" t="str">
        <f>IF(OR(A24="",D24="",E24=""),"",IF(N(M24)+N(N24)+N(Q24)+N(R24)&gt;Parámetros!$B$12,"Supera el límite de horas extras diarias",IF(C24="Cédula no registrada","Registre la cédula en «Trabajadores»","")))</f>
        <v/>
      </c>
      <c r="X24" s="20">
        <f t="shared" si="10"/>
        <v>0</v>
      </c>
      <c r="Y24" s="20">
        <f t="shared" si="11"/>
        <v>0</v>
      </c>
      <c r="Z24" s="20">
        <f t="shared" si="12"/>
        <v>0</v>
      </c>
      <c r="AA24" s="20">
        <f t="shared" si="13"/>
        <v>0</v>
      </c>
      <c r="AB24" s="20">
        <f t="shared" si="14"/>
        <v>0</v>
      </c>
      <c r="AC24" s="20">
        <f t="shared" si="15"/>
        <v>0</v>
      </c>
      <c r="AD24" s="20">
        <f>IF(A24="",21/24,MOD(VLOOKUP(A24,Parámetros!$A$24:$B$25,2,TRUE()),1))</f>
        <v>0.875</v>
      </c>
      <c r="AE24" s="5">
        <f>IF(A24="",0,IF(OR(WEEKDAY(A24,2)=7,COUNTIF(Festivos!$A$5:$A$451,A24)&gt;0),1,0))</f>
        <v>0</v>
      </c>
      <c r="AF24" s="5">
        <f>IF(A24="",0,IF(OR(WEEKDAY(A24+1,2)=7,COUNTIF(Festivos!$A$5:$A$451,A24+1)&gt;0),1,0))</f>
        <v>0</v>
      </c>
      <c r="AG24" s="9">
        <f>IF(A24="",0,VLOOKUP(A24,Parámetros!$A$18:$B$21,2,TRUE()))</f>
        <v>0</v>
      </c>
      <c r="AH24" s="20">
        <f t="shared" si="16"/>
        <v>0</v>
      </c>
      <c r="AI24" s="20">
        <f>MAX(0,MIN(AB24,Parámetros!$B$11)-MAX(X24,0))+MAX(0,MIN(AB24,1+Parámetros!$B$11)-MAX(X24,AD24))+MAX(0,MIN(AB24,2)-MAX(X24,1+AD24))</f>
        <v>0</v>
      </c>
      <c r="AJ24" s="20">
        <f t="shared" si="17"/>
        <v>0</v>
      </c>
      <c r="AK24" s="20">
        <f>AE24*(MAX(0,MIN(AB24,Parámetros!$B$11)-MAX(X24,0))+MAX(0,MIN(AB24,1)-MAX(X24,AD24)))+AF24*(MAX(0,MIN(AB24,1+Parámetros!$B$11)-MAX(X24,1))+MAX(0,MIN(AB24,2)-MAX(X24,1+AD24)))</f>
        <v>0</v>
      </c>
      <c r="AL24" s="20">
        <f t="shared" si="18"/>
        <v>0</v>
      </c>
      <c r="AM24" s="20">
        <f>MAX(0,MIN(AC24,Parámetros!$B$11)-MAX(AB24,0))+MAX(0,MIN(AC24,1+Parámetros!$B$11)-MAX(AB24,AD24))+MAX(0,MIN(AC24,2)-MAX(AB24,1+AD24))</f>
        <v>0</v>
      </c>
      <c r="AN24" s="20">
        <f t="shared" si="19"/>
        <v>0</v>
      </c>
      <c r="AO24" s="20">
        <f>AE24*(MAX(0,MIN(AC24,Parámetros!$B$11)-MAX(AB24,0))+MAX(0,MIN(AC24,1)-MAX(AB24,AD24)))+AF24*(MAX(0,MIN(AC24,1+Parámetros!$B$11)-MAX(AB24,1))+MAX(0,MIN(AC24,2)-MAX(AB24,1+AD24)))</f>
        <v>0</v>
      </c>
    </row>
    <row r="25" spans="1:41" x14ac:dyDescent="0.25">
      <c r="A25" s="15"/>
      <c r="B25" s="8"/>
      <c r="C25" s="5" t="str">
        <f>IF(B25="","",IFERROR(INDEX(Trabajadores!$B$5:$B$204,MATCH(B25,Trabajadores!$A$5:$A$204,0)),"Cédula no registrada"))</f>
        <v/>
      </c>
      <c r="D25" s="11"/>
      <c r="E25" s="11"/>
      <c r="F25" s="8"/>
      <c r="G25" s="18" t="str">
        <f>IF(A25="","",IFERROR(INDEX(Trabajadores!$E$5:$E$204,MATCH(B25,Trabajadores!$A$5:$A$204,0))/Parámetros!$B$6,0)+IF(IFERROR(INDEX(Trabajadores!$E$5:$E$204,MATCH(B25,Trabajadores!$A$5:$A$204,0)),"")="",Parámetros!$B$7,0))</f>
        <v/>
      </c>
      <c r="H25" s="5" t="str">
        <f t="shared" si="0"/>
        <v/>
      </c>
      <c r="I25" s="5" t="str">
        <f>IF(A25="","",IF(COUNTIF(Festivos!$A$5:$A$451,A25)&gt;0,"Festivo",IF(WEEKDAY(A25,2)=7,"Domingo",IF(AND(AF25=1,AC25&gt;1),IF(COUNTIF(Festivos!$A$5:$A$451,A25+1)&gt;0,"Festivo","Domingo")&amp;" desde las 00:00",""))))</f>
        <v/>
      </c>
      <c r="J25" s="19" t="str">
        <f t="shared" si="1"/>
        <v/>
      </c>
      <c r="K25" s="19" t="str">
        <f t="shared" si="2"/>
        <v/>
      </c>
      <c r="L25" s="19" t="str">
        <f t="shared" si="3"/>
        <v/>
      </c>
      <c r="M25" s="19" t="str">
        <f t="shared" si="4"/>
        <v/>
      </c>
      <c r="N25" s="19" t="str">
        <f t="shared" si="5"/>
        <v/>
      </c>
      <c r="O25" s="19" t="str">
        <f t="shared" si="6"/>
        <v/>
      </c>
      <c r="P25" s="19" t="str">
        <f t="shared" si="7"/>
        <v/>
      </c>
      <c r="Q25" s="19" t="str">
        <f t="shared" si="8"/>
        <v/>
      </c>
      <c r="R25" s="19" t="str">
        <f t="shared" si="9"/>
        <v/>
      </c>
      <c r="S25" s="17" t="str">
        <f>IF(B25="","",IFERROR(INDEX(Trabajadores!$G$5:$G$204,MATCH(B25,Trabajadores!$A$5:$A$204,0)),""))</f>
        <v/>
      </c>
      <c r="T25" s="17" t="str">
        <f>IF(OR(OR(A25="",D25="",E25=""),S25=""),"",ROUND(S25*(N(L25)*Parámetros!$B$8+N(M25)*(1+Parámetros!$B$9)+N(N25)*(1+Parámetros!$B$10)+N(O25)*(1+AG25)+N(P25)*(1+AG25+Parámetros!$B$8)+N(Q25)*(1+AG25+Parámetros!$B$9)+N(R25)*(1+AG25+Parámetros!$B$10)),0))</f>
        <v/>
      </c>
      <c r="U25" s="5" t="str">
        <f>IF(OR(A25="",D25="",E25=""),"",IF(N(M25)+N(N25)+N(Q25)+N(R25)&gt;Parámetros!$B$12,"Supera el límite de horas extras diarias",IF(C25="Cédula no registrada","Registre la cédula en «Trabajadores»","")))</f>
        <v/>
      </c>
      <c r="X25" s="20">
        <f t="shared" si="10"/>
        <v>0</v>
      </c>
      <c r="Y25" s="20">
        <f t="shared" si="11"/>
        <v>0</v>
      </c>
      <c r="Z25" s="20">
        <f t="shared" si="12"/>
        <v>0</v>
      </c>
      <c r="AA25" s="20">
        <f t="shared" si="13"/>
        <v>0</v>
      </c>
      <c r="AB25" s="20">
        <f t="shared" si="14"/>
        <v>0</v>
      </c>
      <c r="AC25" s="20">
        <f t="shared" si="15"/>
        <v>0</v>
      </c>
      <c r="AD25" s="20">
        <f>IF(A25="",21/24,MOD(VLOOKUP(A25,Parámetros!$A$24:$B$25,2,TRUE()),1))</f>
        <v>0.875</v>
      </c>
      <c r="AE25" s="5">
        <f>IF(A25="",0,IF(OR(WEEKDAY(A25,2)=7,COUNTIF(Festivos!$A$5:$A$451,A25)&gt;0),1,0))</f>
        <v>0</v>
      </c>
      <c r="AF25" s="5">
        <f>IF(A25="",0,IF(OR(WEEKDAY(A25+1,2)=7,COUNTIF(Festivos!$A$5:$A$451,A25+1)&gt;0),1,0))</f>
        <v>0</v>
      </c>
      <c r="AG25" s="9">
        <f>IF(A25="",0,VLOOKUP(A25,Parámetros!$A$18:$B$21,2,TRUE()))</f>
        <v>0</v>
      </c>
      <c r="AH25" s="20">
        <f t="shared" si="16"/>
        <v>0</v>
      </c>
      <c r="AI25" s="20">
        <f>MAX(0,MIN(AB25,Parámetros!$B$11)-MAX(X25,0))+MAX(0,MIN(AB25,1+Parámetros!$B$11)-MAX(X25,AD25))+MAX(0,MIN(AB25,2)-MAX(X25,1+AD25))</f>
        <v>0</v>
      </c>
      <c r="AJ25" s="20">
        <f t="shared" si="17"/>
        <v>0</v>
      </c>
      <c r="AK25" s="20">
        <f>AE25*(MAX(0,MIN(AB25,Parámetros!$B$11)-MAX(X25,0))+MAX(0,MIN(AB25,1)-MAX(X25,AD25)))+AF25*(MAX(0,MIN(AB25,1+Parámetros!$B$11)-MAX(X25,1))+MAX(0,MIN(AB25,2)-MAX(X25,1+AD25)))</f>
        <v>0</v>
      </c>
      <c r="AL25" s="20">
        <f t="shared" si="18"/>
        <v>0</v>
      </c>
      <c r="AM25" s="20">
        <f>MAX(0,MIN(AC25,Parámetros!$B$11)-MAX(AB25,0))+MAX(0,MIN(AC25,1+Parámetros!$B$11)-MAX(AB25,AD25))+MAX(0,MIN(AC25,2)-MAX(AB25,1+AD25))</f>
        <v>0</v>
      </c>
      <c r="AN25" s="20">
        <f t="shared" si="19"/>
        <v>0</v>
      </c>
      <c r="AO25" s="20">
        <f>AE25*(MAX(0,MIN(AC25,Parámetros!$B$11)-MAX(AB25,0))+MAX(0,MIN(AC25,1)-MAX(AB25,AD25)))+AF25*(MAX(0,MIN(AC25,1+Parámetros!$B$11)-MAX(AB25,1))+MAX(0,MIN(AC25,2)-MAX(AB25,1+AD25)))</f>
        <v>0</v>
      </c>
    </row>
    <row r="26" spans="1:41" x14ac:dyDescent="0.25">
      <c r="A26" s="15"/>
      <c r="B26" s="8"/>
      <c r="C26" s="5" t="str">
        <f>IF(B26="","",IFERROR(INDEX(Trabajadores!$B$5:$B$204,MATCH(B26,Trabajadores!$A$5:$A$204,0)),"Cédula no registrada"))</f>
        <v/>
      </c>
      <c r="D26" s="11"/>
      <c r="E26" s="11"/>
      <c r="F26" s="8"/>
      <c r="G26" s="18" t="str">
        <f>IF(A26="","",IFERROR(INDEX(Trabajadores!$E$5:$E$204,MATCH(B26,Trabajadores!$A$5:$A$204,0))/Parámetros!$B$6,0)+IF(IFERROR(INDEX(Trabajadores!$E$5:$E$204,MATCH(B26,Trabajadores!$A$5:$A$204,0)),"")="",Parámetros!$B$7,0))</f>
        <v/>
      </c>
      <c r="H26" s="5" t="str">
        <f t="shared" si="0"/>
        <v/>
      </c>
      <c r="I26" s="5" t="str">
        <f>IF(A26="","",IF(COUNTIF(Festivos!$A$5:$A$451,A26)&gt;0,"Festivo",IF(WEEKDAY(A26,2)=7,"Domingo",IF(AND(AF26=1,AC26&gt;1),IF(COUNTIF(Festivos!$A$5:$A$451,A26+1)&gt;0,"Festivo","Domingo")&amp;" desde las 00:00",""))))</f>
        <v/>
      </c>
      <c r="J26" s="19" t="str">
        <f t="shared" si="1"/>
        <v/>
      </c>
      <c r="K26" s="19" t="str">
        <f t="shared" si="2"/>
        <v/>
      </c>
      <c r="L26" s="19" t="str">
        <f t="shared" si="3"/>
        <v/>
      </c>
      <c r="M26" s="19" t="str">
        <f t="shared" si="4"/>
        <v/>
      </c>
      <c r="N26" s="19" t="str">
        <f t="shared" si="5"/>
        <v/>
      </c>
      <c r="O26" s="19" t="str">
        <f t="shared" si="6"/>
        <v/>
      </c>
      <c r="P26" s="19" t="str">
        <f t="shared" si="7"/>
        <v/>
      </c>
      <c r="Q26" s="19" t="str">
        <f t="shared" si="8"/>
        <v/>
      </c>
      <c r="R26" s="19" t="str">
        <f t="shared" si="9"/>
        <v/>
      </c>
      <c r="S26" s="17" t="str">
        <f>IF(B26="","",IFERROR(INDEX(Trabajadores!$G$5:$G$204,MATCH(B26,Trabajadores!$A$5:$A$204,0)),""))</f>
        <v/>
      </c>
      <c r="T26" s="17" t="str">
        <f>IF(OR(OR(A26="",D26="",E26=""),S26=""),"",ROUND(S26*(N(L26)*Parámetros!$B$8+N(M26)*(1+Parámetros!$B$9)+N(N26)*(1+Parámetros!$B$10)+N(O26)*(1+AG26)+N(P26)*(1+AG26+Parámetros!$B$8)+N(Q26)*(1+AG26+Parámetros!$B$9)+N(R26)*(1+AG26+Parámetros!$B$10)),0))</f>
        <v/>
      </c>
      <c r="U26" s="5" t="str">
        <f>IF(OR(A26="",D26="",E26=""),"",IF(N(M26)+N(N26)+N(Q26)+N(R26)&gt;Parámetros!$B$12,"Supera el límite de horas extras diarias",IF(C26="Cédula no registrada","Registre la cédula en «Trabajadores»","")))</f>
        <v/>
      </c>
      <c r="X26" s="20">
        <f t="shared" si="10"/>
        <v>0</v>
      </c>
      <c r="Y26" s="20">
        <f t="shared" si="11"/>
        <v>0</v>
      </c>
      <c r="Z26" s="20">
        <f t="shared" si="12"/>
        <v>0</v>
      </c>
      <c r="AA26" s="20">
        <f t="shared" si="13"/>
        <v>0</v>
      </c>
      <c r="AB26" s="20">
        <f t="shared" si="14"/>
        <v>0</v>
      </c>
      <c r="AC26" s="20">
        <f t="shared" si="15"/>
        <v>0</v>
      </c>
      <c r="AD26" s="20">
        <f>IF(A26="",21/24,MOD(VLOOKUP(A26,Parámetros!$A$24:$B$25,2,TRUE()),1))</f>
        <v>0.875</v>
      </c>
      <c r="AE26" s="5">
        <f>IF(A26="",0,IF(OR(WEEKDAY(A26,2)=7,COUNTIF(Festivos!$A$5:$A$451,A26)&gt;0),1,0))</f>
        <v>0</v>
      </c>
      <c r="AF26" s="5">
        <f>IF(A26="",0,IF(OR(WEEKDAY(A26+1,2)=7,COUNTIF(Festivos!$A$5:$A$451,A26+1)&gt;0),1,0))</f>
        <v>0</v>
      </c>
      <c r="AG26" s="9">
        <f>IF(A26="",0,VLOOKUP(A26,Parámetros!$A$18:$B$21,2,TRUE()))</f>
        <v>0</v>
      </c>
      <c r="AH26" s="20">
        <f t="shared" si="16"/>
        <v>0</v>
      </c>
      <c r="AI26" s="20">
        <f>MAX(0,MIN(AB26,Parámetros!$B$11)-MAX(X26,0))+MAX(0,MIN(AB26,1+Parámetros!$B$11)-MAX(X26,AD26))+MAX(0,MIN(AB26,2)-MAX(X26,1+AD26))</f>
        <v>0</v>
      </c>
      <c r="AJ26" s="20">
        <f t="shared" si="17"/>
        <v>0</v>
      </c>
      <c r="AK26" s="20">
        <f>AE26*(MAX(0,MIN(AB26,Parámetros!$B$11)-MAX(X26,0))+MAX(0,MIN(AB26,1)-MAX(X26,AD26)))+AF26*(MAX(0,MIN(AB26,1+Parámetros!$B$11)-MAX(X26,1))+MAX(0,MIN(AB26,2)-MAX(X26,1+AD26)))</f>
        <v>0</v>
      </c>
      <c r="AL26" s="20">
        <f t="shared" si="18"/>
        <v>0</v>
      </c>
      <c r="AM26" s="20">
        <f>MAX(0,MIN(AC26,Parámetros!$B$11)-MAX(AB26,0))+MAX(0,MIN(AC26,1+Parámetros!$B$11)-MAX(AB26,AD26))+MAX(0,MIN(AC26,2)-MAX(AB26,1+AD26))</f>
        <v>0</v>
      </c>
      <c r="AN26" s="20">
        <f t="shared" si="19"/>
        <v>0</v>
      </c>
      <c r="AO26" s="20">
        <f>AE26*(MAX(0,MIN(AC26,Parámetros!$B$11)-MAX(AB26,0))+MAX(0,MIN(AC26,1)-MAX(AB26,AD26)))+AF26*(MAX(0,MIN(AC26,1+Parámetros!$B$11)-MAX(AB26,1))+MAX(0,MIN(AC26,2)-MAX(AB26,1+AD26)))</f>
        <v>0</v>
      </c>
    </row>
    <row r="27" spans="1:41" x14ac:dyDescent="0.25">
      <c r="A27" s="15"/>
      <c r="B27" s="8"/>
      <c r="C27" s="5" t="str">
        <f>IF(B27="","",IFERROR(INDEX(Trabajadores!$B$5:$B$204,MATCH(B27,Trabajadores!$A$5:$A$204,0)),"Cédula no registrada"))</f>
        <v/>
      </c>
      <c r="D27" s="11"/>
      <c r="E27" s="11"/>
      <c r="F27" s="8"/>
      <c r="G27" s="18" t="str">
        <f>IF(A27="","",IFERROR(INDEX(Trabajadores!$E$5:$E$204,MATCH(B27,Trabajadores!$A$5:$A$204,0))/Parámetros!$B$6,0)+IF(IFERROR(INDEX(Trabajadores!$E$5:$E$204,MATCH(B27,Trabajadores!$A$5:$A$204,0)),"")="",Parámetros!$B$7,0))</f>
        <v/>
      </c>
      <c r="H27" s="5" t="str">
        <f t="shared" si="0"/>
        <v/>
      </c>
      <c r="I27" s="5" t="str">
        <f>IF(A27="","",IF(COUNTIF(Festivos!$A$5:$A$451,A27)&gt;0,"Festivo",IF(WEEKDAY(A27,2)=7,"Domingo",IF(AND(AF27=1,AC27&gt;1),IF(COUNTIF(Festivos!$A$5:$A$451,A27+1)&gt;0,"Festivo","Domingo")&amp;" desde las 00:00",""))))</f>
        <v/>
      </c>
      <c r="J27" s="19" t="str">
        <f t="shared" si="1"/>
        <v/>
      </c>
      <c r="K27" s="19" t="str">
        <f t="shared" si="2"/>
        <v/>
      </c>
      <c r="L27" s="19" t="str">
        <f t="shared" si="3"/>
        <v/>
      </c>
      <c r="M27" s="19" t="str">
        <f t="shared" si="4"/>
        <v/>
      </c>
      <c r="N27" s="19" t="str">
        <f t="shared" si="5"/>
        <v/>
      </c>
      <c r="O27" s="19" t="str">
        <f t="shared" si="6"/>
        <v/>
      </c>
      <c r="P27" s="19" t="str">
        <f t="shared" si="7"/>
        <v/>
      </c>
      <c r="Q27" s="19" t="str">
        <f t="shared" si="8"/>
        <v/>
      </c>
      <c r="R27" s="19" t="str">
        <f t="shared" si="9"/>
        <v/>
      </c>
      <c r="S27" s="17" t="str">
        <f>IF(B27="","",IFERROR(INDEX(Trabajadores!$G$5:$G$204,MATCH(B27,Trabajadores!$A$5:$A$204,0)),""))</f>
        <v/>
      </c>
      <c r="T27" s="17" t="str">
        <f>IF(OR(OR(A27="",D27="",E27=""),S27=""),"",ROUND(S27*(N(L27)*Parámetros!$B$8+N(M27)*(1+Parámetros!$B$9)+N(N27)*(1+Parámetros!$B$10)+N(O27)*(1+AG27)+N(P27)*(1+AG27+Parámetros!$B$8)+N(Q27)*(1+AG27+Parámetros!$B$9)+N(R27)*(1+AG27+Parámetros!$B$10)),0))</f>
        <v/>
      </c>
      <c r="U27" s="5" t="str">
        <f>IF(OR(A27="",D27="",E27=""),"",IF(N(M27)+N(N27)+N(Q27)+N(R27)&gt;Parámetros!$B$12,"Supera el límite de horas extras diarias",IF(C27="Cédula no registrada","Registre la cédula en «Trabajadores»","")))</f>
        <v/>
      </c>
      <c r="X27" s="20">
        <f t="shared" si="10"/>
        <v>0</v>
      </c>
      <c r="Y27" s="20">
        <f t="shared" si="11"/>
        <v>0</v>
      </c>
      <c r="Z27" s="20">
        <f t="shared" si="12"/>
        <v>0</v>
      </c>
      <c r="AA27" s="20">
        <f t="shared" si="13"/>
        <v>0</v>
      </c>
      <c r="AB27" s="20">
        <f t="shared" si="14"/>
        <v>0</v>
      </c>
      <c r="AC27" s="20">
        <f t="shared" si="15"/>
        <v>0</v>
      </c>
      <c r="AD27" s="20">
        <f>IF(A27="",21/24,MOD(VLOOKUP(A27,Parámetros!$A$24:$B$25,2,TRUE()),1))</f>
        <v>0.875</v>
      </c>
      <c r="AE27" s="5">
        <f>IF(A27="",0,IF(OR(WEEKDAY(A27,2)=7,COUNTIF(Festivos!$A$5:$A$451,A27)&gt;0),1,0))</f>
        <v>0</v>
      </c>
      <c r="AF27" s="5">
        <f>IF(A27="",0,IF(OR(WEEKDAY(A27+1,2)=7,COUNTIF(Festivos!$A$5:$A$451,A27+1)&gt;0),1,0))</f>
        <v>0</v>
      </c>
      <c r="AG27" s="9">
        <f>IF(A27="",0,VLOOKUP(A27,Parámetros!$A$18:$B$21,2,TRUE()))</f>
        <v>0</v>
      </c>
      <c r="AH27" s="20">
        <f t="shared" si="16"/>
        <v>0</v>
      </c>
      <c r="AI27" s="20">
        <f>MAX(0,MIN(AB27,Parámetros!$B$11)-MAX(X27,0))+MAX(0,MIN(AB27,1+Parámetros!$B$11)-MAX(X27,AD27))+MAX(0,MIN(AB27,2)-MAX(X27,1+AD27))</f>
        <v>0</v>
      </c>
      <c r="AJ27" s="20">
        <f t="shared" si="17"/>
        <v>0</v>
      </c>
      <c r="AK27" s="20">
        <f>AE27*(MAX(0,MIN(AB27,Parámetros!$B$11)-MAX(X27,0))+MAX(0,MIN(AB27,1)-MAX(X27,AD27)))+AF27*(MAX(0,MIN(AB27,1+Parámetros!$B$11)-MAX(X27,1))+MAX(0,MIN(AB27,2)-MAX(X27,1+AD27)))</f>
        <v>0</v>
      </c>
      <c r="AL27" s="20">
        <f t="shared" si="18"/>
        <v>0</v>
      </c>
      <c r="AM27" s="20">
        <f>MAX(0,MIN(AC27,Parámetros!$B$11)-MAX(AB27,0))+MAX(0,MIN(AC27,1+Parámetros!$B$11)-MAX(AB27,AD27))+MAX(0,MIN(AC27,2)-MAX(AB27,1+AD27))</f>
        <v>0</v>
      </c>
      <c r="AN27" s="20">
        <f t="shared" si="19"/>
        <v>0</v>
      </c>
      <c r="AO27" s="20">
        <f>AE27*(MAX(0,MIN(AC27,Parámetros!$B$11)-MAX(AB27,0))+MAX(0,MIN(AC27,1)-MAX(AB27,AD27)))+AF27*(MAX(0,MIN(AC27,1+Parámetros!$B$11)-MAX(AB27,1))+MAX(0,MIN(AC27,2)-MAX(AB27,1+AD27)))</f>
        <v>0</v>
      </c>
    </row>
    <row r="28" spans="1:41" x14ac:dyDescent="0.25">
      <c r="A28" s="15"/>
      <c r="B28" s="8"/>
      <c r="C28" s="5" t="str">
        <f>IF(B28="","",IFERROR(INDEX(Trabajadores!$B$5:$B$204,MATCH(B28,Trabajadores!$A$5:$A$204,0)),"Cédula no registrada"))</f>
        <v/>
      </c>
      <c r="D28" s="11"/>
      <c r="E28" s="11"/>
      <c r="F28" s="8"/>
      <c r="G28" s="18" t="str">
        <f>IF(A28="","",IFERROR(INDEX(Trabajadores!$E$5:$E$204,MATCH(B28,Trabajadores!$A$5:$A$204,0))/Parámetros!$B$6,0)+IF(IFERROR(INDEX(Trabajadores!$E$5:$E$204,MATCH(B28,Trabajadores!$A$5:$A$204,0)),"")="",Parámetros!$B$7,0))</f>
        <v/>
      </c>
      <c r="H28" s="5" t="str">
        <f t="shared" si="0"/>
        <v/>
      </c>
      <c r="I28" s="5" t="str">
        <f>IF(A28="","",IF(COUNTIF(Festivos!$A$5:$A$451,A28)&gt;0,"Festivo",IF(WEEKDAY(A28,2)=7,"Domingo",IF(AND(AF28=1,AC28&gt;1),IF(COUNTIF(Festivos!$A$5:$A$451,A28+1)&gt;0,"Festivo","Domingo")&amp;" desde las 00:00",""))))</f>
        <v/>
      </c>
      <c r="J28" s="19" t="str">
        <f t="shared" si="1"/>
        <v/>
      </c>
      <c r="K28" s="19" t="str">
        <f t="shared" si="2"/>
        <v/>
      </c>
      <c r="L28" s="19" t="str">
        <f t="shared" si="3"/>
        <v/>
      </c>
      <c r="M28" s="19" t="str">
        <f t="shared" si="4"/>
        <v/>
      </c>
      <c r="N28" s="19" t="str">
        <f t="shared" si="5"/>
        <v/>
      </c>
      <c r="O28" s="19" t="str">
        <f t="shared" si="6"/>
        <v/>
      </c>
      <c r="P28" s="19" t="str">
        <f t="shared" si="7"/>
        <v/>
      </c>
      <c r="Q28" s="19" t="str">
        <f t="shared" si="8"/>
        <v/>
      </c>
      <c r="R28" s="19" t="str">
        <f t="shared" si="9"/>
        <v/>
      </c>
      <c r="S28" s="17" t="str">
        <f>IF(B28="","",IFERROR(INDEX(Trabajadores!$G$5:$G$204,MATCH(B28,Trabajadores!$A$5:$A$204,0)),""))</f>
        <v/>
      </c>
      <c r="T28" s="17" t="str">
        <f>IF(OR(OR(A28="",D28="",E28=""),S28=""),"",ROUND(S28*(N(L28)*Parámetros!$B$8+N(M28)*(1+Parámetros!$B$9)+N(N28)*(1+Parámetros!$B$10)+N(O28)*(1+AG28)+N(P28)*(1+AG28+Parámetros!$B$8)+N(Q28)*(1+AG28+Parámetros!$B$9)+N(R28)*(1+AG28+Parámetros!$B$10)),0))</f>
        <v/>
      </c>
      <c r="U28" s="5" t="str">
        <f>IF(OR(A28="",D28="",E28=""),"",IF(N(M28)+N(N28)+N(Q28)+N(R28)&gt;Parámetros!$B$12,"Supera el límite de horas extras diarias",IF(C28="Cédula no registrada","Registre la cédula en «Trabajadores»","")))</f>
        <v/>
      </c>
      <c r="X28" s="20">
        <f t="shared" si="10"/>
        <v>0</v>
      </c>
      <c r="Y28" s="20">
        <f t="shared" si="11"/>
        <v>0</v>
      </c>
      <c r="Z28" s="20">
        <f t="shared" si="12"/>
        <v>0</v>
      </c>
      <c r="AA28" s="20">
        <f t="shared" si="13"/>
        <v>0</v>
      </c>
      <c r="AB28" s="20">
        <f t="shared" si="14"/>
        <v>0</v>
      </c>
      <c r="AC28" s="20">
        <f t="shared" si="15"/>
        <v>0</v>
      </c>
      <c r="AD28" s="20">
        <f>IF(A28="",21/24,MOD(VLOOKUP(A28,Parámetros!$A$24:$B$25,2,TRUE()),1))</f>
        <v>0.875</v>
      </c>
      <c r="AE28" s="5">
        <f>IF(A28="",0,IF(OR(WEEKDAY(A28,2)=7,COUNTIF(Festivos!$A$5:$A$451,A28)&gt;0),1,0))</f>
        <v>0</v>
      </c>
      <c r="AF28" s="5">
        <f>IF(A28="",0,IF(OR(WEEKDAY(A28+1,2)=7,COUNTIF(Festivos!$A$5:$A$451,A28+1)&gt;0),1,0))</f>
        <v>0</v>
      </c>
      <c r="AG28" s="9">
        <f>IF(A28="",0,VLOOKUP(A28,Parámetros!$A$18:$B$21,2,TRUE()))</f>
        <v>0</v>
      </c>
      <c r="AH28" s="20">
        <f t="shared" si="16"/>
        <v>0</v>
      </c>
      <c r="AI28" s="20">
        <f>MAX(0,MIN(AB28,Parámetros!$B$11)-MAX(X28,0))+MAX(0,MIN(AB28,1+Parámetros!$B$11)-MAX(X28,AD28))+MAX(0,MIN(AB28,2)-MAX(X28,1+AD28))</f>
        <v>0</v>
      </c>
      <c r="AJ28" s="20">
        <f t="shared" si="17"/>
        <v>0</v>
      </c>
      <c r="AK28" s="20">
        <f>AE28*(MAX(0,MIN(AB28,Parámetros!$B$11)-MAX(X28,0))+MAX(0,MIN(AB28,1)-MAX(X28,AD28)))+AF28*(MAX(0,MIN(AB28,1+Parámetros!$B$11)-MAX(X28,1))+MAX(0,MIN(AB28,2)-MAX(X28,1+AD28)))</f>
        <v>0</v>
      </c>
      <c r="AL28" s="20">
        <f t="shared" si="18"/>
        <v>0</v>
      </c>
      <c r="AM28" s="20">
        <f>MAX(0,MIN(AC28,Parámetros!$B$11)-MAX(AB28,0))+MAX(0,MIN(AC28,1+Parámetros!$B$11)-MAX(AB28,AD28))+MAX(0,MIN(AC28,2)-MAX(AB28,1+AD28))</f>
        <v>0</v>
      </c>
      <c r="AN28" s="20">
        <f t="shared" si="19"/>
        <v>0</v>
      </c>
      <c r="AO28" s="20">
        <f>AE28*(MAX(0,MIN(AC28,Parámetros!$B$11)-MAX(AB28,0))+MAX(0,MIN(AC28,1)-MAX(AB28,AD28)))+AF28*(MAX(0,MIN(AC28,1+Parámetros!$B$11)-MAX(AB28,1))+MAX(0,MIN(AC28,2)-MAX(AB28,1+AD28)))</f>
        <v>0</v>
      </c>
    </row>
    <row r="29" spans="1:41" x14ac:dyDescent="0.25">
      <c r="A29" s="15"/>
      <c r="B29" s="8"/>
      <c r="C29" s="5" t="str">
        <f>IF(B29="","",IFERROR(INDEX(Trabajadores!$B$5:$B$204,MATCH(B29,Trabajadores!$A$5:$A$204,0)),"Cédula no registrada"))</f>
        <v/>
      </c>
      <c r="D29" s="11"/>
      <c r="E29" s="11"/>
      <c r="F29" s="8"/>
      <c r="G29" s="18" t="str">
        <f>IF(A29="","",IFERROR(INDEX(Trabajadores!$E$5:$E$204,MATCH(B29,Trabajadores!$A$5:$A$204,0))/Parámetros!$B$6,0)+IF(IFERROR(INDEX(Trabajadores!$E$5:$E$204,MATCH(B29,Trabajadores!$A$5:$A$204,0)),"")="",Parámetros!$B$7,0))</f>
        <v/>
      </c>
      <c r="H29" s="5" t="str">
        <f t="shared" si="0"/>
        <v/>
      </c>
      <c r="I29" s="5" t="str">
        <f>IF(A29="","",IF(COUNTIF(Festivos!$A$5:$A$451,A29)&gt;0,"Festivo",IF(WEEKDAY(A29,2)=7,"Domingo",IF(AND(AF29=1,AC29&gt;1),IF(COUNTIF(Festivos!$A$5:$A$451,A29+1)&gt;0,"Festivo","Domingo")&amp;" desde las 00:00",""))))</f>
        <v/>
      </c>
      <c r="J29" s="19" t="str">
        <f t="shared" si="1"/>
        <v/>
      </c>
      <c r="K29" s="19" t="str">
        <f t="shared" si="2"/>
        <v/>
      </c>
      <c r="L29" s="19" t="str">
        <f t="shared" si="3"/>
        <v/>
      </c>
      <c r="M29" s="19" t="str">
        <f t="shared" si="4"/>
        <v/>
      </c>
      <c r="N29" s="19" t="str">
        <f t="shared" si="5"/>
        <v/>
      </c>
      <c r="O29" s="19" t="str">
        <f t="shared" si="6"/>
        <v/>
      </c>
      <c r="P29" s="19" t="str">
        <f t="shared" si="7"/>
        <v/>
      </c>
      <c r="Q29" s="19" t="str">
        <f t="shared" si="8"/>
        <v/>
      </c>
      <c r="R29" s="19" t="str">
        <f t="shared" si="9"/>
        <v/>
      </c>
      <c r="S29" s="17" t="str">
        <f>IF(B29="","",IFERROR(INDEX(Trabajadores!$G$5:$G$204,MATCH(B29,Trabajadores!$A$5:$A$204,0)),""))</f>
        <v/>
      </c>
      <c r="T29" s="17" t="str">
        <f>IF(OR(OR(A29="",D29="",E29=""),S29=""),"",ROUND(S29*(N(L29)*Parámetros!$B$8+N(M29)*(1+Parámetros!$B$9)+N(N29)*(1+Parámetros!$B$10)+N(O29)*(1+AG29)+N(P29)*(1+AG29+Parámetros!$B$8)+N(Q29)*(1+AG29+Parámetros!$B$9)+N(R29)*(1+AG29+Parámetros!$B$10)),0))</f>
        <v/>
      </c>
      <c r="U29" s="5" t="str">
        <f>IF(OR(A29="",D29="",E29=""),"",IF(N(M29)+N(N29)+N(Q29)+N(R29)&gt;Parámetros!$B$12,"Supera el límite de horas extras diarias",IF(C29="Cédula no registrada","Registre la cédula en «Trabajadores»","")))</f>
        <v/>
      </c>
      <c r="X29" s="20">
        <f t="shared" si="10"/>
        <v>0</v>
      </c>
      <c r="Y29" s="20">
        <f t="shared" si="11"/>
        <v>0</v>
      </c>
      <c r="Z29" s="20">
        <f t="shared" si="12"/>
        <v>0</v>
      </c>
      <c r="AA29" s="20">
        <f t="shared" si="13"/>
        <v>0</v>
      </c>
      <c r="AB29" s="20">
        <f t="shared" si="14"/>
        <v>0</v>
      </c>
      <c r="AC29" s="20">
        <f t="shared" si="15"/>
        <v>0</v>
      </c>
      <c r="AD29" s="20">
        <f>IF(A29="",21/24,MOD(VLOOKUP(A29,Parámetros!$A$24:$B$25,2,TRUE()),1))</f>
        <v>0.875</v>
      </c>
      <c r="AE29" s="5">
        <f>IF(A29="",0,IF(OR(WEEKDAY(A29,2)=7,COUNTIF(Festivos!$A$5:$A$451,A29)&gt;0),1,0))</f>
        <v>0</v>
      </c>
      <c r="AF29" s="5">
        <f>IF(A29="",0,IF(OR(WEEKDAY(A29+1,2)=7,COUNTIF(Festivos!$A$5:$A$451,A29+1)&gt;0),1,0))</f>
        <v>0</v>
      </c>
      <c r="AG29" s="9">
        <f>IF(A29="",0,VLOOKUP(A29,Parámetros!$A$18:$B$21,2,TRUE()))</f>
        <v>0</v>
      </c>
      <c r="AH29" s="20">
        <f t="shared" si="16"/>
        <v>0</v>
      </c>
      <c r="AI29" s="20">
        <f>MAX(0,MIN(AB29,Parámetros!$B$11)-MAX(X29,0))+MAX(0,MIN(AB29,1+Parámetros!$B$11)-MAX(X29,AD29))+MAX(0,MIN(AB29,2)-MAX(X29,1+AD29))</f>
        <v>0</v>
      </c>
      <c r="AJ29" s="20">
        <f t="shared" si="17"/>
        <v>0</v>
      </c>
      <c r="AK29" s="20">
        <f>AE29*(MAX(0,MIN(AB29,Parámetros!$B$11)-MAX(X29,0))+MAX(0,MIN(AB29,1)-MAX(X29,AD29)))+AF29*(MAX(0,MIN(AB29,1+Parámetros!$B$11)-MAX(X29,1))+MAX(0,MIN(AB29,2)-MAX(X29,1+AD29)))</f>
        <v>0</v>
      </c>
      <c r="AL29" s="20">
        <f t="shared" si="18"/>
        <v>0</v>
      </c>
      <c r="AM29" s="20">
        <f>MAX(0,MIN(AC29,Parámetros!$B$11)-MAX(AB29,0))+MAX(0,MIN(AC29,1+Parámetros!$B$11)-MAX(AB29,AD29))+MAX(0,MIN(AC29,2)-MAX(AB29,1+AD29))</f>
        <v>0</v>
      </c>
      <c r="AN29" s="20">
        <f t="shared" si="19"/>
        <v>0</v>
      </c>
      <c r="AO29" s="20">
        <f>AE29*(MAX(0,MIN(AC29,Parámetros!$B$11)-MAX(AB29,0))+MAX(0,MIN(AC29,1)-MAX(AB29,AD29)))+AF29*(MAX(0,MIN(AC29,1+Parámetros!$B$11)-MAX(AB29,1))+MAX(0,MIN(AC29,2)-MAX(AB29,1+AD29)))</f>
        <v>0</v>
      </c>
    </row>
    <row r="30" spans="1:41" x14ac:dyDescent="0.25">
      <c r="A30" s="15"/>
      <c r="B30" s="8"/>
      <c r="C30" s="5" t="str">
        <f>IF(B30="","",IFERROR(INDEX(Trabajadores!$B$5:$B$204,MATCH(B30,Trabajadores!$A$5:$A$204,0)),"Cédula no registrada"))</f>
        <v/>
      </c>
      <c r="D30" s="11"/>
      <c r="E30" s="11"/>
      <c r="F30" s="8"/>
      <c r="G30" s="18" t="str">
        <f>IF(A30="","",IFERROR(INDEX(Trabajadores!$E$5:$E$204,MATCH(B30,Trabajadores!$A$5:$A$204,0))/Parámetros!$B$6,0)+IF(IFERROR(INDEX(Trabajadores!$E$5:$E$204,MATCH(B30,Trabajadores!$A$5:$A$204,0)),"")="",Parámetros!$B$7,0))</f>
        <v/>
      </c>
      <c r="H30" s="5" t="str">
        <f t="shared" si="0"/>
        <v/>
      </c>
      <c r="I30" s="5" t="str">
        <f>IF(A30="","",IF(COUNTIF(Festivos!$A$5:$A$451,A30)&gt;0,"Festivo",IF(WEEKDAY(A30,2)=7,"Domingo",IF(AND(AF30=1,AC30&gt;1),IF(COUNTIF(Festivos!$A$5:$A$451,A30+1)&gt;0,"Festivo","Domingo")&amp;" desde las 00:00",""))))</f>
        <v/>
      </c>
      <c r="J30" s="19" t="str">
        <f t="shared" si="1"/>
        <v/>
      </c>
      <c r="K30" s="19" t="str">
        <f t="shared" si="2"/>
        <v/>
      </c>
      <c r="L30" s="19" t="str">
        <f t="shared" si="3"/>
        <v/>
      </c>
      <c r="M30" s="19" t="str">
        <f t="shared" si="4"/>
        <v/>
      </c>
      <c r="N30" s="19" t="str">
        <f t="shared" si="5"/>
        <v/>
      </c>
      <c r="O30" s="19" t="str">
        <f t="shared" si="6"/>
        <v/>
      </c>
      <c r="P30" s="19" t="str">
        <f t="shared" si="7"/>
        <v/>
      </c>
      <c r="Q30" s="19" t="str">
        <f t="shared" si="8"/>
        <v/>
      </c>
      <c r="R30" s="19" t="str">
        <f t="shared" si="9"/>
        <v/>
      </c>
      <c r="S30" s="17" t="str">
        <f>IF(B30="","",IFERROR(INDEX(Trabajadores!$G$5:$G$204,MATCH(B30,Trabajadores!$A$5:$A$204,0)),""))</f>
        <v/>
      </c>
      <c r="T30" s="17" t="str">
        <f>IF(OR(OR(A30="",D30="",E30=""),S30=""),"",ROUND(S30*(N(L30)*Parámetros!$B$8+N(M30)*(1+Parámetros!$B$9)+N(N30)*(1+Parámetros!$B$10)+N(O30)*(1+AG30)+N(P30)*(1+AG30+Parámetros!$B$8)+N(Q30)*(1+AG30+Parámetros!$B$9)+N(R30)*(1+AG30+Parámetros!$B$10)),0))</f>
        <v/>
      </c>
      <c r="U30" s="5" t="str">
        <f>IF(OR(A30="",D30="",E30=""),"",IF(N(M30)+N(N30)+N(Q30)+N(R30)&gt;Parámetros!$B$12,"Supera el límite de horas extras diarias",IF(C30="Cédula no registrada","Registre la cédula en «Trabajadores»","")))</f>
        <v/>
      </c>
      <c r="X30" s="20">
        <f t="shared" si="10"/>
        <v>0</v>
      </c>
      <c r="Y30" s="20">
        <f t="shared" si="11"/>
        <v>0</v>
      </c>
      <c r="Z30" s="20">
        <f t="shared" si="12"/>
        <v>0</v>
      </c>
      <c r="AA30" s="20">
        <f t="shared" si="13"/>
        <v>0</v>
      </c>
      <c r="AB30" s="20">
        <f t="shared" si="14"/>
        <v>0</v>
      </c>
      <c r="AC30" s="20">
        <f t="shared" si="15"/>
        <v>0</v>
      </c>
      <c r="AD30" s="20">
        <f>IF(A30="",21/24,MOD(VLOOKUP(A30,Parámetros!$A$24:$B$25,2,TRUE()),1))</f>
        <v>0.875</v>
      </c>
      <c r="AE30" s="5">
        <f>IF(A30="",0,IF(OR(WEEKDAY(A30,2)=7,COUNTIF(Festivos!$A$5:$A$451,A30)&gt;0),1,0))</f>
        <v>0</v>
      </c>
      <c r="AF30" s="5">
        <f>IF(A30="",0,IF(OR(WEEKDAY(A30+1,2)=7,COUNTIF(Festivos!$A$5:$A$451,A30+1)&gt;0),1,0))</f>
        <v>0</v>
      </c>
      <c r="AG30" s="9">
        <f>IF(A30="",0,VLOOKUP(A30,Parámetros!$A$18:$B$21,2,TRUE()))</f>
        <v>0</v>
      </c>
      <c r="AH30" s="20">
        <f t="shared" si="16"/>
        <v>0</v>
      </c>
      <c r="AI30" s="20">
        <f>MAX(0,MIN(AB30,Parámetros!$B$11)-MAX(X30,0))+MAX(0,MIN(AB30,1+Parámetros!$B$11)-MAX(X30,AD30))+MAX(0,MIN(AB30,2)-MAX(X30,1+AD30))</f>
        <v>0</v>
      </c>
      <c r="AJ30" s="20">
        <f t="shared" si="17"/>
        <v>0</v>
      </c>
      <c r="AK30" s="20">
        <f>AE30*(MAX(0,MIN(AB30,Parámetros!$B$11)-MAX(X30,0))+MAX(0,MIN(AB30,1)-MAX(X30,AD30)))+AF30*(MAX(0,MIN(AB30,1+Parámetros!$B$11)-MAX(X30,1))+MAX(0,MIN(AB30,2)-MAX(X30,1+AD30)))</f>
        <v>0</v>
      </c>
      <c r="AL30" s="20">
        <f t="shared" si="18"/>
        <v>0</v>
      </c>
      <c r="AM30" s="20">
        <f>MAX(0,MIN(AC30,Parámetros!$B$11)-MAX(AB30,0))+MAX(0,MIN(AC30,1+Parámetros!$B$11)-MAX(AB30,AD30))+MAX(0,MIN(AC30,2)-MAX(AB30,1+AD30))</f>
        <v>0</v>
      </c>
      <c r="AN30" s="20">
        <f t="shared" si="19"/>
        <v>0</v>
      </c>
      <c r="AO30" s="20">
        <f>AE30*(MAX(0,MIN(AC30,Parámetros!$B$11)-MAX(AB30,0))+MAX(0,MIN(AC30,1)-MAX(AB30,AD30)))+AF30*(MAX(0,MIN(AC30,1+Parámetros!$B$11)-MAX(AB30,1))+MAX(0,MIN(AC30,2)-MAX(AB30,1+AD30)))</f>
        <v>0</v>
      </c>
    </row>
    <row r="31" spans="1:41" x14ac:dyDescent="0.25">
      <c r="A31" s="15"/>
      <c r="B31" s="8"/>
      <c r="C31" s="5" t="str">
        <f>IF(B31="","",IFERROR(INDEX(Trabajadores!$B$5:$B$204,MATCH(B31,Trabajadores!$A$5:$A$204,0)),"Cédula no registrada"))</f>
        <v/>
      </c>
      <c r="D31" s="11"/>
      <c r="E31" s="11"/>
      <c r="F31" s="8"/>
      <c r="G31" s="18" t="str">
        <f>IF(A31="","",IFERROR(INDEX(Trabajadores!$E$5:$E$204,MATCH(B31,Trabajadores!$A$5:$A$204,0))/Parámetros!$B$6,0)+IF(IFERROR(INDEX(Trabajadores!$E$5:$E$204,MATCH(B31,Trabajadores!$A$5:$A$204,0)),"")="",Parámetros!$B$7,0))</f>
        <v/>
      </c>
      <c r="H31" s="5" t="str">
        <f t="shared" si="0"/>
        <v/>
      </c>
      <c r="I31" s="5" t="str">
        <f>IF(A31="","",IF(COUNTIF(Festivos!$A$5:$A$451,A31)&gt;0,"Festivo",IF(WEEKDAY(A31,2)=7,"Domingo",IF(AND(AF31=1,AC31&gt;1),IF(COUNTIF(Festivos!$A$5:$A$451,A31+1)&gt;0,"Festivo","Domingo")&amp;" desde las 00:00",""))))</f>
        <v/>
      </c>
      <c r="J31" s="19" t="str">
        <f t="shared" si="1"/>
        <v/>
      </c>
      <c r="K31" s="19" t="str">
        <f t="shared" si="2"/>
        <v/>
      </c>
      <c r="L31" s="19" t="str">
        <f t="shared" si="3"/>
        <v/>
      </c>
      <c r="M31" s="19" t="str">
        <f t="shared" si="4"/>
        <v/>
      </c>
      <c r="N31" s="19" t="str">
        <f t="shared" si="5"/>
        <v/>
      </c>
      <c r="O31" s="19" t="str">
        <f t="shared" si="6"/>
        <v/>
      </c>
      <c r="P31" s="19" t="str">
        <f t="shared" si="7"/>
        <v/>
      </c>
      <c r="Q31" s="19" t="str">
        <f t="shared" si="8"/>
        <v/>
      </c>
      <c r="R31" s="19" t="str">
        <f t="shared" si="9"/>
        <v/>
      </c>
      <c r="S31" s="17" t="str">
        <f>IF(B31="","",IFERROR(INDEX(Trabajadores!$G$5:$G$204,MATCH(B31,Trabajadores!$A$5:$A$204,0)),""))</f>
        <v/>
      </c>
      <c r="T31" s="17" t="str">
        <f>IF(OR(OR(A31="",D31="",E31=""),S31=""),"",ROUND(S31*(N(L31)*Parámetros!$B$8+N(M31)*(1+Parámetros!$B$9)+N(N31)*(1+Parámetros!$B$10)+N(O31)*(1+AG31)+N(P31)*(1+AG31+Parámetros!$B$8)+N(Q31)*(1+AG31+Parámetros!$B$9)+N(R31)*(1+AG31+Parámetros!$B$10)),0))</f>
        <v/>
      </c>
      <c r="U31" s="5" t="str">
        <f>IF(OR(A31="",D31="",E31=""),"",IF(N(M31)+N(N31)+N(Q31)+N(R31)&gt;Parámetros!$B$12,"Supera el límite de horas extras diarias",IF(C31="Cédula no registrada","Registre la cédula en «Trabajadores»","")))</f>
        <v/>
      </c>
      <c r="X31" s="20">
        <f t="shared" si="10"/>
        <v>0</v>
      </c>
      <c r="Y31" s="20">
        <f t="shared" si="11"/>
        <v>0</v>
      </c>
      <c r="Z31" s="20">
        <f t="shared" si="12"/>
        <v>0</v>
      </c>
      <c r="AA31" s="20">
        <f t="shared" si="13"/>
        <v>0</v>
      </c>
      <c r="AB31" s="20">
        <f t="shared" si="14"/>
        <v>0</v>
      </c>
      <c r="AC31" s="20">
        <f t="shared" si="15"/>
        <v>0</v>
      </c>
      <c r="AD31" s="20">
        <f>IF(A31="",21/24,MOD(VLOOKUP(A31,Parámetros!$A$24:$B$25,2,TRUE()),1))</f>
        <v>0.875</v>
      </c>
      <c r="AE31" s="5">
        <f>IF(A31="",0,IF(OR(WEEKDAY(A31,2)=7,COUNTIF(Festivos!$A$5:$A$451,A31)&gt;0),1,0))</f>
        <v>0</v>
      </c>
      <c r="AF31" s="5">
        <f>IF(A31="",0,IF(OR(WEEKDAY(A31+1,2)=7,COUNTIF(Festivos!$A$5:$A$451,A31+1)&gt;0),1,0))</f>
        <v>0</v>
      </c>
      <c r="AG31" s="9">
        <f>IF(A31="",0,VLOOKUP(A31,Parámetros!$A$18:$B$21,2,TRUE()))</f>
        <v>0</v>
      </c>
      <c r="AH31" s="20">
        <f t="shared" si="16"/>
        <v>0</v>
      </c>
      <c r="AI31" s="20">
        <f>MAX(0,MIN(AB31,Parámetros!$B$11)-MAX(X31,0))+MAX(0,MIN(AB31,1+Parámetros!$B$11)-MAX(X31,AD31))+MAX(0,MIN(AB31,2)-MAX(X31,1+AD31))</f>
        <v>0</v>
      </c>
      <c r="AJ31" s="20">
        <f t="shared" si="17"/>
        <v>0</v>
      </c>
      <c r="AK31" s="20">
        <f>AE31*(MAX(0,MIN(AB31,Parámetros!$B$11)-MAX(X31,0))+MAX(0,MIN(AB31,1)-MAX(X31,AD31)))+AF31*(MAX(0,MIN(AB31,1+Parámetros!$B$11)-MAX(X31,1))+MAX(0,MIN(AB31,2)-MAX(X31,1+AD31)))</f>
        <v>0</v>
      </c>
      <c r="AL31" s="20">
        <f t="shared" si="18"/>
        <v>0</v>
      </c>
      <c r="AM31" s="20">
        <f>MAX(0,MIN(AC31,Parámetros!$B$11)-MAX(AB31,0))+MAX(0,MIN(AC31,1+Parámetros!$B$11)-MAX(AB31,AD31))+MAX(0,MIN(AC31,2)-MAX(AB31,1+AD31))</f>
        <v>0</v>
      </c>
      <c r="AN31" s="20">
        <f t="shared" si="19"/>
        <v>0</v>
      </c>
      <c r="AO31" s="20">
        <f>AE31*(MAX(0,MIN(AC31,Parámetros!$B$11)-MAX(AB31,0))+MAX(0,MIN(AC31,1)-MAX(AB31,AD31)))+AF31*(MAX(0,MIN(AC31,1+Parámetros!$B$11)-MAX(AB31,1))+MAX(0,MIN(AC31,2)-MAX(AB31,1+AD31)))</f>
        <v>0</v>
      </c>
    </row>
    <row r="32" spans="1:41" x14ac:dyDescent="0.25">
      <c r="A32" s="15"/>
      <c r="B32" s="8"/>
      <c r="C32" s="5" t="str">
        <f>IF(B32="","",IFERROR(INDEX(Trabajadores!$B$5:$B$204,MATCH(B32,Trabajadores!$A$5:$A$204,0)),"Cédula no registrada"))</f>
        <v/>
      </c>
      <c r="D32" s="11"/>
      <c r="E32" s="11"/>
      <c r="F32" s="8"/>
      <c r="G32" s="18" t="str">
        <f>IF(A32="","",IFERROR(INDEX(Trabajadores!$E$5:$E$204,MATCH(B32,Trabajadores!$A$5:$A$204,0))/Parámetros!$B$6,0)+IF(IFERROR(INDEX(Trabajadores!$E$5:$E$204,MATCH(B32,Trabajadores!$A$5:$A$204,0)),"")="",Parámetros!$B$7,0))</f>
        <v/>
      </c>
      <c r="H32" s="5" t="str">
        <f t="shared" si="0"/>
        <v/>
      </c>
      <c r="I32" s="5" t="str">
        <f>IF(A32="","",IF(COUNTIF(Festivos!$A$5:$A$451,A32)&gt;0,"Festivo",IF(WEEKDAY(A32,2)=7,"Domingo",IF(AND(AF32=1,AC32&gt;1),IF(COUNTIF(Festivos!$A$5:$A$451,A32+1)&gt;0,"Festivo","Domingo")&amp;" desde las 00:00",""))))</f>
        <v/>
      </c>
      <c r="J32" s="19" t="str">
        <f t="shared" si="1"/>
        <v/>
      </c>
      <c r="K32" s="19" t="str">
        <f t="shared" si="2"/>
        <v/>
      </c>
      <c r="L32" s="19" t="str">
        <f t="shared" si="3"/>
        <v/>
      </c>
      <c r="M32" s="19" t="str">
        <f t="shared" si="4"/>
        <v/>
      </c>
      <c r="N32" s="19" t="str">
        <f t="shared" si="5"/>
        <v/>
      </c>
      <c r="O32" s="19" t="str">
        <f t="shared" si="6"/>
        <v/>
      </c>
      <c r="P32" s="19" t="str">
        <f t="shared" si="7"/>
        <v/>
      </c>
      <c r="Q32" s="19" t="str">
        <f t="shared" si="8"/>
        <v/>
      </c>
      <c r="R32" s="19" t="str">
        <f t="shared" si="9"/>
        <v/>
      </c>
      <c r="S32" s="17" t="str">
        <f>IF(B32="","",IFERROR(INDEX(Trabajadores!$G$5:$G$204,MATCH(B32,Trabajadores!$A$5:$A$204,0)),""))</f>
        <v/>
      </c>
      <c r="T32" s="17" t="str">
        <f>IF(OR(OR(A32="",D32="",E32=""),S32=""),"",ROUND(S32*(N(L32)*Parámetros!$B$8+N(M32)*(1+Parámetros!$B$9)+N(N32)*(1+Parámetros!$B$10)+N(O32)*(1+AG32)+N(P32)*(1+AG32+Parámetros!$B$8)+N(Q32)*(1+AG32+Parámetros!$B$9)+N(R32)*(1+AG32+Parámetros!$B$10)),0))</f>
        <v/>
      </c>
      <c r="U32" s="5" t="str">
        <f>IF(OR(A32="",D32="",E32=""),"",IF(N(M32)+N(N32)+N(Q32)+N(R32)&gt;Parámetros!$B$12,"Supera el límite de horas extras diarias",IF(C32="Cédula no registrada","Registre la cédula en «Trabajadores»","")))</f>
        <v/>
      </c>
      <c r="X32" s="20">
        <f t="shared" si="10"/>
        <v>0</v>
      </c>
      <c r="Y32" s="20">
        <f t="shared" si="11"/>
        <v>0</v>
      </c>
      <c r="Z32" s="20">
        <f t="shared" si="12"/>
        <v>0</v>
      </c>
      <c r="AA32" s="20">
        <f t="shared" si="13"/>
        <v>0</v>
      </c>
      <c r="AB32" s="20">
        <f t="shared" si="14"/>
        <v>0</v>
      </c>
      <c r="AC32" s="20">
        <f t="shared" si="15"/>
        <v>0</v>
      </c>
      <c r="AD32" s="20">
        <f>IF(A32="",21/24,MOD(VLOOKUP(A32,Parámetros!$A$24:$B$25,2,TRUE()),1))</f>
        <v>0.875</v>
      </c>
      <c r="AE32" s="5">
        <f>IF(A32="",0,IF(OR(WEEKDAY(A32,2)=7,COUNTIF(Festivos!$A$5:$A$451,A32)&gt;0),1,0))</f>
        <v>0</v>
      </c>
      <c r="AF32" s="5">
        <f>IF(A32="",0,IF(OR(WEEKDAY(A32+1,2)=7,COUNTIF(Festivos!$A$5:$A$451,A32+1)&gt;0),1,0))</f>
        <v>0</v>
      </c>
      <c r="AG32" s="9">
        <f>IF(A32="",0,VLOOKUP(A32,Parámetros!$A$18:$B$21,2,TRUE()))</f>
        <v>0</v>
      </c>
      <c r="AH32" s="20">
        <f t="shared" si="16"/>
        <v>0</v>
      </c>
      <c r="AI32" s="20">
        <f>MAX(0,MIN(AB32,Parámetros!$B$11)-MAX(X32,0))+MAX(0,MIN(AB32,1+Parámetros!$B$11)-MAX(X32,AD32))+MAX(0,MIN(AB32,2)-MAX(X32,1+AD32))</f>
        <v>0</v>
      </c>
      <c r="AJ32" s="20">
        <f t="shared" si="17"/>
        <v>0</v>
      </c>
      <c r="AK32" s="20">
        <f>AE32*(MAX(0,MIN(AB32,Parámetros!$B$11)-MAX(X32,0))+MAX(0,MIN(AB32,1)-MAX(X32,AD32)))+AF32*(MAX(0,MIN(AB32,1+Parámetros!$B$11)-MAX(X32,1))+MAX(0,MIN(AB32,2)-MAX(X32,1+AD32)))</f>
        <v>0</v>
      </c>
      <c r="AL32" s="20">
        <f t="shared" si="18"/>
        <v>0</v>
      </c>
      <c r="AM32" s="20">
        <f>MAX(0,MIN(AC32,Parámetros!$B$11)-MAX(AB32,0))+MAX(0,MIN(AC32,1+Parámetros!$B$11)-MAX(AB32,AD32))+MAX(0,MIN(AC32,2)-MAX(AB32,1+AD32))</f>
        <v>0</v>
      </c>
      <c r="AN32" s="20">
        <f t="shared" si="19"/>
        <v>0</v>
      </c>
      <c r="AO32" s="20">
        <f>AE32*(MAX(0,MIN(AC32,Parámetros!$B$11)-MAX(AB32,0))+MAX(0,MIN(AC32,1)-MAX(AB32,AD32)))+AF32*(MAX(0,MIN(AC32,1+Parámetros!$B$11)-MAX(AB32,1))+MAX(0,MIN(AC32,2)-MAX(AB32,1+AD32)))</f>
        <v>0</v>
      </c>
    </row>
    <row r="33" spans="1:41" x14ac:dyDescent="0.25">
      <c r="A33" s="15"/>
      <c r="B33" s="8"/>
      <c r="C33" s="5" t="str">
        <f>IF(B33="","",IFERROR(INDEX(Trabajadores!$B$5:$B$204,MATCH(B33,Trabajadores!$A$5:$A$204,0)),"Cédula no registrada"))</f>
        <v/>
      </c>
      <c r="D33" s="11"/>
      <c r="E33" s="11"/>
      <c r="F33" s="8"/>
      <c r="G33" s="18" t="str">
        <f>IF(A33="","",IFERROR(INDEX(Trabajadores!$E$5:$E$204,MATCH(B33,Trabajadores!$A$5:$A$204,0))/Parámetros!$B$6,0)+IF(IFERROR(INDEX(Trabajadores!$E$5:$E$204,MATCH(B33,Trabajadores!$A$5:$A$204,0)),"")="",Parámetros!$B$7,0))</f>
        <v/>
      </c>
      <c r="H33" s="5" t="str">
        <f t="shared" si="0"/>
        <v/>
      </c>
      <c r="I33" s="5" t="str">
        <f>IF(A33="","",IF(COUNTIF(Festivos!$A$5:$A$451,A33)&gt;0,"Festivo",IF(WEEKDAY(A33,2)=7,"Domingo",IF(AND(AF33=1,AC33&gt;1),IF(COUNTIF(Festivos!$A$5:$A$451,A33+1)&gt;0,"Festivo","Domingo")&amp;" desde las 00:00",""))))</f>
        <v/>
      </c>
      <c r="J33" s="19" t="str">
        <f t="shared" si="1"/>
        <v/>
      </c>
      <c r="K33" s="19" t="str">
        <f t="shared" si="2"/>
        <v/>
      </c>
      <c r="L33" s="19" t="str">
        <f t="shared" si="3"/>
        <v/>
      </c>
      <c r="M33" s="19" t="str">
        <f t="shared" si="4"/>
        <v/>
      </c>
      <c r="N33" s="19" t="str">
        <f t="shared" si="5"/>
        <v/>
      </c>
      <c r="O33" s="19" t="str">
        <f t="shared" si="6"/>
        <v/>
      </c>
      <c r="P33" s="19" t="str">
        <f t="shared" si="7"/>
        <v/>
      </c>
      <c r="Q33" s="19" t="str">
        <f t="shared" si="8"/>
        <v/>
      </c>
      <c r="R33" s="19" t="str">
        <f t="shared" si="9"/>
        <v/>
      </c>
      <c r="S33" s="17" t="str">
        <f>IF(B33="","",IFERROR(INDEX(Trabajadores!$G$5:$G$204,MATCH(B33,Trabajadores!$A$5:$A$204,0)),""))</f>
        <v/>
      </c>
      <c r="T33" s="17" t="str">
        <f>IF(OR(OR(A33="",D33="",E33=""),S33=""),"",ROUND(S33*(N(L33)*Parámetros!$B$8+N(M33)*(1+Parámetros!$B$9)+N(N33)*(1+Parámetros!$B$10)+N(O33)*(1+AG33)+N(P33)*(1+AG33+Parámetros!$B$8)+N(Q33)*(1+AG33+Parámetros!$B$9)+N(R33)*(1+AG33+Parámetros!$B$10)),0))</f>
        <v/>
      </c>
      <c r="U33" s="5" t="str">
        <f>IF(OR(A33="",D33="",E33=""),"",IF(N(M33)+N(N33)+N(Q33)+N(R33)&gt;Parámetros!$B$12,"Supera el límite de horas extras diarias",IF(C33="Cédula no registrada","Registre la cédula en «Trabajadores»","")))</f>
        <v/>
      </c>
      <c r="X33" s="20">
        <f t="shared" si="10"/>
        <v>0</v>
      </c>
      <c r="Y33" s="20">
        <f t="shared" si="11"/>
        <v>0</v>
      </c>
      <c r="Z33" s="20">
        <f t="shared" si="12"/>
        <v>0</v>
      </c>
      <c r="AA33" s="20">
        <f t="shared" si="13"/>
        <v>0</v>
      </c>
      <c r="AB33" s="20">
        <f t="shared" si="14"/>
        <v>0</v>
      </c>
      <c r="AC33" s="20">
        <f t="shared" si="15"/>
        <v>0</v>
      </c>
      <c r="AD33" s="20">
        <f>IF(A33="",21/24,MOD(VLOOKUP(A33,Parámetros!$A$24:$B$25,2,TRUE()),1))</f>
        <v>0.875</v>
      </c>
      <c r="AE33" s="5">
        <f>IF(A33="",0,IF(OR(WEEKDAY(A33,2)=7,COUNTIF(Festivos!$A$5:$A$451,A33)&gt;0),1,0))</f>
        <v>0</v>
      </c>
      <c r="AF33" s="5">
        <f>IF(A33="",0,IF(OR(WEEKDAY(A33+1,2)=7,COUNTIF(Festivos!$A$5:$A$451,A33+1)&gt;0),1,0))</f>
        <v>0</v>
      </c>
      <c r="AG33" s="9">
        <f>IF(A33="",0,VLOOKUP(A33,Parámetros!$A$18:$B$21,2,TRUE()))</f>
        <v>0</v>
      </c>
      <c r="AH33" s="20">
        <f t="shared" si="16"/>
        <v>0</v>
      </c>
      <c r="AI33" s="20">
        <f>MAX(0,MIN(AB33,Parámetros!$B$11)-MAX(X33,0))+MAX(0,MIN(AB33,1+Parámetros!$B$11)-MAX(X33,AD33))+MAX(0,MIN(AB33,2)-MAX(X33,1+AD33))</f>
        <v>0</v>
      </c>
      <c r="AJ33" s="20">
        <f t="shared" si="17"/>
        <v>0</v>
      </c>
      <c r="AK33" s="20">
        <f>AE33*(MAX(0,MIN(AB33,Parámetros!$B$11)-MAX(X33,0))+MAX(0,MIN(AB33,1)-MAX(X33,AD33)))+AF33*(MAX(0,MIN(AB33,1+Parámetros!$B$11)-MAX(X33,1))+MAX(0,MIN(AB33,2)-MAX(X33,1+AD33)))</f>
        <v>0</v>
      </c>
      <c r="AL33" s="20">
        <f t="shared" si="18"/>
        <v>0</v>
      </c>
      <c r="AM33" s="20">
        <f>MAX(0,MIN(AC33,Parámetros!$B$11)-MAX(AB33,0))+MAX(0,MIN(AC33,1+Parámetros!$B$11)-MAX(AB33,AD33))+MAX(0,MIN(AC33,2)-MAX(AB33,1+AD33))</f>
        <v>0</v>
      </c>
      <c r="AN33" s="20">
        <f t="shared" si="19"/>
        <v>0</v>
      </c>
      <c r="AO33" s="20">
        <f>AE33*(MAX(0,MIN(AC33,Parámetros!$B$11)-MAX(AB33,0))+MAX(0,MIN(AC33,1)-MAX(AB33,AD33)))+AF33*(MAX(0,MIN(AC33,1+Parámetros!$B$11)-MAX(AB33,1))+MAX(0,MIN(AC33,2)-MAX(AB33,1+AD33)))</f>
        <v>0</v>
      </c>
    </row>
    <row r="34" spans="1:41" x14ac:dyDescent="0.25">
      <c r="A34" s="15"/>
      <c r="B34" s="8"/>
      <c r="C34" s="5" t="str">
        <f>IF(B34="","",IFERROR(INDEX(Trabajadores!$B$5:$B$204,MATCH(B34,Trabajadores!$A$5:$A$204,0)),"Cédula no registrada"))</f>
        <v/>
      </c>
      <c r="D34" s="11"/>
      <c r="E34" s="11"/>
      <c r="F34" s="8"/>
      <c r="G34" s="18" t="str">
        <f>IF(A34="","",IFERROR(INDEX(Trabajadores!$E$5:$E$204,MATCH(B34,Trabajadores!$A$5:$A$204,0))/Parámetros!$B$6,0)+IF(IFERROR(INDEX(Trabajadores!$E$5:$E$204,MATCH(B34,Trabajadores!$A$5:$A$204,0)),"")="",Parámetros!$B$7,0))</f>
        <v/>
      </c>
      <c r="H34" s="5" t="str">
        <f t="shared" si="0"/>
        <v/>
      </c>
      <c r="I34" s="5" t="str">
        <f>IF(A34="","",IF(COUNTIF(Festivos!$A$5:$A$451,A34)&gt;0,"Festivo",IF(WEEKDAY(A34,2)=7,"Domingo",IF(AND(AF34=1,AC34&gt;1),IF(COUNTIF(Festivos!$A$5:$A$451,A34+1)&gt;0,"Festivo","Domingo")&amp;" desde las 00:00",""))))</f>
        <v/>
      </c>
      <c r="J34" s="19" t="str">
        <f t="shared" si="1"/>
        <v/>
      </c>
      <c r="K34" s="19" t="str">
        <f t="shared" si="2"/>
        <v/>
      </c>
      <c r="L34" s="19" t="str">
        <f t="shared" si="3"/>
        <v/>
      </c>
      <c r="M34" s="19" t="str">
        <f t="shared" si="4"/>
        <v/>
      </c>
      <c r="N34" s="19" t="str">
        <f t="shared" si="5"/>
        <v/>
      </c>
      <c r="O34" s="19" t="str">
        <f t="shared" si="6"/>
        <v/>
      </c>
      <c r="P34" s="19" t="str">
        <f t="shared" si="7"/>
        <v/>
      </c>
      <c r="Q34" s="19" t="str">
        <f t="shared" si="8"/>
        <v/>
      </c>
      <c r="R34" s="19" t="str">
        <f t="shared" si="9"/>
        <v/>
      </c>
      <c r="S34" s="17" t="str">
        <f>IF(B34="","",IFERROR(INDEX(Trabajadores!$G$5:$G$204,MATCH(B34,Trabajadores!$A$5:$A$204,0)),""))</f>
        <v/>
      </c>
      <c r="T34" s="17" t="str">
        <f>IF(OR(OR(A34="",D34="",E34=""),S34=""),"",ROUND(S34*(N(L34)*Parámetros!$B$8+N(M34)*(1+Parámetros!$B$9)+N(N34)*(1+Parámetros!$B$10)+N(O34)*(1+AG34)+N(P34)*(1+AG34+Parámetros!$B$8)+N(Q34)*(1+AG34+Parámetros!$B$9)+N(R34)*(1+AG34+Parámetros!$B$10)),0))</f>
        <v/>
      </c>
      <c r="U34" s="5" t="str">
        <f>IF(OR(A34="",D34="",E34=""),"",IF(N(M34)+N(N34)+N(Q34)+N(R34)&gt;Parámetros!$B$12,"Supera el límite de horas extras diarias",IF(C34="Cédula no registrada","Registre la cédula en «Trabajadores»","")))</f>
        <v/>
      </c>
      <c r="X34" s="20">
        <f t="shared" si="10"/>
        <v>0</v>
      </c>
      <c r="Y34" s="20">
        <f t="shared" si="11"/>
        <v>0</v>
      </c>
      <c r="Z34" s="20">
        <f t="shared" si="12"/>
        <v>0</v>
      </c>
      <c r="AA34" s="20">
        <f t="shared" si="13"/>
        <v>0</v>
      </c>
      <c r="AB34" s="20">
        <f t="shared" si="14"/>
        <v>0</v>
      </c>
      <c r="AC34" s="20">
        <f t="shared" si="15"/>
        <v>0</v>
      </c>
      <c r="AD34" s="20">
        <f>IF(A34="",21/24,MOD(VLOOKUP(A34,Parámetros!$A$24:$B$25,2,TRUE()),1))</f>
        <v>0.875</v>
      </c>
      <c r="AE34" s="5">
        <f>IF(A34="",0,IF(OR(WEEKDAY(A34,2)=7,COUNTIF(Festivos!$A$5:$A$451,A34)&gt;0),1,0))</f>
        <v>0</v>
      </c>
      <c r="AF34" s="5">
        <f>IF(A34="",0,IF(OR(WEEKDAY(A34+1,2)=7,COUNTIF(Festivos!$A$5:$A$451,A34+1)&gt;0),1,0))</f>
        <v>0</v>
      </c>
      <c r="AG34" s="9">
        <f>IF(A34="",0,VLOOKUP(A34,Parámetros!$A$18:$B$21,2,TRUE()))</f>
        <v>0</v>
      </c>
      <c r="AH34" s="20">
        <f t="shared" si="16"/>
        <v>0</v>
      </c>
      <c r="AI34" s="20">
        <f>MAX(0,MIN(AB34,Parámetros!$B$11)-MAX(X34,0))+MAX(0,MIN(AB34,1+Parámetros!$B$11)-MAX(X34,AD34))+MAX(0,MIN(AB34,2)-MAX(X34,1+AD34))</f>
        <v>0</v>
      </c>
      <c r="AJ34" s="20">
        <f t="shared" si="17"/>
        <v>0</v>
      </c>
      <c r="AK34" s="20">
        <f>AE34*(MAX(0,MIN(AB34,Parámetros!$B$11)-MAX(X34,0))+MAX(0,MIN(AB34,1)-MAX(X34,AD34)))+AF34*(MAX(0,MIN(AB34,1+Parámetros!$B$11)-MAX(X34,1))+MAX(0,MIN(AB34,2)-MAX(X34,1+AD34)))</f>
        <v>0</v>
      </c>
      <c r="AL34" s="20">
        <f t="shared" si="18"/>
        <v>0</v>
      </c>
      <c r="AM34" s="20">
        <f>MAX(0,MIN(AC34,Parámetros!$B$11)-MAX(AB34,0))+MAX(0,MIN(AC34,1+Parámetros!$B$11)-MAX(AB34,AD34))+MAX(0,MIN(AC34,2)-MAX(AB34,1+AD34))</f>
        <v>0</v>
      </c>
      <c r="AN34" s="20">
        <f t="shared" si="19"/>
        <v>0</v>
      </c>
      <c r="AO34" s="20">
        <f>AE34*(MAX(0,MIN(AC34,Parámetros!$B$11)-MAX(AB34,0))+MAX(0,MIN(AC34,1)-MAX(AB34,AD34)))+AF34*(MAX(0,MIN(AC34,1+Parámetros!$B$11)-MAX(AB34,1))+MAX(0,MIN(AC34,2)-MAX(AB34,1+AD34)))</f>
        <v>0</v>
      </c>
    </row>
    <row r="35" spans="1:41" x14ac:dyDescent="0.25">
      <c r="A35" s="15"/>
      <c r="B35" s="8"/>
      <c r="C35" s="5" t="str">
        <f>IF(B35="","",IFERROR(INDEX(Trabajadores!$B$5:$B$204,MATCH(B35,Trabajadores!$A$5:$A$204,0)),"Cédula no registrada"))</f>
        <v/>
      </c>
      <c r="D35" s="11"/>
      <c r="E35" s="11"/>
      <c r="F35" s="8"/>
      <c r="G35" s="18" t="str">
        <f>IF(A35="","",IFERROR(INDEX(Trabajadores!$E$5:$E$204,MATCH(B35,Trabajadores!$A$5:$A$204,0))/Parámetros!$B$6,0)+IF(IFERROR(INDEX(Trabajadores!$E$5:$E$204,MATCH(B35,Trabajadores!$A$5:$A$204,0)),"")="",Parámetros!$B$7,0))</f>
        <v/>
      </c>
      <c r="H35" s="5" t="str">
        <f t="shared" si="0"/>
        <v/>
      </c>
      <c r="I35" s="5" t="str">
        <f>IF(A35="","",IF(COUNTIF(Festivos!$A$5:$A$451,A35)&gt;0,"Festivo",IF(WEEKDAY(A35,2)=7,"Domingo",IF(AND(AF35=1,AC35&gt;1),IF(COUNTIF(Festivos!$A$5:$A$451,A35+1)&gt;0,"Festivo","Domingo")&amp;" desde las 00:00",""))))</f>
        <v/>
      </c>
      <c r="J35" s="19" t="str">
        <f t="shared" si="1"/>
        <v/>
      </c>
      <c r="K35" s="19" t="str">
        <f t="shared" si="2"/>
        <v/>
      </c>
      <c r="L35" s="19" t="str">
        <f t="shared" si="3"/>
        <v/>
      </c>
      <c r="M35" s="19" t="str">
        <f t="shared" si="4"/>
        <v/>
      </c>
      <c r="N35" s="19" t="str">
        <f t="shared" si="5"/>
        <v/>
      </c>
      <c r="O35" s="19" t="str">
        <f t="shared" si="6"/>
        <v/>
      </c>
      <c r="P35" s="19" t="str">
        <f t="shared" si="7"/>
        <v/>
      </c>
      <c r="Q35" s="19" t="str">
        <f t="shared" si="8"/>
        <v/>
      </c>
      <c r="R35" s="19" t="str">
        <f t="shared" si="9"/>
        <v/>
      </c>
      <c r="S35" s="17" t="str">
        <f>IF(B35="","",IFERROR(INDEX(Trabajadores!$G$5:$G$204,MATCH(B35,Trabajadores!$A$5:$A$204,0)),""))</f>
        <v/>
      </c>
      <c r="T35" s="17" t="str">
        <f>IF(OR(OR(A35="",D35="",E35=""),S35=""),"",ROUND(S35*(N(L35)*Parámetros!$B$8+N(M35)*(1+Parámetros!$B$9)+N(N35)*(1+Parámetros!$B$10)+N(O35)*(1+AG35)+N(P35)*(1+AG35+Parámetros!$B$8)+N(Q35)*(1+AG35+Parámetros!$B$9)+N(R35)*(1+AG35+Parámetros!$B$10)),0))</f>
        <v/>
      </c>
      <c r="U35" s="5" t="str">
        <f>IF(OR(A35="",D35="",E35=""),"",IF(N(M35)+N(N35)+N(Q35)+N(R35)&gt;Parámetros!$B$12,"Supera el límite de horas extras diarias",IF(C35="Cédula no registrada","Registre la cédula en «Trabajadores»","")))</f>
        <v/>
      </c>
      <c r="X35" s="20">
        <f t="shared" si="10"/>
        <v>0</v>
      </c>
      <c r="Y35" s="20">
        <f t="shared" si="11"/>
        <v>0</v>
      </c>
      <c r="Z35" s="20">
        <f t="shared" si="12"/>
        <v>0</v>
      </c>
      <c r="AA35" s="20">
        <f t="shared" si="13"/>
        <v>0</v>
      </c>
      <c r="AB35" s="20">
        <f t="shared" si="14"/>
        <v>0</v>
      </c>
      <c r="AC35" s="20">
        <f t="shared" si="15"/>
        <v>0</v>
      </c>
      <c r="AD35" s="20">
        <f>IF(A35="",21/24,MOD(VLOOKUP(A35,Parámetros!$A$24:$B$25,2,TRUE()),1))</f>
        <v>0.875</v>
      </c>
      <c r="AE35" s="5">
        <f>IF(A35="",0,IF(OR(WEEKDAY(A35,2)=7,COUNTIF(Festivos!$A$5:$A$451,A35)&gt;0),1,0))</f>
        <v>0</v>
      </c>
      <c r="AF35" s="5">
        <f>IF(A35="",0,IF(OR(WEEKDAY(A35+1,2)=7,COUNTIF(Festivos!$A$5:$A$451,A35+1)&gt;0),1,0))</f>
        <v>0</v>
      </c>
      <c r="AG35" s="9">
        <f>IF(A35="",0,VLOOKUP(A35,Parámetros!$A$18:$B$21,2,TRUE()))</f>
        <v>0</v>
      </c>
      <c r="AH35" s="20">
        <f t="shared" si="16"/>
        <v>0</v>
      </c>
      <c r="AI35" s="20">
        <f>MAX(0,MIN(AB35,Parámetros!$B$11)-MAX(X35,0))+MAX(0,MIN(AB35,1+Parámetros!$B$11)-MAX(X35,AD35))+MAX(0,MIN(AB35,2)-MAX(X35,1+AD35))</f>
        <v>0</v>
      </c>
      <c r="AJ35" s="20">
        <f t="shared" si="17"/>
        <v>0</v>
      </c>
      <c r="AK35" s="20">
        <f>AE35*(MAX(0,MIN(AB35,Parámetros!$B$11)-MAX(X35,0))+MAX(0,MIN(AB35,1)-MAX(X35,AD35)))+AF35*(MAX(0,MIN(AB35,1+Parámetros!$B$11)-MAX(X35,1))+MAX(0,MIN(AB35,2)-MAX(X35,1+AD35)))</f>
        <v>0</v>
      </c>
      <c r="AL35" s="20">
        <f t="shared" si="18"/>
        <v>0</v>
      </c>
      <c r="AM35" s="20">
        <f>MAX(0,MIN(AC35,Parámetros!$B$11)-MAX(AB35,0))+MAX(0,MIN(AC35,1+Parámetros!$B$11)-MAX(AB35,AD35))+MAX(0,MIN(AC35,2)-MAX(AB35,1+AD35))</f>
        <v>0</v>
      </c>
      <c r="AN35" s="20">
        <f t="shared" si="19"/>
        <v>0</v>
      </c>
      <c r="AO35" s="20">
        <f>AE35*(MAX(0,MIN(AC35,Parámetros!$B$11)-MAX(AB35,0))+MAX(0,MIN(AC35,1)-MAX(AB35,AD35)))+AF35*(MAX(0,MIN(AC35,1+Parámetros!$B$11)-MAX(AB35,1))+MAX(0,MIN(AC35,2)-MAX(AB35,1+AD35)))</f>
        <v>0</v>
      </c>
    </row>
    <row r="36" spans="1:41" x14ac:dyDescent="0.25">
      <c r="A36" s="15"/>
      <c r="B36" s="8"/>
      <c r="C36" s="5" t="str">
        <f>IF(B36="","",IFERROR(INDEX(Trabajadores!$B$5:$B$204,MATCH(B36,Trabajadores!$A$5:$A$204,0)),"Cédula no registrada"))</f>
        <v/>
      </c>
      <c r="D36" s="11"/>
      <c r="E36" s="11"/>
      <c r="F36" s="8"/>
      <c r="G36" s="18" t="str">
        <f>IF(A36="","",IFERROR(INDEX(Trabajadores!$E$5:$E$204,MATCH(B36,Trabajadores!$A$5:$A$204,0))/Parámetros!$B$6,0)+IF(IFERROR(INDEX(Trabajadores!$E$5:$E$204,MATCH(B36,Trabajadores!$A$5:$A$204,0)),"")="",Parámetros!$B$7,0))</f>
        <v/>
      </c>
      <c r="H36" s="5" t="str">
        <f t="shared" si="0"/>
        <v/>
      </c>
      <c r="I36" s="5" t="str">
        <f>IF(A36="","",IF(COUNTIF(Festivos!$A$5:$A$451,A36)&gt;0,"Festivo",IF(WEEKDAY(A36,2)=7,"Domingo",IF(AND(AF36=1,AC36&gt;1),IF(COUNTIF(Festivos!$A$5:$A$451,A36+1)&gt;0,"Festivo","Domingo")&amp;" desde las 00:00",""))))</f>
        <v/>
      </c>
      <c r="J36" s="19" t="str">
        <f t="shared" si="1"/>
        <v/>
      </c>
      <c r="K36" s="19" t="str">
        <f t="shared" si="2"/>
        <v/>
      </c>
      <c r="L36" s="19" t="str">
        <f t="shared" si="3"/>
        <v/>
      </c>
      <c r="M36" s="19" t="str">
        <f t="shared" si="4"/>
        <v/>
      </c>
      <c r="N36" s="19" t="str">
        <f t="shared" si="5"/>
        <v/>
      </c>
      <c r="O36" s="19" t="str">
        <f t="shared" si="6"/>
        <v/>
      </c>
      <c r="P36" s="19" t="str">
        <f t="shared" si="7"/>
        <v/>
      </c>
      <c r="Q36" s="19" t="str">
        <f t="shared" si="8"/>
        <v/>
      </c>
      <c r="R36" s="19" t="str">
        <f t="shared" si="9"/>
        <v/>
      </c>
      <c r="S36" s="17" t="str">
        <f>IF(B36="","",IFERROR(INDEX(Trabajadores!$G$5:$G$204,MATCH(B36,Trabajadores!$A$5:$A$204,0)),""))</f>
        <v/>
      </c>
      <c r="T36" s="17" t="str">
        <f>IF(OR(OR(A36="",D36="",E36=""),S36=""),"",ROUND(S36*(N(L36)*Parámetros!$B$8+N(M36)*(1+Parámetros!$B$9)+N(N36)*(1+Parámetros!$B$10)+N(O36)*(1+AG36)+N(P36)*(1+AG36+Parámetros!$B$8)+N(Q36)*(1+AG36+Parámetros!$B$9)+N(R36)*(1+AG36+Parámetros!$B$10)),0))</f>
        <v/>
      </c>
      <c r="U36" s="5" t="str">
        <f>IF(OR(A36="",D36="",E36=""),"",IF(N(M36)+N(N36)+N(Q36)+N(R36)&gt;Parámetros!$B$12,"Supera el límite de horas extras diarias",IF(C36="Cédula no registrada","Registre la cédula en «Trabajadores»","")))</f>
        <v/>
      </c>
      <c r="X36" s="20">
        <f t="shared" si="10"/>
        <v>0</v>
      </c>
      <c r="Y36" s="20">
        <f t="shared" si="11"/>
        <v>0</v>
      </c>
      <c r="Z36" s="20">
        <f t="shared" si="12"/>
        <v>0</v>
      </c>
      <c r="AA36" s="20">
        <f t="shared" si="13"/>
        <v>0</v>
      </c>
      <c r="AB36" s="20">
        <f t="shared" si="14"/>
        <v>0</v>
      </c>
      <c r="AC36" s="20">
        <f t="shared" si="15"/>
        <v>0</v>
      </c>
      <c r="AD36" s="20">
        <f>IF(A36="",21/24,MOD(VLOOKUP(A36,Parámetros!$A$24:$B$25,2,TRUE()),1))</f>
        <v>0.875</v>
      </c>
      <c r="AE36" s="5">
        <f>IF(A36="",0,IF(OR(WEEKDAY(A36,2)=7,COUNTIF(Festivos!$A$5:$A$451,A36)&gt;0),1,0))</f>
        <v>0</v>
      </c>
      <c r="AF36" s="5">
        <f>IF(A36="",0,IF(OR(WEEKDAY(A36+1,2)=7,COUNTIF(Festivos!$A$5:$A$451,A36+1)&gt;0),1,0))</f>
        <v>0</v>
      </c>
      <c r="AG36" s="9">
        <f>IF(A36="",0,VLOOKUP(A36,Parámetros!$A$18:$B$21,2,TRUE()))</f>
        <v>0</v>
      </c>
      <c r="AH36" s="20">
        <f t="shared" si="16"/>
        <v>0</v>
      </c>
      <c r="AI36" s="20">
        <f>MAX(0,MIN(AB36,Parámetros!$B$11)-MAX(X36,0))+MAX(0,MIN(AB36,1+Parámetros!$B$11)-MAX(X36,AD36))+MAX(0,MIN(AB36,2)-MAX(X36,1+AD36))</f>
        <v>0</v>
      </c>
      <c r="AJ36" s="20">
        <f t="shared" si="17"/>
        <v>0</v>
      </c>
      <c r="AK36" s="20">
        <f>AE36*(MAX(0,MIN(AB36,Parámetros!$B$11)-MAX(X36,0))+MAX(0,MIN(AB36,1)-MAX(X36,AD36)))+AF36*(MAX(0,MIN(AB36,1+Parámetros!$B$11)-MAX(X36,1))+MAX(0,MIN(AB36,2)-MAX(X36,1+AD36)))</f>
        <v>0</v>
      </c>
      <c r="AL36" s="20">
        <f t="shared" si="18"/>
        <v>0</v>
      </c>
      <c r="AM36" s="20">
        <f>MAX(0,MIN(AC36,Parámetros!$B$11)-MAX(AB36,0))+MAX(0,MIN(AC36,1+Parámetros!$B$11)-MAX(AB36,AD36))+MAX(0,MIN(AC36,2)-MAX(AB36,1+AD36))</f>
        <v>0</v>
      </c>
      <c r="AN36" s="20">
        <f t="shared" si="19"/>
        <v>0</v>
      </c>
      <c r="AO36" s="20">
        <f>AE36*(MAX(0,MIN(AC36,Parámetros!$B$11)-MAX(AB36,0))+MAX(0,MIN(AC36,1)-MAX(AB36,AD36)))+AF36*(MAX(0,MIN(AC36,1+Parámetros!$B$11)-MAX(AB36,1))+MAX(0,MIN(AC36,2)-MAX(AB36,1+AD36)))</f>
        <v>0</v>
      </c>
    </row>
    <row r="37" spans="1:41" x14ac:dyDescent="0.25">
      <c r="A37" s="15"/>
      <c r="B37" s="8"/>
      <c r="C37" s="5" t="str">
        <f>IF(B37="","",IFERROR(INDEX(Trabajadores!$B$5:$B$204,MATCH(B37,Trabajadores!$A$5:$A$204,0)),"Cédula no registrada"))</f>
        <v/>
      </c>
      <c r="D37" s="11"/>
      <c r="E37" s="11"/>
      <c r="F37" s="8"/>
      <c r="G37" s="18" t="str">
        <f>IF(A37="","",IFERROR(INDEX(Trabajadores!$E$5:$E$204,MATCH(B37,Trabajadores!$A$5:$A$204,0))/Parámetros!$B$6,0)+IF(IFERROR(INDEX(Trabajadores!$E$5:$E$204,MATCH(B37,Trabajadores!$A$5:$A$204,0)),"")="",Parámetros!$B$7,0))</f>
        <v/>
      </c>
      <c r="H37" s="5" t="str">
        <f t="shared" si="0"/>
        <v/>
      </c>
      <c r="I37" s="5" t="str">
        <f>IF(A37="","",IF(COUNTIF(Festivos!$A$5:$A$451,A37)&gt;0,"Festivo",IF(WEEKDAY(A37,2)=7,"Domingo",IF(AND(AF37=1,AC37&gt;1),IF(COUNTIF(Festivos!$A$5:$A$451,A37+1)&gt;0,"Festivo","Domingo")&amp;" desde las 00:00",""))))</f>
        <v/>
      </c>
      <c r="J37" s="19" t="str">
        <f t="shared" si="1"/>
        <v/>
      </c>
      <c r="K37" s="19" t="str">
        <f t="shared" si="2"/>
        <v/>
      </c>
      <c r="L37" s="19" t="str">
        <f t="shared" si="3"/>
        <v/>
      </c>
      <c r="M37" s="19" t="str">
        <f t="shared" si="4"/>
        <v/>
      </c>
      <c r="N37" s="19" t="str">
        <f t="shared" si="5"/>
        <v/>
      </c>
      <c r="O37" s="19" t="str">
        <f t="shared" si="6"/>
        <v/>
      </c>
      <c r="P37" s="19" t="str">
        <f t="shared" si="7"/>
        <v/>
      </c>
      <c r="Q37" s="19" t="str">
        <f t="shared" si="8"/>
        <v/>
      </c>
      <c r="R37" s="19" t="str">
        <f t="shared" si="9"/>
        <v/>
      </c>
      <c r="S37" s="17" t="str">
        <f>IF(B37="","",IFERROR(INDEX(Trabajadores!$G$5:$G$204,MATCH(B37,Trabajadores!$A$5:$A$204,0)),""))</f>
        <v/>
      </c>
      <c r="T37" s="17" t="str">
        <f>IF(OR(OR(A37="",D37="",E37=""),S37=""),"",ROUND(S37*(N(L37)*Parámetros!$B$8+N(M37)*(1+Parámetros!$B$9)+N(N37)*(1+Parámetros!$B$10)+N(O37)*(1+AG37)+N(P37)*(1+AG37+Parámetros!$B$8)+N(Q37)*(1+AG37+Parámetros!$B$9)+N(R37)*(1+AG37+Parámetros!$B$10)),0))</f>
        <v/>
      </c>
      <c r="U37" s="5" t="str">
        <f>IF(OR(A37="",D37="",E37=""),"",IF(N(M37)+N(N37)+N(Q37)+N(R37)&gt;Parámetros!$B$12,"Supera el límite de horas extras diarias",IF(C37="Cédula no registrada","Registre la cédula en «Trabajadores»","")))</f>
        <v/>
      </c>
      <c r="X37" s="20">
        <f t="shared" si="10"/>
        <v>0</v>
      </c>
      <c r="Y37" s="20">
        <f t="shared" si="11"/>
        <v>0</v>
      </c>
      <c r="Z37" s="20">
        <f t="shared" si="12"/>
        <v>0</v>
      </c>
      <c r="AA37" s="20">
        <f t="shared" si="13"/>
        <v>0</v>
      </c>
      <c r="AB37" s="20">
        <f t="shared" si="14"/>
        <v>0</v>
      </c>
      <c r="AC37" s="20">
        <f t="shared" si="15"/>
        <v>0</v>
      </c>
      <c r="AD37" s="20">
        <f>IF(A37="",21/24,MOD(VLOOKUP(A37,Parámetros!$A$24:$B$25,2,TRUE()),1))</f>
        <v>0.875</v>
      </c>
      <c r="AE37" s="5">
        <f>IF(A37="",0,IF(OR(WEEKDAY(A37,2)=7,COUNTIF(Festivos!$A$5:$A$451,A37)&gt;0),1,0))</f>
        <v>0</v>
      </c>
      <c r="AF37" s="5">
        <f>IF(A37="",0,IF(OR(WEEKDAY(A37+1,2)=7,COUNTIF(Festivos!$A$5:$A$451,A37+1)&gt;0),1,0))</f>
        <v>0</v>
      </c>
      <c r="AG37" s="9">
        <f>IF(A37="",0,VLOOKUP(A37,Parámetros!$A$18:$B$21,2,TRUE()))</f>
        <v>0</v>
      </c>
      <c r="AH37" s="20">
        <f t="shared" si="16"/>
        <v>0</v>
      </c>
      <c r="AI37" s="20">
        <f>MAX(0,MIN(AB37,Parámetros!$B$11)-MAX(X37,0))+MAX(0,MIN(AB37,1+Parámetros!$B$11)-MAX(X37,AD37))+MAX(0,MIN(AB37,2)-MAX(X37,1+AD37))</f>
        <v>0</v>
      </c>
      <c r="AJ37" s="20">
        <f t="shared" si="17"/>
        <v>0</v>
      </c>
      <c r="AK37" s="20">
        <f>AE37*(MAX(0,MIN(AB37,Parámetros!$B$11)-MAX(X37,0))+MAX(0,MIN(AB37,1)-MAX(X37,AD37)))+AF37*(MAX(0,MIN(AB37,1+Parámetros!$B$11)-MAX(X37,1))+MAX(0,MIN(AB37,2)-MAX(X37,1+AD37)))</f>
        <v>0</v>
      </c>
      <c r="AL37" s="20">
        <f t="shared" si="18"/>
        <v>0</v>
      </c>
      <c r="AM37" s="20">
        <f>MAX(0,MIN(AC37,Parámetros!$B$11)-MAX(AB37,0))+MAX(0,MIN(AC37,1+Parámetros!$B$11)-MAX(AB37,AD37))+MAX(0,MIN(AC37,2)-MAX(AB37,1+AD37))</f>
        <v>0</v>
      </c>
      <c r="AN37" s="20">
        <f t="shared" si="19"/>
        <v>0</v>
      </c>
      <c r="AO37" s="20">
        <f>AE37*(MAX(0,MIN(AC37,Parámetros!$B$11)-MAX(AB37,0))+MAX(0,MIN(AC37,1)-MAX(AB37,AD37)))+AF37*(MAX(0,MIN(AC37,1+Parámetros!$B$11)-MAX(AB37,1))+MAX(0,MIN(AC37,2)-MAX(AB37,1+AD37)))</f>
        <v>0</v>
      </c>
    </row>
    <row r="38" spans="1:41" x14ac:dyDescent="0.25">
      <c r="A38" s="15"/>
      <c r="B38" s="8"/>
      <c r="C38" s="5" t="str">
        <f>IF(B38="","",IFERROR(INDEX(Trabajadores!$B$5:$B$204,MATCH(B38,Trabajadores!$A$5:$A$204,0)),"Cédula no registrada"))</f>
        <v/>
      </c>
      <c r="D38" s="11"/>
      <c r="E38" s="11"/>
      <c r="F38" s="8"/>
      <c r="G38" s="18" t="str">
        <f>IF(A38="","",IFERROR(INDEX(Trabajadores!$E$5:$E$204,MATCH(B38,Trabajadores!$A$5:$A$204,0))/Parámetros!$B$6,0)+IF(IFERROR(INDEX(Trabajadores!$E$5:$E$204,MATCH(B38,Trabajadores!$A$5:$A$204,0)),"")="",Parámetros!$B$7,0))</f>
        <v/>
      </c>
      <c r="H38" s="5" t="str">
        <f t="shared" si="0"/>
        <v/>
      </c>
      <c r="I38" s="5" t="str">
        <f>IF(A38="","",IF(COUNTIF(Festivos!$A$5:$A$451,A38)&gt;0,"Festivo",IF(WEEKDAY(A38,2)=7,"Domingo",IF(AND(AF38=1,AC38&gt;1),IF(COUNTIF(Festivos!$A$5:$A$451,A38+1)&gt;0,"Festivo","Domingo")&amp;" desde las 00:00",""))))</f>
        <v/>
      </c>
      <c r="J38" s="19" t="str">
        <f t="shared" si="1"/>
        <v/>
      </c>
      <c r="K38" s="19" t="str">
        <f t="shared" si="2"/>
        <v/>
      </c>
      <c r="L38" s="19" t="str">
        <f t="shared" si="3"/>
        <v/>
      </c>
      <c r="M38" s="19" t="str">
        <f t="shared" si="4"/>
        <v/>
      </c>
      <c r="N38" s="19" t="str">
        <f t="shared" si="5"/>
        <v/>
      </c>
      <c r="O38" s="19" t="str">
        <f t="shared" si="6"/>
        <v/>
      </c>
      <c r="P38" s="19" t="str">
        <f t="shared" si="7"/>
        <v/>
      </c>
      <c r="Q38" s="19" t="str">
        <f t="shared" si="8"/>
        <v/>
      </c>
      <c r="R38" s="19" t="str">
        <f t="shared" si="9"/>
        <v/>
      </c>
      <c r="S38" s="17" t="str">
        <f>IF(B38="","",IFERROR(INDEX(Trabajadores!$G$5:$G$204,MATCH(B38,Trabajadores!$A$5:$A$204,0)),""))</f>
        <v/>
      </c>
      <c r="T38" s="17" t="str">
        <f>IF(OR(OR(A38="",D38="",E38=""),S38=""),"",ROUND(S38*(N(L38)*Parámetros!$B$8+N(M38)*(1+Parámetros!$B$9)+N(N38)*(1+Parámetros!$B$10)+N(O38)*(1+AG38)+N(P38)*(1+AG38+Parámetros!$B$8)+N(Q38)*(1+AG38+Parámetros!$B$9)+N(R38)*(1+AG38+Parámetros!$B$10)),0))</f>
        <v/>
      </c>
      <c r="U38" s="5" t="str">
        <f>IF(OR(A38="",D38="",E38=""),"",IF(N(M38)+N(N38)+N(Q38)+N(R38)&gt;Parámetros!$B$12,"Supera el límite de horas extras diarias",IF(C38="Cédula no registrada","Registre la cédula en «Trabajadores»","")))</f>
        <v/>
      </c>
      <c r="X38" s="20">
        <f t="shared" si="10"/>
        <v>0</v>
      </c>
      <c r="Y38" s="20">
        <f t="shared" si="11"/>
        <v>0</v>
      </c>
      <c r="Z38" s="20">
        <f t="shared" si="12"/>
        <v>0</v>
      </c>
      <c r="AA38" s="20">
        <f t="shared" si="13"/>
        <v>0</v>
      </c>
      <c r="AB38" s="20">
        <f t="shared" si="14"/>
        <v>0</v>
      </c>
      <c r="AC38" s="20">
        <f t="shared" si="15"/>
        <v>0</v>
      </c>
      <c r="AD38" s="20">
        <f>IF(A38="",21/24,MOD(VLOOKUP(A38,Parámetros!$A$24:$B$25,2,TRUE()),1))</f>
        <v>0.875</v>
      </c>
      <c r="AE38" s="5">
        <f>IF(A38="",0,IF(OR(WEEKDAY(A38,2)=7,COUNTIF(Festivos!$A$5:$A$451,A38)&gt;0),1,0))</f>
        <v>0</v>
      </c>
      <c r="AF38" s="5">
        <f>IF(A38="",0,IF(OR(WEEKDAY(A38+1,2)=7,COUNTIF(Festivos!$A$5:$A$451,A38+1)&gt;0),1,0))</f>
        <v>0</v>
      </c>
      <c r="AG38" s="9">
        <f>IF(A38="",0,VLOOKUP(A38,Parámetros!$A$18:$B$21,2,TRUE()))</f>
        <v>0</v>
      </c>
      <c r="AH38" s="20">
        <f t="shared" si="16"/>
        <v>0</v>
      </c>
      <c r="AI38" s="20">
        <f>MAX(0,MIN(AB38,Parámetros!$B$11)-MAX(X38,0))+MAX(0,MIN(AB38,1+Parámetros!$B$11)-MAX(X38,AD38))+MAX(0,MIN(AB38,2)-MAX(X38,1+AD38))</f>
        <v>0</v>
      </c>
      <c r="AJ38" s="20">
        <f t="shared" si="17"/>
        <v>0</v>
      </c>
      <c r="AK38" s="20">
        <f>AE38*(MAX(0,MIN(AB38,Parámetros!$B$11)-MAX(X38,0))+MAX(0,MIN(AB38,1)-MAX(X38,AD38)))+AF38*(MAX(0,MIN(AB38,1+Parámetros!$B$11)-MAX(X38,1))+MAX(0,MIN(AB38,2)-MAX(X38,1+AD38)))</f>
        <v>0</v>
      </c>
      <c r="AL38" s="20">
        <f t="shared" si="18"/>
        <v>0</v>
      </c>
      <c r="AM38" s="20">
        <f>MAX(0,MIN(AC38,Parámetros!$B$11)-MAX(AB38,0))+MAX(0,MIN(AC38,1+Parámetros!$B$11)-MAX(AB38,AD38))+MAX(0,MIN(AC38,2)-MAX(AB38,1+AD38))</f>
        <v>0</v>
      </c>
      <c r="AN38" s="20">
        <f t="shared" si="19"/>
        <v>0</v>
      </c>
      <c r="AO38" s="20">
        <f>AE38*(MAX(0,MIN(AC38,Parámetros!$B$11)-MAX(AB38,0))+MAX(0,MIN(AC38,1)-MAX(AB38,AD38)))+AF38*(MAX(0,MIN(AC38,1+Parámetros!$B$11)-MAX(AB38,1))+MAX(0,MIN(AC38,2)-MAX(AB38,1+AD38)))</f>
        <v>0</v>
      </c>
    </row>
    <row r="39" spans="1:41" x14ac:dyDescent="0.25">
      <c r="A39" s="15"/>
      <c r="B39" s="8"/>
      <c r="C39" s="5" t="str">
        <f>IF(B39="","",IFERROR(INDEX(Trabajadores!$B$5:$B$204,MATCH(B39,Trabajadores!$A$5:$A$204,0)),"Cédula no registrada"))</f>
        <v/>
      </c>
      <c r="D39" s="11"/>
      <c r="E39" s="11"/>
      <c r="F39" s="8"/>
      <c r="G39" s="18" t="str">
        <f>IF(A39="","",IFERROR(INDEX(Trabajadores!$E$5:$E$204,MATCH(B39,Trabajadores!$A$5:$A$204,0))/Parámetros!$B$6,0)+IF(IFERROR(INDEX(Trabajadores!$E$5:$E$204,MATCH(B39,Trabajadores!$A$5:$A$204,0)),"")="",Parámetros!$B$7,0))</f>
        <v/>
      </c>
      <c r="H39" s="5" t="str">
        <f t="shared" si="0"/>
        <v/>
      </c>
      <c r="I39" s="5" t="str">
        <f>IF(A39="","",IF(COUNTIF(Festivos!$A$5:$A$451,A39)&gt;0,"Festivo",IF(WEEKDAY(A39,2)=7,"Domingo",IF(AND(AF39=1,AC39&gt;1),IF(COUNTIF(Festivos!$A$5:$A$451,A39+1)&gt;0,"Festivo","Domingo")&amp;" desde las 00:00",""))))</f>
        <v/>
      </c>
      <c r="J39" s="19" t="str">
        <f t="shared" si="1"/>
        <v/>
      </c>
      <c r="K39" s="19" t="str">
        <f t="shared" si="2"/>
        <v/>
      </c>
      <c r="L39" s="19" t="str">
        <f t="shared" si="3"/>
        <v/>
      </c>
      <c r="M39" s="19" t="str">
        <f t="shared" si="4"/>
        <v/>
      </c>
      <c r="N39" s="19" t="str">
        <f t="shared" si="5"/>
        <v/>
      </c>
      <c r="O39" s="19" t="str">
        <f t="shared" si="6"/>
        <v/>
      </c>
      <c r="P39" s="19" t="str">
        <f t="shared" si="7"/>
        <v/>
      </c>
      <c r="Q39" s="19" t="str">
        <f t="shared" si="8"/>
        <v/>
      </c>
      <c r="R39" s="19" t="str">
        <f t="shared" si="9"/>
        <v/>
      </c>
      <c r="S39" s="17" t="str">
        <f>IF(B39="","",IFERROR(INDEX(Trabajadores!$G$5:$G$204,MATCH(B39,Trabajadores!$A$5:$A$204,0)),""))</f>
        <v/>
      </c>
      <c r="T39" s="17" t="str">
        <f>IF(OR(OR(A39="",D39="",E39=""),S39=""),"",ROUND(S39*(N(L39)*Parámetros!$B$8+N(M39)*(1+Parámetros!$B$9)+N(N39)*(1+Parámetros!$B$10)+N(O39)*(1+AG39)+N(P39)*(1+AG39+Parámetros!$B$8)+N(Q39)*(1+AG39+Parámetros!$B$9)+N(R39)*(1+AG39+Parámetros!$B$10)),0))</f>
        <v/>
      </c>
      <c r="U39" s="5" t="str">
        <f>IF(OR(A39="",D39="",E39=""),"",IF(N(M39)+N(N39)+N(Q39)+N(R39)&gt;Parámetros!$B$12,"Supera el límite de horas extras diarias",IF(C39="Cédula no registrada","Registre la cédula en «Trabajadores»","")))</f>
        <v/>
      </c>
      <c r="X39" s="20">
        <f t="shared" si="10"/>
        <v>0</v>
      </c>
      <c r="Y39" s="20">
        <f t="shared" si="11"/>
        <v>0</v>
      </c>
      <c r="Z39" s="20">
        <f t="shared" si="12"/>
        <v>0</v>
      </c>
      <c r="AA39" s="20">
        <f t="shared" si="13"/>
        <v>0</v>
      </c>
      <c r="AB39" s="20">
        <f t="shared" si="14"/>
        <v>0</v>
      </c>
      <c r="AC39" s="20">
        <f t="shared" si="15"/>
        <v>0</v>
      </c>
      <c r="AD39" s="20">
        <f>IF(A39="",21/24,MOD(VLOOKUP(A39,Parámetros!$A$24:$B$25,2,TRUE()),1))</f>
        <v>0.875</v>
      </c>
      <c r="AE39" s="5">
        <f>IF(A39="",0,IF(OR(WEEKDAY(A39,2)=7,COUNTIF(Festivos!$A$5:$A$451,A39)&gt;0),1,0))</f>
        <v>0</v>
      </c>
      <c r="AF39" s="5">
        <f>IF(A39="",0,IF(OR(WEEKDAY(A39+1,2)=7,COUNTIF(Festivos!$A$5:$A$451,A39+1)&gt;0),1,0))</f>
        <v>0</v>
      </c>
      <c r="AG39" s="9">
        <f>IF(A39="",0,VLOOKUP(A39,Parámetros!$A$18:$B$21,2,TRUE()))</f>
        <v>0</v>
      </c>
      <c r="AH39" s="20">
        <f t="shared" si="16"/>
        <v>0</v>
      </c>
      <c r="AI39" s="20">
        <f>MAX(0,MIN(AB39,Parámetros!$B$11)-MAX(X39,0))+MAX(0,MIN(AB39,1+Parámetros!$B$11)-MAX(X39,AD39))+MAX(0,MIN(AB39,2)-MAX(X39,1+AD39))</f>
        <v>0</v>
      </c>
      <c r="AJ39" s="20">
        <f t="shared" si="17"/>
        <v>0</v>
      </c>
      <c r="AK39" s="20">
        <f>AE39*(MAX(0,MIN(AB39,Parámetros!$B$11)-MAX(X39,0))+MAX(0,MIN(AB39,1)-MAX(X39,AD39)))+AF39*(MAX(0,MIN(AB39,1+Parámetros!$B$11)-MAX(X39,1))+MAX(0,MIN(AB39,2)-MAX(X39,1+AD39)))</f>
        <v>0</v>
      </c>
      <c r="AL39" s="20">
        <f t="shared" si="18"/>
        <v>0</v>
      </c>
      <c r="AM39" s="20">
        <f>MAX(0,MIN(AC39,Parámetros!$B$11)-MAX(AB39,0))+MAX(0,MIN(AC39,1+Parámetros!$B$11)-MAX(AB39,AD39))+MAX(0,MIN(AC39,2)-MAX(AB39,1+AD39))</f>
        <v>0</v>
      </c>
      <c r="AN39" s="20">
        <f t="shared" si="19"/>
        <v>0</v>
      </c>
      <c r="AO39" s="20">
        <f>AE39*(MAX(0,MIN(AC39,Parámetros!$B$11)-MAX(AB39,0))+MAX(0,MIN(AC39,1)-MAX(AB39,AD39)))+AF39*(MAX(0,MIN(AC39,1+Parámetros!$B$11)-MAX(AB39,1))+MAX(0,MIN(AC39,2)-MAX(AB39,1+AD39)))</f>
        <v>0</v>
      </c>
    </row>
    <row r="40" spans="1:41" x14ac:dyDescent="0.25">
      <c r="A40" s="15"/>
      <c r="B40" s="8"/>
      <c r="C40" s="5" t="str">
        <f>IF(B40="","",IFERROR(INDEX(Trabajadores!$B$5:$B$204,MATCH(B40,Trabajadores!$A$5:$A$204,0)),"Cédula no registrada"))</f>
        <v/>
      </c>
      <c r="D40" s="11"/>
      <c r="E40" s="11"/>
      <c r="F40" s="8"/>
      <c r="G40" s="18" t="str">
        <f>IF(A40="","",IFERROR(INDEX(Trabajadores!$E$5:$E$204,MATCH(B40,Trabajadores!$A$5:$A$204,0))/Parámetros!$B$6,0)+IF(IFERROR(INDEX(Trabajadores!$E$5:$E$204,MATCH(B40,Trabajadores!$A$5:$A$204,0)),"")="",Parámetros!$B$7,0))</f>
        <v/>
      </c>
      <c r="H40" s="5" t="str">
        <f t="shared" si="0"/>
        <v/>
      </c>
      <c r="I40" s="5" t="str">
        <f>IF(A40="","",IF(COUNTIF(Festivos!$A$5:$A$451,A40)&gt;0,"Festivo",IF(WEEKDAY(A40,2)=7,"Domingo",IF(AND(AF40=1,AC40&gt;1),IF(COUNTIF(Festivos!$A$5:$A$451,A40+1)&gt;0,"Festivo","Domingo")&amp;" desde las 00:00",""))))</f>
        <v/>
      </c>
      <c r="J40" s="19" t="str">
        <f t="shared" si="1"/>
        <v/>
      </c>
      <c r="K40" s="19" t="str">
        <f t="shared" si="2"/>
        <v/>
      </c>
      <c r="L40" s="19" t="str">
        <f t="shared" si="3"/>
        <v/>
      </c>
      <c r="M40" s="19" t="str">
        <f t="shared" si="4"/>
        <v/>
      </c>
      <c r="N40" s="19" t="str">
        <f t="shared" si="5"/>
        <v/>
      </c>
      <c r="O40" s="19" t="str">
        <f t="shared" si="6"/>
        <v/>
      </c>
      <c r="P40" s="19" t="str">
        <f t="shared" si="7"/>
        <v/>
      </c>
      <c r="Q40" s="19" t="str">
        <f t="shared" si="8"/>
        <v/>
      </c>
      <c r="R40" s="19" t="str">
        <f t="shared" si="9"/>
        <v/>
      </c>
      <c r="S40" s="17" t="str">
        <f>IF(B40="","",IFERROR(INDEX(Trabajadores!$G$5:$G$204,MATCH(B40,Trabajadores!$A$5:$A$204,0)),""))</f>
        <v/>
      </c>
      <c r="T40" s="17" t="str">
        <f>IF(OR(OR(A40="",D40="",E40=""),S40=""),"",ROUND(S40*(N(L40)*Parámetros!$B$8+N(M40)*(1+Parámetros!$B$9)+N(N40)*(1+Parámetros!$B$10)+N(O40)*(1+AG40)+N(P40)*(1+AG40+Parámetros!$B$8)+N(Q40)*(1+AG40+Parámetros!$B$9)+N(R40)*(1+AG40+Parámetros!$B$10)),0))</f>
        <v/>
      </c>
      <c r="U40" s="5" t="str">
        <f>IF(OR(A40="",D40="",E40=""),"",IF(N(M40)+N(N40)+N(Q40)+N(R40)&gt;Parámetros!$B$12,"Supera el límite de horas extras diarias",IF(C40="Cédula no registrada","Registre la cédula en «Trabajadores»","")))</f>
        <v/>
      </c>
      <c r="X40" s="20">
        <f t="shared" si="10"/>
        <v>0</v>
      </c>
      <c r="Y40" s="20">
        <f t="shared" si="11"/>
        <v>0</v>
      </c>
      <c r="Z40" s="20">
        <f t="shared" si="12"/>
        <v>0</v>
      </c>
      <c r="AA40" s="20">
        <f t="shared" si="13"/>
        <v>0</v>
      </c>
      <c r="AB40" s="20">
        <f t="shared" si="14"/>
        <v>0</v>
      </c>
      <c r="AC40" s="20">
        <f t="shared" si="15"/>
        <v>0</v>
      </c>
      <c r="AD40" s="20">
        <f>IF(A40="",21/24,MOD(VLOOKUP(A40,Parámetros!$A$24:$B$25,2,TRUE()),1))</f>
        <v>0.875</v>
      </c>
      <c r="AE40" s="5">
        <f>IF(A40="",0,IF(OR(WEEKDAY(A40,2)=7,COUNTIF(Festivos!$A$5:$A$451,A40)&gt;0),1,0))</f>
        <v>0</v>
      </c>
      <c r="AF40" s="5">
        <f>IF(A40="",0,IF(OR(WEEKDAY(A40+1,2)=7,COUNTIF(Festivos!$A$5:$A$451,A40+1)&gt;0),1,0))</f>
        <v>0</v>
      </c>
      <c r="AG40" s="9">
        <f>IF(A40="",0,VLOOKUP(A40,Parámetros!$A$18:$B$21,2,TRUE()))</f>
        <v>0</v>
      </c>
      <c r="AH40" s="20">
        <f t="shared" si="16"/>
        <v>0</v>
      </c>
      <c r="AI40" s="20">
        <f>MAX(0,MIN(AB40,Parámetros!$B$11)-MAX(X40,0))+MAX(0,MIN(AB40,1+Parámetros!$B$11)-MAX(X40,AD40))+MAX(0,MIN(AB40,2)-MAX(X40,1+AD40))</f>
        <v>0</v>
      </c>
      <c r="AJ40" s="20">
        <f t="shared" si="17"/>
        <v>0</v>
      </c>
      <c r="AK40" s="20">
        <f>AE40*(MAX(0,MIN(AB40,Parámetros!$B$11)-MAX(X40,0))+MAX(0,MIN(AB40,1)-MAX(X40,AD40)))+AF40*(MAX(0,MIN(AB40,1+Parámetros!$B$11)-MAX(X40,1))+MAX(0,MIN(AB40,2)-MAX(X40,1+AD40)))</f>
        <v>0</v>
      </c>
      <c r="AL40" s="20">
        <f t="shared" si="18"/>
        <v>0</v>
      </c>
      <c r="AM40" s="20">
        <f>MAX(0,MIN(AC40,Parámetros!$B$11)-MAX(AB40,0))+MAX(0,MIN(AC40,1+Parámetros!$B$11)-MAX(AB40,AD40))+MAX(0,MIN(AC40,2)-MAX(AB40,1+AD40))</f>
        <v>0</v>
      </c>
      <c r="AN40" s="20">
        <f t="shared" si="19"/>
        <v>0</v>
      </c>
      <c r="AO40" s="20">
        <f>AE40*(MAX(0,MIN(AC40,Parámetros!$B$11)-MAX(AB40,0))+MAX(0,MIN(AC40,1)-MAX(AB40,AD40)))+AF40*(MAX(0,MIN(AC40,1+Parámetros!$B$11)-MAX(AB40,1))+MAX(0,MIN(AC40,2)-MAX(AB40,1+AD40)))</f>
        <v>0</v>
      </c>
    </row>
    <row r="41" spans="1:41" x14ac:dyDescent="0.25">
      <c r="A41" s="15"/>
      <c r="B41" s="8"/>
      <c r="C41" s="5" t="str">
        <f>IF(B41="","",IFERROR(INDEX(Trabajadores!$B$5:$B$204,MATCH(B41,Trabajadores!$A$5:$A$204,0)),"Cédula no registrada"))</f>
        <v/>
      </c>
      <c r="D41" s="11"/>
      <c r="E41" s="11"/>
      <c r="F41" s="8"/>
      <c r="G41" s="18" t="str">
        <f>IF(A41="","",IFERROR(INDEX(Trabajadores!$E$5:$E$204,MATCH(B41,Trabajadores!$A$5:$A$204,0))/Parámetros!$B$6,0)+IF(IFERROR(INDEX(Trabajadores!$E$5:$E$204,MATCH(B41,Trabajadores!$A$5:$A$204,0)),"")="",Parámetros!$B$7,0))</f>
        <v/>
      </c>
      <c r="H41" s="5" t="str">
        <f t="shared" si="0"/>
        <v/>
      </c>
      <c r="I41" s="5" t="str">
        <f>IF(A41="","",IF(COUNTIF(Festivos!$A$5:$A$451,A41)&gt;0,"Festivo",IF(WEEKDAY(A41,2)=7,"Domingo",IF(AND(AF41=1,AC41&gt;1),IF(COUNTIF(Festivos!$A$5:$A$451,A41+1)&gt;0,"Festivo","Domingo")&amp;" desde las 00:00",""))))</f>
        <v/>
      </c>
      <c r="J41" s="19" t="str">
        <f t="shared" si="1"/>
        <v/>
      </c>
      <c r="K41" s="19" t="str">
        <f t="shared" si="2"/>
        <v/>
      </c>
      <c r="L41" s="19" t="str">
        <f t="shared" si="3"/>
        <v/>
      </c>
      <c r="M41" s="19" t="str">
        <f t="shared" si="4"/>
        <v/>
      </c>
      <c r="N41" s="19" t="str">
        <f t="shared" si="5"/>
        <v/>
      </c>
      <c r="O41" s="19" t="str">
        <f t="shared" si="6"/>
        <v/>
      </c>
      <c r="P41" s="19" t="str">
        <f t="shared" si="7"/>
        <v/>
      </c>
      <c r="Q41" s="19" t="str">
        <f t="shared" si="8"/>
        <v/>
      </c>
      <c r="R41" s="19" t="str">
        <f t="shared" si="9"/>
        <v/>
      </c>
      <c r="S41" s="17" t="str">
        <f>IF(B41="","",IFERROR(INDEX(Trabajadores!$G$5:$G$204,MATCH(B41,Trabajadores!$A$5:$A$204,0)),""))</f>
        <v/>
      </c>
      <c r="T41" s="17" t="str">
        <f>IF(OR(OR(A41="",D41="",E41=""),S41=""),"",ROUND(S41*(N(L41)*Parámetros!$B$8+N(M41)*(1+Parámetros!$B$9)+N(N41)*(1+Parámetros!$B$10)+N(O41)*(1+AG41)+N(P41)*(1+AG41+Parámetros!$B$8)+N(Q41)*(1+AG41+Parámetros!$B$9)+N(R41)*(1+AG41+Parámetros!$B$10)),0))</f>
        <v/>
      </c>
      <c r="U41" s="5" t="str">
        <f>IF(OR(A41="",D41="",E41=""),"",IF(N(M41)+N(N41)+N(Q41)+N(R41)&gt;Parámetros!$B$12,"Supera el límite de horas extras diarias",IF(C41="Cédula no registrada","Registre la cédula en «Trabajadores»","")))</f>
        <v/>
      </c>
      <c r="X41" s="20">
        <f t="shared" si="10"/>
        <v>0</v>
      </c>
      <c r="Y41" s="20">
        <f t="shared" si="11"/>
        <v>0</v>
      </c>
      <c r="Z41" s="20">
        <f t="shared" si="12"/>
        <v>0</v>
      </c>
      <c r="AA41" s="20">
        <f t="shared" si="13"/>
        <v>0</v>
      </c>
      <c r="AB41" s="20">
        <f t="shared" si="14"/>
        <v>0</v>
      </c>
      <c r="AC41" s="20">
        <f t="shared" si="15"/>
        <v>0</v>
      </c>
      <c r="AD41" s="20">
        <f>IF(A41="",21/24,MOD(VLOOKUP(A41,Parámetros!$A$24:$B$25,2,TRUE()),1))</f>
        <v>0.875</v>
      </c>
      <c r="AE41" s="5">
        <f>IF(A41="",0,IF(OR(WEEKDAY(A41,2)=7,COUNTIF(Festivos!$A$5:$A$451,A41)&gt;0),1,0))</f>
        <v>0</v>
      </c>
      <c r="AF41" s="5">
        <f>IF(A41="",0,IF(OR(WEEKDAY(A41+1,2)=7,COUNTIF(Festivos!$A$5:$A$451,A41+1)&gt;0),1,0))</f>
        <v>0</v>
      </c>
      <c r="AG41" s="9">
        <f>IF(A41="",0,VLOOKUP(A41,Parámetros!$A$18:$B$21,2,TRUE()))</f>
        <v>0</v>
      </c>
      <c r="AH41" s="20">
        <f t="shared" si="16"/>
        <v>0</v>
      </c>
      <c r="AI41" s="20">
        <f>MAX(0,MIN(AB41,Parámetros!$B$11)-MAX(X41,0))+MAX(0,MIN(AB41,1+Parámetros!$B$11)-MAX(X41,AD41))+MAX(0,MIN(AB41,2)-MAX(X41,1+AD41))</f>
        <v>0</v>
      </c>
      <c r="AJ41" s="20">
        <f t="shared" si="17"/>
        <v>0</v>
      </c>
      <c r="AK41" s="20">
        <f>AE41*(MAX(0,MIN(AB41,Parámetros!$B$11)-MAX(X41,0))+MAX(0,MIN(AB41,1)-MAX(X41,AD41)))+AF41*(MAX(0,MIN(AB41,1+Parámetros!$B$11)-MAX(X41,1))+MAX(0,MIN(AB41,2)-MAX(X41,1+AD41)))</f>
        <v>0</v>
      </c>
      <c r="AL41" s="20">
        <f t="shared" si="18"/>
        <v>0</v>
      </c>
      <c r="AM41" s="20">
        <f>MAX(0,MIN(AC41,Parámetros!$B$11)-MAX(AB41,0))+MAX(0,MIN(AC41,1+Parámetros!$B$11)-MAX(AB41,AD41))+MAX(0,MIN(AC41,2)-MAX(AB41,1+AD41))</f>
        <v>0</v>
      </c>
      <c r="AN41" s="20">
        <f t="shared" si="19"/>
        <v>0</v>
      </c>
      <c r="AO41" s="20">
        <f>AE41*(MAX(0,MIN(AC41,Parámetros!$B$11)-MAX(AB41,0))+MAX(0,MIN(AC41,1)-MAX(AB41,AD41)))+AF41*(MAX(0,MIN(AC41,1+Parámetros!$B$11)-MAX(AB41,1))+MAX(0,MIN(AC41,2)-MAX(AB41,1+AD41)))</f>
        <v>0</v>
      </c>
    </row>
    <row r="42" spans="1:41" x14ac:dyDescent="0.25">
      <c r="A42" s="15"/>
      <c r="B42" s="8"/>
      <c r="C42" s="5" t="str">
        <f>IF(B42="","",IFERROR(INDEX(Trabajadores!$B$5:$B$204,MATCH(B42,Trabajadores!$A$5:$A$204,0)),"Cédula no registrada"))</f>
        <v/>
      </c>
      <c r="D42" s="11"/>
      <c r="E42" s="11"/>
      <c r="F42" s="8"/>
      <c r="G42" s="18" t="str">
        <f>IF(A42="","",IFERROR(INDEX(Trabajadores!$E$5:$E$204,MATCH(B42,Trabajadores!$A$5:$A$204,0))/Parámetros!$B$6,0)+IF(IFERROR(INDEX(Trabajadores!$E$5:$E$204,MATCH(B42,Trabajadores!$A$5:$A$204,0)),"")="",Parámetros!$B$7,0))</f>
        <v/>
      </c>
      <c r="H42" s="5" t="str">
        <f t="shared" si="0"/>
        <v/>
      </c>
      <c r="I42" s="5" t="str">
        <f>IF(A42="","",IF(COUNTIF(Festivos!$A$5:$A$451,A42)&gt;0,"Festivo",IF(WEEKDAY(A42,2)=7,"Domingo",IF(AND(AF42=1,AC42&gt;1),IF(COUNTIF(Festivos!$A$5:$A$451,A42+1)&gt;0,"Festivo","Domingo")&amp;" desde las 00:00",""))))</f>
        <v/>
      </c>
      <c r="J42" s="19" t="str">
        <f t="shared" si="1"/>
        <v/>
      </c>
      <c r="K42" s="19" t="str">
        <f t="shared" si="2"/>
        <v/>
      </c>
      <c r="L42" s="19" t="str">
        <f t="shared" si="3"/>
        <v/>
      </c>
      <c r="M42" s="19" t="str">
        <f t="shared" si="4"/>
        <v/>
      </c>
      <c r="N42" s="19" t="str">
        <f t="shared" si="5"/>
        <v/>
      </c>
      <c r="O42" s="19" t="str">
        <f t="shared" si="6"/>
        <v/>
      </c>
      <c r="P42" s="19" t="str">
        <f t="shared" si="7"/>
        <v/>
      </c>
      <c r="Q42" s="19" t="str">
        <f t="shared" si="8"/>
        <v/>
      </c>
      <c r="R42" s="19" t="str">
        <f t="shared" si="9"/>
        <v/>
      </c>
      <c r="S42" s="17" t="str">
        <f>IF(B42="","",IFERROR(INDEX(Trabajadores!$G$5:$G$204,MATCH(B42,Trabajadores!$A$5:$A$204,0)),""))</f>
        <v/>
      </c>
      <c r="T42" s="17" t="str">
        <f>IF(OR(OR(A42="",D42="",E42=""),S42=""),"",ROUND(S42*(N(L42)*Parámetros!$B$8+N(M42)*(1+Parámetros!$B$9)+N(N42)*(1+Parámetros!$B$10)+N(O42)*(1+AG42)+N(P42)*(1+AG42+Parámetros!$B$8)+N(Q42)*(1+AG42+Parámetros!$B$9)+N(R42)*(1+AG42+Parámetros!$B$10)),0))</f>
        <v/>
      </c>
      <c r="U42" s="5" t="str">
        <f>IF(OR(A42="",D42="",E42=""),"",IF(N(M42)+N(N42)+N(Q42)+N(R42)&gt;Parámetros!$B$12,"Supera el límite de horas extras diarias",IF(C42="Cédula no registrada","Registre la cédula en «Trabajadores»","")))</f>
        <v/>
      </c>
      <c r="X42" s="20">
        <f t="shared" si="10"/>
        <v>0</v>
      </c>
      <c r="Y42" s="20">
        <f t="shared" si="11"/>
        <v>0</v>
      </c>
      <c r="Z42" s="20">
        <f t="shared" si="12"/>
        <v>0</v>
      </c>
      <c r="AA42" s="20">
        <f t="shared" si="13"/>
        <v>0</v>
      </c>
      <c r="AB42" s="20">
        <f t="shared" si="14"/>
        <v>0</v>
      </c>
      <c r="AC42" s="20">
        <f t="shared" si="15"/>
        <v>0</v>
      </c>
      <c r="AD42" s="20">
        <f>IF(A42="",21/24,MOD(VLOOKUP(A42,Parámetros!$A$24:$B$25,2,TRUE()),1))</f>
        <v>0.875</v>
      </c>
      <c r="AE42" s="5">
        <f>IF(A42="",0,IF(OR(WEEKDAY(A42,2)=7,COUNTIF(Festivos!$A$5:$A$451,A42)&gt;0),1,0))</f>
        <v>0</v>
      </c>
      <c r="AF42" s="5">
        <f>IF(A42="",0,IF(OR(WEEKDAY(A42+1,2)=7,COUNTIF(Festivos!$A$5:$A$451,A42+1)&gt;0),1,0))</f>
        <v>0</v>
      </c>
      <c r="AG42" s="9">
        <f>IF(A42="",0,VLOOKUP(A42,Parámetros!$A$18:$B$21,2,TRUE()))</f>
        <v>0</v>
      </c>
      <c r="AH42" s="20">
        <f t="shared" si="16"/>
        <v>0</v>
      </c>
      <c r="AI42" s="20">
        <f>MAX(0,MIN(AB42,Parámetros!$B$11)-MAX(X42,0))+MAX(0,MIN(AB42,1+Parámetros!$B$11)-MAX(X42,AD42))+MAX(0,MIN(AB42,2)-MAX(X42,1+AD42))</f>
        <v>0</v>
      </c>
      <c r="AJ42" s="20">
        <f t="shared" si="17"/>
        <v>0</v>
      </c>
      <c r="AK42" s="20">
        <f>AE42*(MAX(0,MIN(AB42,Parámetros!$B$11)-MAX(X42,0))+MAX(0,MIN(AB42,1)-MAX(X42,AD42)))+AF42*(MAX(0,MIN(AB42,1+Parámetros!$B$11)-MAX(X42,1))+MAX(0,MIN(AB42,2)-MAX(X42,1+AD42)))</f>
        <v>0</v>
      </c>
      <c r="AL42" s="20">
        <f t="shared" si="18"/>
        <v>0</v>
      </c>
      <c r="AM42" s="20">
        <f>MAX(0,MIN(AC42,Parámetros!$B$11)-MAX(AB42,0))+MAX(0,MIN(AC42,1+Parámetros!$B$11)-MAX(AB42,AD42))+MAX(0,MIN(AC42,2)-MAX(AB42,1+AD42))</f>
        <v>0</v>
      </c>
      <c r="AN42" s="20">
        <f t="shared" si="19"/>
        <v>0</v>
      </c>
      <c r="AO42" s="20">
        <f>AE42*(MAX(0,MIN(AC42,Parámetros!$B$11)-MAX(AB42,0))+MAX(0,MIN(AC42,1)-MAX(AB42,AD42)))+AF42*(MAX(0,MIN(AC42,1+Parámetros!$B$11)-MAX(AB42,1))+MAX(0,MIN(AC42,2)-MAX(AB42,1+AD42)))</f>
        <v>0</v>
      </c>
    </row>
    <row r="43" spans="1:41" x14ac:dyDescent="0.25">
      <c r="A43" s="15"/>
      <c r="B43" s="8"/>
      <c r="C43" s="5" t="str">
        <f>IF(B43="","",IFERROR(INDEX(Trabajadores!$B$5:$B$204,MATCH(B43,Trabajadores!$A$5:$A$204,0)),"Cédula no registrada"))</f>
        <v/>
      </c>
      <c r="D43" s="11"/>
      <c r="E43" s="11"/>
      <c r="F43" s="8"/>
      <c r="G43" s="18" t="str">
        <f>IF(A43="","",IFERROR(INDEX(Trabajadores!$E$5:$E$204,MATCH(B43,Trabajadores!$A$5:$A$204,0))/Parámetros!$B$6,0)+IF(IFERROR(INDEX(Trabajadores!$E$5:$E$204,MATCH(B43,Trabajadores!$A$5:$A$204,0)),"")="",Parámetros!$B$7,0))</f>
        <v/>
      </c>
      <c r="H43" s="5" t="str">
        <f t="shared" si="0"/>
        <v/>
      </c>
      <c r="I43" s="5" t="str">
        <f>IF(A43="","",IF(COUNTIF(Festivos!$A$5:$A$451,A43)&gt;0,"Festivo",IF(WEEKDAY(A43,2)=7,"Domingo",IF(AND(AF43=1,AC43&gt;1),IF(COUNTIF(Festivos!$A$5:$A$451,A43+1)&gt;0,"Festivo","Domingo")&amp;" desde las 00:00",""))))</f>
        <v/>
      </c>
      <c r="J43" s="19" t="str">
        <f t="shared" si="1"/>
        <v/>
      </c>
      <c r="K43" s="19" t="str">
        <f t="shared" si="2"/>
        <v/>
      </c>
      <c r="L43" s="19" t="str">
        <f t="shared" si="3"/>
        <v/>
      </c>
      <c r="M43" s="19" t="str">
        <f t="shared" si="4"/>
        <v/>
      </c>
      <c r="N43" s="19" t="str">
        <f t="shared" si="5"/>
        <v/>
      </c>
      <c r="O43" s="19" t="str">
        <f t="shared" si="6"/>
        <v/>
      </c>
      <c r="P43" s="19" t="str">
        <f t="shared" si="7"/>
        <v/>
      </c>
      <c r="Q43" s="19" t="str">
        <f t="shared" si="8"/>
        <v/>
      </c>
      <c r="R43" s="19" t="str">
        <f t="shared" si="9"/>
        <v/>
      </c>
      <c r="S43" s="17" t="str">
        <f>IF(B43="","",IFERROR(INDEX(Trabajadores!$G$5:$G$204,MATCH(B43,Trabajadores!$A$5:$A$204,0)),""))</f>
        <v/>
      </c>
      <c r="T43" s="17" t="str">
        <f>IF(OR(OR(A43="",D43="",E43=""),S43=""),"",ROUND(S43*(N(L43)*Parámetros!$B$8+N(M43)*(1+Parámetros!$B$9)+N(N43)*(1+Parámetros!$B$10)+N(O43)*(1+AG43)+N(P43)*(1+AG43+Parámetros!$B$8)+N(Q43)*(1+AG43+Parámetros!$B$9)+N(R43)*(1+AG43+Parámetros!$B$10)),0))</f>
        <v/>
      </c>
      <c r="U43" s="5" t="str">
        <f>IF(OR(A43="",D43="",E43=""),"",IF(N(M43)+N(N43)+N(Q43)+N(R43)&gt;Parámetros!$B$12,"Supera el límite de horas extras diarias",IF(C43="Cédula no registrada","Registre la cédula en «Trabajadores»","")))</f>
        <v/>
      </c>
      <c r="X43" s="20">
        <f t="shared" si="10"/>
        <v>0</v>
      </c>
      <c r="Y43" s="20">
        <f t="shared" si="11"/>
        <v>0</v>
      </c>
      <c r="Z43" s="20">
        <f t="shared" si="12"/>
        <v>0</v>
      </c>
      <c r="AA43" s="20">
        <f t="shared" si="13"/>
        <v>0</v>
      </c>
      <c r="AB43" s="20">
        <f t="shared" si="14"/>
        <v>0</v>
      </c>
      <c r="AC43" s="20">
        <f t="shared" si="15"/>
        <v>0</v>
      </c>
      <c r="AD43" s="20">
        <f>IF(A43="",21/24,MOD(VLOOKUP(A43,Parámetros!$A$24:$B$25,2,TRUE()),1))</f>
        <v>0.875</v>
      </c>
      <c r="AE43" s="5">
        <f>IF(A43="",0,IF(OR(WEEKDAY(A43,2)=7,COUNTIF(Festivos!$A$5:$A$451,A43)&gt;0),1,0))</f>
        <v>0</v>
      </c>
      <c r="AF43" s="5">
        <f>IF(A43="",0,IF(OR(WEEKDAY(A43+1,2)=7,COUNTIF(Festivos!$A$5:$A$451,A43+1)&gt;0),1,0))</f>
        <v>0</v>
      </c>
      <c r="AG43" s="9">
        <f>IF(A43="",0,VLOOKUP(A43,Parámetros!$A$18:$B$21,2,TRUE()))</f>
        <v>0</v>
      </c>
      <c r="AH43" s="20">
        <f t="shared" si="16"/>
        <v>0</v>
      </c>
      <c r="AI43" s="20">
        <f>MAX(0,MIN(AB43,Parámetros!$B$11)-MAX(X43,0))+MAX(0,MIN(AB43,1+Parámetros!$B$11)-MAX(X43,AD43))+MAX(0,MIN(AB43,2)-MAX(X43,1+AD43))</f>
        <v>0</v>
      </c>
      <c r="AJ43" s="20">
        <f t="shared" si="17"/>
        <v>0</v>
      </c>
      <c r="AK43" s="20">
        <f>AE43*(MAX(0,MIN(AB43,Parámetros!$B$11)-MAX(X43,0))+MAX(0,MIN(AB43,1)-MAX(X43,AD43)))+AF43*(MAX(0,MIN(AB43,1+Parámetros!$B$11)-MAX(X43,1))+MAX(0,MIN(AB43,2)-MAX(X43,1+AD43)))</f>
        <v>0</v>
      </c>
      <c r="AL43" s="20">
        <f t="shared" si="18"/>
        <v>0</v>
      </c>
      <c r="AM43" s="20">
        <f>MAX(0,MIN(AC43,Parámetros!$B$11)-MAX(AB43,0))+MAX(0,MIN(AC43,1+Parámetros!$B$11)-MAX(AB43,AD43))+MAX(0,MIN(AC43,2)-MAX(AB43,1+AD43))</f>
        <v>0</v>
      </c>
      <c r="AN43" s="20">
        <f t="shared" si="19"/>
        <v>0</v>
      </c>
      <c r="AO43" s="20">
        <f>AE43*(MAX(0,MIN(AC43,Parámetros!$B$11)-MAX(AB43,0))+MAX(0,MIN(AC43,1)-MAX(AB43,AD43)))+AF43*(MAX(0,MIN(AC43,1+Parámetros!$B$11)-MAX(AB43,1))+MAX(0,MIN(AC43,2)-MAX(AB43,1+AD43)))</f>
        <v>0</v>
      </c>
    </row>
    <row r="44" spans="1:41" x14ac:dyDescent="0.25">
      <c r="A44" s="15"/>
      <c r="B44" s="8"/>
      <c r="C44" s="5" t="str">
        <f>IF(B44="","",IFERROR(INDEX(Trabajadores!$B$5:$B$204,MATCH(B44,Trabajadores!$A$5:$A$204,0)),"Cédula no registrada"))</f>
        <v/>
      </c>
      <c r="D44" s="11"/>
      <c r="E44" s="11"/>
      <c r="F44" s="8"/>
      <c r="G44" s="18" t="str">
        <f>IF(A44="","",IFERROR(INDEX(Trabajadores!$E$5:$E$204,MATCH(B44,Trabajadores!$A$5:$A$204,0))/Parámetros!$B$6,0)+IF(IFERROR(INDEX(Trabajadores!$E$5:$E$204,MATCH(B44,Trabajadores!$A$5:$A$204,0)),"")="",Parámetros!$B$7,0))</f>
        <v/>
      </c>
      <c r="H44" s="5" t="str">
        <f t="shared" si="0"/>
        <v/>
      </c>
      <c r="I44" s="5" t="str">
        <f>IF(A44="","",IF(COUNTIF(Festivos!$A$5:$A$451,A44)&gt;0,"Festivo",IF(WEEKDAY(A44,2)=7,"Domingo",IF(AND(AF44=1,AC44&gt;1),IF(COUNTIF(Festivos!$A$5:$A$451,A44+1)&gt;0,"Festivo","Domingo")&amp;" desde las 00:00",""))))</f>
        <v/>
      </c>
      <c r="J44" s="19" t="str">
        <f t="shared" si="1"/>
        <v/>
      </c>
      <c r="K44" s="19" t="str">
        <f t="shared" si="2"/>
        <v/>
      </c>
      <c r="L44" s="19" t="str">
        <f t="shared" si="3"/>
        <v/>
      </c>
      <c r="M44" s="19" t="str">
        <f t="shared" si="4"/>
        <v/>
      </c>
      <c r="N44" s="19" t="str">
        <f t="shared" si="5"/>
        <v/>
      </c>
      <c r="O44" s="19" t="str">
        <f t="shared" si="6"/>
        <v/>
      </c>
      <c r="P44" s="19" t="str">
        <f t="shared" si="7"/>
        <v/>
      </c>
      <c r="Q44" s="19" t="str">
        <f t="shared" si="8"/>
        <v/>
      </c>
      <c r="R44" s="19" t="str">
        <f t="shared" si="9"/>
        <v/>
      </c>
      <c r="S44" s="17" t="str">
        <f>IF(B44="","",IFERROR(INDEX(Trabajadores!$G$5:$G$204,MATCH(B44,Trabajadores!$A$5:$A$204,0)),""))</f>
        <v/>
      </c>
      <c r="T44" s="17" t="str">
        <f>IF(OR(OR(A44="",D44="",E44=""),S44=""),"",ROUND(S44*(N(L44)*Parámetros!$B$8+N(M44)*(1+Parámetros!$B$9)+N(N44)*(1+Parámetros!$B$10)+N(O44)*(1+AG44)+N(P44)*(1+AG44+Parámetros!$B$8)+N(Q44)*(1+AG44+Parámetros!$B$9)+N(R44)*(1+AG44+Parámetros!$B$10)),0))</f>
        <v/>
      </c>
      <c r="U44" s="5" t="str">
        <f>IF(OR(A44="",D44="",E44=""),"",IF(N(M44)+N(N44)+N(Q44)+N(R44)&gt;Parámetros!$B$12,"Supera el límite de horas extras diarias",IF(C44="Cédula no registrada","Registre la cédula en «Trabajadores»","")))</f>
        <v/>
      </c>
      <c r="X44" s="20">
        <f t="shared" si="10"/>
        <v>0</v>
      </c>
      <c r="Y44" s="20">
        <f t="shared" si="11"/>
        <v>0</v>
      </c>
      <c r="Z44" s="20">
        <f t="shared" si="12"/>
        <v>0</v>
      </c>
      <c r="AA44" s="20">
        <f t="shared" si="13"/>
        <v>0</v>
      </c>
      <c r="AB44" s="20">
        <f t="shared" si="14"/>
        <v>0</v>
      </c>
      <c r="AC44" s="20">
        <f t="shared" si="15"/>
        <v>0</v>
      </c>
      <c r="AD44" s="20">
        <f>IF(A44="",21/24,MOD(VLOOKUP(A44,Parámetros!$A$24:$B$25,2,TRUE()),1))</f>
        <v>0.875</v>
      </c>
      <c r="AE44" s="5">
        <f>IF(A44="",0,IF(OR(WEEKDAY(A44,2)=7,COUNTIF(Festivos!$A$5:$A$451,A44)&gt;0),1,0))</f>
        <v>0</v>
      </c>
      <c r="AF44" s="5">
        <f>IF(A44="",0,IF(OR(WEEKDAY(A44+1,2)=7,COUNTIF(Festivos!$A$5:$A$451,A44+1)&gt;0),1,0))</f>
        <v>0</v>
      </c>
      <c r="AG44" s="9">
        <f>IF(A44="",0,VLOOKUP(A44,Parámetros!$A$18:$B$21,2,TRUE()))</f>
        <v>0</v>
      </c>
      <c r="AH44" s="20">
        <f t="shared" si="16"/>
        <v>0</v>
      </c>
      <c r="AI44" s="20">
        <f>MAX(0,MIN(AB44,Parámetros!$B$11)-MAX(X44,0))+MAX(0,MIN(AB44,1+Parámetros!$B$11)-MAX(X44,AD44))+MAX(0,MIN(AB44,2)-MAX(X44,1+AD44))</f>
        <v>0</v>
      </c>
      <c r="AJ44" s="20">
        <f t="shared" si="17"/>
        <v>0</v>
      </c>
      <c r="AK44" s="20">
        <f>AE44*(MAX(0,MIN(AB44,Parámetros!$B$11)-MAX(X44,0))+MAX(0,MIN(AB44,1)-MAX(X44,AD44)))+AF44*(MAX(0,MIN(AB44,1+Parámetros!$B$11)-MAX(X44,1))+MAX(0,MIN(AB44,2)-MAX(X44,1+AD44)))</f>
        <v>0</v>
      </c>
      <c r="AL44" s="20">
        <f t="shared" si="18"/>
        <v>0</v>
      </c>
      <c r="AM44" s="20">
        <f>MAX(0,MIN(AC44,Parámetros!$B$11)-MAX(AB44,0))+MAX(0,MIN(AC44,1+Parámetros!$B$11)-MAX(AB44,AD44))+MAX(0,MIN(AC44,2)-MAX(AB44,1+AD44))</f>
        <v>0</v>
      </c>
      <c r="AN44" s="20">
        <f t="shared" si="19"/>
        <v>0</v>
      </c>
      <c r="AO44" s="20">
        <f>AE44*(MAX(0,MIN(AC44,Parámetros!$B$11)-MAX(AB44,0))+MAX(0,MIN(AC44,1)-MAX(AB44,AD44)))+AF44*(MAX(0,MIN(AC44,1+Parámetros!$B$11)-MAX(AB44,1))+MAX(0,MIN(AC44,2)-MAX(AB44,1+AD44)))</f>
        <v>0</v>
      </c>
    </row>
    <row r="45" spans="1:41" x14ac:dyDescent="0.25">
      <c r="A45" s="15"/>
      <c r="B45" s="8"/>
      <c r="C45" s="5" t="str">
        <f>IF(B45="","",IFERROR(INDEX(Trabajadores!$B$5:$B$204,MATCH(B45,Trabajadores!$A$5:$A$204,0)),"Cédula no registrada"))</f>
        <v/>
      </c>
      <c r="D45" s="11"/>
      <c r="E45" s="11"/>
      <c r="F45" s="8"/>
      <c r="G45" s="18" t="str">
        <f>IF(A45="","",IFERROR(INDEX(Trabajadores!$E$5:$E$204,MATCH(B45,Trabajadores!$A$5:$A$204,0))/Parámetros!$B$6,0)+IF(IFERROR(INDEX(Trabajadores!$E$5:$E$204,MATCH(B45,Trabajadores!$A$5:$A$204,0)),"")="",Parámetros!$B$7,0))</f>
        <v/>
      </c>
      <c r="H45" s="5" t="str">
        <f t="shared" si="0"/>
        <v/>
      </c>
      <c r="I45" s="5" t="str">
        <f>IF(A45="","",IF(COUNTIF(Festivos!$A$5:$A$451,A45)&gt;0,"Festivo",IF(WEEKDAY(A45,2)=7,"Domingo",IF(AND(AF45=1,AC45&gt;1),IF(COUNTIF(Festivos!$A$5:$A$451,A45+1)&gt;0,"Festivo","Domingo")&amp;" desde las 00:00",""))))</f>
        <v/>
      </c>
      <c r="J45" s="19" t="str">
        <f t="shared" si="1"/>
        <v/>
      </c>
      <c r="K45" s="19" t="str">
        <f t="shared" si="2"/>
        <v/>
      </c>
      <c r="L45" s="19" t="str">
        <f t="shared" si="3"/>
        <v/>
      </c>
      <c r="M45" s="19" t="str">
        <f t="shared" si="4"/>
        <v/>
      </c>
      <c r="N45" s="19" t="str">
        <f t="shared" si="5"/>
        <v/>
      </c>
      <c r="O45" s="19" t="str">
        <f t="shared" si="6"/>
        <v/>
      </c>
      <c r="P45" s="19" t="str">
        <f t="shared" si="7"/>
        <v/>
      </c>
      <c r="Q45" s="19" t="str">
        <f t="shared" si="8"/>
        <v/>
      </c>
      <c r="R45" s="19" t="str">
        <f t="shared" si="9"/>
        <v/>
      </c>
      <c r="S45" s="17" t="str">
        <f>IF(B45="","",IFERROR(INDEX(Trabajadores!$G$5:$G$204,MATCH(B45,Trabajadores!$A$5:$A$204,0)),""))</f>
        <v/>
      </c>
      <c r="T45" s="17" t="str">
        <f>IF(OR(OR(A45="",D45="",E45=""),S45=""),"",ROUND(S45*(N(L45)*Parámetros!$B$8+N(M45)*(1+Parámetros!$B$9)+N(N45)*(1+Parámetros!$B$10)+N(O45)*(1+AG45)+N(P45)*(1+AG45+Parámetros!$B$8)+N(Q45)*(1+AG45+Parámetros!$B$9)+N(R45)*(1+AG45+Parámetros!$B$10)),0))</f>
        <v/>
      </c>
      <c r="U45" s="5" t="str">
        <f>IF(OR(A45="",D45="",E45=""),"",IF(N(M45)+N(N45)+N(Q45)+N(R45)&gt;Parámetros!$B$12,"Supera el límite de horas extras diarias",IF(C45="Cédula no registrada","Registre la cédula en «Trabajadores»","")))</f>
        <v/>
      </c>
      <c r="X45" s="20">
        <f t="shared" si="10"/>
        <v>0</v>
      </c>
      <c r="Y45" s="20">
        <f t="shared" si="11"/>
        <v>0</v>
      </c>
      <c r="Z45" s="20">
        <f t="shared" si="12"/>
        <v>0</v>
      </c>
      <c r="AA45" s="20">
        <f t="shared" si="13"/>
        <v>0</v>
      </c>
      <c r="AB45" s="20">
        <f t="shared" si="14"/>
        <v>0</v>
      </c>
      <c r="AC45" s="20">
        <f t="shared" si="15"/>
        <v>0</v>
      </c>
      <c r="AD45" s="20">
        <f>IF(A45="",21/24,MOD(VLOOKUP(A45,Parámetros!$A$24:$B$25,2,TRUE()),1))</f>
        <v>0.875</v>
      </c>
      <c r="AE45" s="5">
        <f>IF(A45="",0,IF(OR(WEEKDAY(A45,2)=7,COUNTIF(Festivos!$A$5:$A$451,A45)&gt;0),1,0))</f>
        <v>0</v>
      </c>
      <c r="AF45" s="5">
        <f>IF(A45="",0,IF(OR(WEEKDAY(A45+1,2)=7,COUNTIF(Festivos!$A$5:$A$451,A45+1)&gt;0),1,0))</f>
        <v>0</v>
      </c>
      <c r="AG45" s="9">
        <f>IF(A45="",0,VLOOKUP(A45,Parámetros!$A$18:$B$21,2,TRUE()))</f>
        <v>0</v>
      </c>
      <c r="AH45" s="20">
        <f t="shared" si="16"/>
        <v>0</v>
      </c>
      <c r="AI45" s="20">
        <f>MAX(0,MIN(AB45,Parámetros!$B$11)-MAX(X45,0))+MAX(0,MIN(AB45,1+Parámetros!$B$11)-MAX(X45,AD45))+MAX(0,MIN(AB45,2)-MAX(X45,1+AD45))</f>
        <v>0</v>
      </c>
      <c r="AJ45" s="20">
        <f t="shared" si="17"/>
        <v>0</v>
      </c>
      <c r="AK45" s="20">
        <f>AE45*(MAX(0,MIN(AB45,Parámetros!$B$11)-MAX(X45,0))+MAX(0,MIN(AB45,1)-MAX(X45,AD45)))+AF45*(MAX(0,MIN(AB45,1+Parámetros!$B$11)-MAX(X45,1))+MAX(0,MIN(AB45,2)-MAX(X45,1+AD45)))</f>
        <v>0</v>
      </c>
      <c r="AL45" s="20">
        <f t="shared" si="18"/>
        <v>0</v>
      </c>
      <c r="AM45" s="20">
        <f>MAX(0,MIN(AC45,Parámetros!$B$11)-MAX(AB45,0))+MAX(0,MIN(AC45,1+Parámetros!$B$11)-MAX(AB45,AD45))+MAX(0,MIN(AC45,2)-MAX(AB45,1+AD45))</f>
        <v>0</v>
      </c>
      <c r="AN45" s="20">
        <f t="shared" si="19"/>
        <v>0</v>
      </c>
      <c r="AO45" s="20">
        <f>AE45*(MAX(0,MIN(AC45,Parámetros!$B$11)-MAX(AB45,0))+MAX(0,MIN(AC45,1)-MAX(AB45,AD45)))+AF45*(MAX(0,MIN(AC45,1+Parámetros!$B$11)-MAX(AB45,1))+MAX(0,MIN(AC45,2)-MAX(AB45,1+AD45)))</f>
        <v>0</v>
      </c>
    </row>
    <row r="46" spans="1:41" x14ac:dyDescent="0.25">
      <c r="A46" s="15"/>
      <c r="B46" s="8"/>
      <c r="C46" s="5" t="str">
        <f>IF(B46="","",IFERROR(INDEX(Trabajadores!$B$5:$B$204,MATCH(B46,Trabajadores!$A$5:$A$204,0)),"Cédula no registrada"))</f>
        <v/>
      </c>
      <c r="D46" s="11"/>
      <c r="E46" s="11"/>
      <c r="F46" s="8"/>
      <c r="G46" s="18" t="str">
        <f>IF(A46="","",IFERROR(INDEX(Trabajadores!$E$5:$E$204,MATCH(B46,Trabajadores!$A$5:$A$204,0))/Parámetros!$B$6,0)+IF(IFERROR(INDEX(Trabajadores!$E$5:$E$204,MATCH(B46,Trabajadores!$A$5:$A$204,0)),"")="",Parámetros!$B$7,0))</f>
        <v/>
      </c>
      <c r="H46" s="5" t="str">
        <f t="shared" si="0"/>
        <v/>
      </c>
      <c r="I46" s="5" t="str">
        <f>IF(A46="","",IF(COUNTIF(Festivos!$A$5:$A$451,A46)&gt;0,"Festivo",IF(WEEKDAY(A46,2)=7,"Domingo",IF(AND(AF46=1,AC46&gt;1),IF(COUNTIF(Festivos!$A$5:$A$451,A46+1)&gt;0,"Festivo","Domingo")&amp;" desde las 00:00",""))))</f>
        <v/>
      </c>
      <c r="J46" s="19" t="str">
        <f t="shared" si="1"/>
        <v/>
      </c>
      <c r="K46" s="19" t="str">
        <f t="shared" si="2"/>
        <v/>
      </c>
      <c r="L46" s="19" t="str">
        <f t="shared" si="3"/>
        <v/>
      </c>
      <c r="M46" s="19" t="str">
        <f t="shared" si="4"/>
        <v/>
      </c>
      <c r="N46" s="19" t="str">
        <f t="shared" si="5"/>
        <v/>
      </c>
      <c r="O46" s="19" t="str">
        <f t="shared" si="6"/>
        <v/>
      </c>
      <c r="P46" s="19" t="str">
        <f t="shared" si="7"/>
        <v/>
      </c>
      <c r="Q46" s="19" t="str">
        <f t="shared" si="8"/>
        <v/>
      </c>
      <c r="R46" s="19" t="str">
        <f t="shared" si="9"/>
        <v/>
      </c>
      <c r="S46" s="17" t="str">
        <f>IF(B46="","",IFERROR(INDEX(Trabajadores!$G$5:$G$204,MATCH(B46,Trabajadores!$A$5:$A$204,0)),""))</f>
        <v/>
      </c>
      <c r="T46" s="17" t="str">
        <f>IF(OR(OR(A46="",D46="",E46=""),S46=""),"",ROUND(S46*(N(L46)*Parámetros!$B$8+N(M46)*(1+Parámetros!$B$9)+N(N46)*(1+Parámetros!$B$10)+N(O46)*(1+AG46)+N(P46)*(1+AG46+Parámetros!$B$8)+N(Q46)*(1+AG46+Parámetros!$B$9)+N(R46)*(1+AG46+Parámetros!$B$10)),0))</f>
        <v/>
      </c>
      <c r="U46" s="5" t="str">
        <f>IF(OR(A46="",D46="",E46=""),"",IF(N(M46)+N(N46)+N(Q46)+N(R46)&gt;Parámetros!$B$12,"Supera el límite de horas extras diarias",IF(C46="Cédula no registrada","Registre la cédula en «Trabajadores»","")))</f>
        <v/>
      </c>
      <c r="X46" s="20">
        <f t="shared" si="10"/>
        <v>0</v>
      </c>
      <c r="Y46" s="20">
        <f t="shared" si="11"/>
        <v>0</v>
      </c>
      <c r="Z46" s="20">
        <f t="shared" si="12"/>
        <v>0</v>
      </c>
      <c r="AA46" s="20">
        <f t="shared" si="13"/>
        <v>0</v>
      </c>
      <c r="AB46" s="20">
        <f t="shared" si="14"/>
        <v>0</v>
      </c>
      <c r="AC46" s="20">
        <f t="shared" si="15"/>
        <v>0</v>
      </c>
      <c r="AD46" s="20">
        <f>IF(A46="",21/24,MOD(VLOOKUP(A46,Parámetros!$A$24:$B$25,2,TRUE()),1))</f>
        <v>0.875</v>
      </c>
      <c r="AE46" s="5">
        <f>IF(A46="",0,IF(OR(WEEKDAY(A46,2)=7,COUNTIF(Festivos!$A$5:$A$451,A46)&gt;0),1,0))</f>
        <v>0</v>
      </c>
      <c r="AF46" s="5">
        <f>IF(A46="",0,IF(OR(WEEKDAY(A46+1,2)=7,COUNTIF(Festivos!$A$5:$A$451,A46+1)&gt;0),1,0))</f>
        <v>0</v>
      </c>
      <c r="AG46" s="9">
        <f>IF(A46="",0,VLOOKUP(A46,Parámetros!$A$18:$B$21,2,TRUE()))</f>
        <v>0</v>
      </c>
      <c r="AH46" s="20">
        <f t="shared" si="16"/>
        <v>0</v>
      </c>
      <c r="AI46" s="20">
        <f>MAX(0,MIN(AB46,Parámetros!$B$11)-MAX(X46,0))+MAX(0,MIN(AB46,1+Parámetros!$B$11)-MAX(X46,AD46))+MAX(0,MIN(AB46,2)-MAX(X46,1+AD46))</f>
        <v>0</v>
      </c>
      <c r="AJ46" s="20">
        <f t="shared" si="17"/>
        <v>0</v>
      </c>
      <c r="AK46" s="20">
        <f>AE46*(MAX(0,MIN(AB46,Parámetros!$B$11)-MAX(X46,0))+MAX(0,MIN(AB46,1)-MAX(X46,AD46)))+AF46*(MAX(0,MIN(AB46,1+Parámetros!$B$11)-MAX(X46,1))+MAX(0,MIN(AB46,2)-MAX(X46,1+AD46)))</f>
        <v>0</v>
      </c>
      <c r="AL46" s="20">
        <f t="shared" si="18"/>
        <v>0</v>
      </c>
      <c r="AM46" s="20">
        <f>MAX(0,MIN(AC46,Parámetros!$B$11)-MAX(AB46,0))+MAX(0,MIN(AC46,1+Parámetros!$B$11)-MAX(AB46,AD46))+MAX(0,MIN(AC46,2)-MAX(AB46,1+AD46))</f>
        <v>0</v>
      </c>
      <c r="AN46" s="20">
        <f t="shared" si="19"/>
        <v>0</v>
      </c>
      <c r="AO46" s="20">
        <f>AE46*(MAX(0,MIN(AC46,Parámetros!$B$11)-MAX(AB46,0))+MAX(0,MIN(AC46,1)-MAX(AB46,AD46)))+AF46*(MAX(0,MIN(AC46,1+Parámetros!$B$11)-MAX(AB46,1))+MAX(0,MIN(AC46,2)-MAX(AB46,1+AD46)))</f>
        <v>0</v>
      </c>
    </row>
    <row r="47" spans="1:41" x14ac:dyDescent="0.25">
      <c r="A47" s="15"/>
      <c r="B47" s="8"/>
      <c r="C47" s="5" t="str">
        <f>IF(B47="","",IFERROR(INDEX(Trabajadores!$B$5:$B$204,MATCH(B47,Trabajadores!$A$5:$A$204,0)),"Cédula no registrada"))</f>
        <v/>
      </c>
      <c r="D47" s="11"/>
      <c r="E47" s="11"/>
      <c r="F47" s="8"/>
      <c r="G47" s="18" t="str">
        <f>IF(A47="","",IFERROR(INDEX(Trabajadores!$E$5:$E$204,MATCH(B47,Trabajadores!$A$5:$A$204,0))/Parámetros!$B$6,0)+IF(IFERROR(INDEX(Trabajadores!$E$5:$E$204,MATCH(B47,Trabajadores!$A$5:$A$204,0)),"")="",Parámetros!$B$7,0))</f>
        <v/>
      </c>
      <c r="H47" s="5" t="str">
        <f t="shared" si="0"/>
        <v/>
      </c>
      <c r="I47" s="5" t="str">
        <f>IF(A47="","",IF(COUNTIF(Festivos!$A$5:$A$451,A47)&gt;0,"Festivo",IF(WEEKDAY(A47,2)=7,"Domingo",IF(AND(AF47=1,AC47&gt;1),IF(COUNTIF(Festivos!$A$5:$A$451,A47+1)&gt;0,"Festivo","Domingo")&amp;" desde las 00:00",""))))</f>
        <v/>
      </c>
      <c r="J47" s="19" t="str">
        <f t="shared" si="1"/>
        <v/>
      </c>
      <c r="K47" s="19" t="str">
        <f t="shared" si="2"/>
        <v/>
      </c>
      <c r="L47" s="19" t="str">
        <f t="shared" si="3"/>
        <v/>
      </c>
      <c r="M47" s="19" t="str">
        <f t="shared" si="4"/>
        <v/>
      </c>
      <c r="N47" s="19" t="str">
        <f t="shared" si="5"/>
        <v/>
      </c>
      <c r="O47" s="19" t="str">
        <f t="shared" si="6"/>
        <v/>
      </c>
      <c r="P47" s="19" t="str">
        <f t="shared" si="7"/>
        <v/>
      </c>
      <c r="Q47" s="19" t="str">
        <f t="shared" si="8"/>
        <v/>
      </c>
      <c r="R47" s="19" t="str">
        <f t="shared" si="9"/>
        <v/>
      </c>
      <c r="S47" s="17" t="str">
        <f>IF(B47="","",IFERROR(INDEX(Trabajadores!$G$5:$G$204,MATCH(B47,Trabajadores!$A$5:$A$204,0)),""))</f>
        <v/>
      </c>
      <c r="T47" s="17" t="str">
        <f>IF(OR(OR(A47="",D47="",E47=""),S47=""),"",ROUND(S47*(N(L47)*Parámetros!$B$8+N(M47)*(1+Parámetros!$B$9)+N(N47)*(1+Parámetros!$B$10)+N(O47)*(1+AG47)+N(P47)*(1+AG47+Parámetros!$B$8)+N(Q47)*(1+AG47+Parámetros!$B$9)+N(R47)*(1+AG47+Parámetros!$B$10)),0))</f>
        <v/>
      </c>
      <c r="U47" s="5" t="str">
        <f>IF(OR(A47="",D47="",E47=""),"",IF(N(M47)+N(N47)+N(Q47)+N(R47)&gt;Parámetros!$B$12,"Supera el límite de horas extras diarias",IF(C47="Cédula no registrada","Registre la cédula en «Trabajadores»","")))</f>
        <v/>
      </c>
      <c r="X47" s="20">
        <f t="shared" si="10"/>
        <v>0</v>
      </c>
      <c r="Y47" s="20">
        <f t="shared" si="11"/>
        <v>0</v>
      </c>
      <c r="Z47" s="20">
        <f t="shared" si="12"/>
        <v>0</v>
      </c>
      <c r="AA47" s="20">
        <f t="shared" si="13"/>
        <v>0</v>
      </c>
      <c r="AB47" s="20">
        <f t="shared" si="14"/>
        <v>0</v>
      </c>
      <c r="AC47" s="20">
        <f t="shared" si="15"/>
        <v>0</v>
      </c>
      <c r="AD47" s="20">
        <f>IF(A47="",21/24,MOD(VLOOKUP(A47,Parámetros!$A$24:$B$25,2,TRUE()),1))</f>
        <v>0.875</v>
      </c>
      <c r="AE47" s="5">
        <f>IF(A47="",0,IF(OR(WEEKDAY(A47,2)=7,COUNTIF(Festivos!$A$5:$A$451,A47)&gt;0),1,0))</f>
        <v>0</v>
      </c>
      <c r="AF47" s="5">
        <f>IF(A47="",0,IF(OR(WEEKDAY(A47+1,2)=7,COUNTIF(Festivos!$A$5:$A$451,A47+1)&gt;0),1,0))</f>
        <v>0</v>
      </c>
      <c r="AG47" s="9">
        <f>IF(A47="",0,VLOOKUP(A47,Parámetros!$A$18:$B$21,2,TRUE()))</f>
        <v>0</v>
      </c>
      <c r="AH47" s="20">
        <f t="shared" si="16"/>
        <v>0</v>
      </c>
      <c r="AI47" s="20">
        <f>MAX(0,MIN(AB47,Parámetros!$B$11)-MAX(X47,0))+MAX(0,MIN(AB47,1+Parámetros!$B$11)-MAX(X47,AD47))+MAX(0,MIN(AB47,2)-MAX(X47,1+AD47))</f>
        <v>0</v>
      </c>
      <c r="AJ47" s="20">
        <f t="shared" si="17"/>
        <v>0</v>
      </c>
      <c r="AK47" s="20">
        <f>AE47*(MAX(0,MIN(AB47,Parámetros!$B$11)-MAX(X47,0))+MAX(0,MIN(AB47,1)-MAX(X47,AD47)))+AF47*(MAX(0,MIN(AB47,1+Parámetros!$B$11)-MAX(X47,1))+MAX(0,MIN(AB47,2)-MAX(X47,1+AD47)))</f>
        <v>0</v>
      </c>
      <c r="AL47" s="20">
        <f t="shared" si="18"/>
        <v>0</v>
      </c>
      <c r="AM47" s="20">
        <f>MAX(0,MIN(AC47,Parámetros!$B$11)-MAX(AB47,0))+MAX(0,MIN(AC47,1+Parámetros!$B$11)-MAX(AB47,AD47))+MAX(0,MIN(AC47,2)-MAX(AB47,1+AD47))</f>
        <v>0</v>
      </c>
      <c r="AN47" s="20">
        <f t="shared" si="19"/>
        <v>0</v>
      </c>
      <c r="AO47" s="20">
        <f>AE47*(MAX(0,MIN(AC47,Parámetros!$B$11)-MAX(AB47,0))+MAX(0,MIN(AC47,1)-MAX(AB47,AD47)))+AF47*(MAX(0,MIN(AC47,1+Parámetros!$B$11)-MAX(AB47,1))+MAX(0,MIN(AC47,2)-MAX(AB47,1+AD47)))</f>
        <v>0</v>
      </c>
    </row>
    <row r="48" spans="1:41" x14ac:dyDescent="0.25">
      <c r="A48" s="15"/>
      <c r="B48" s="8"/>
      <c r="C48" s="5" t="str">
        <f>IF(B48="","",IFERROR(INDEX(Trabajadores!$B$5:$B$204,MATCH(B48,Trabajadores!$A$5:$A$204,0)),"Cédula no registrada"))</f>
        <v/>
      </c>
      <c r="D48" s="11"/>
      <c r="E48" s="11"/>
      <c r="F48" s="8"/>
      <c r="G48" s="18" t="str">
        <f>IF(A48="","",IFERROR(INDEX(Trabajadores!$E$5:$E$204,MATCH(B48,Trabajadores!$A$5:$A$204,0))/Parámetros!$B$6,0)+IF(IFERROR(INDEX(Trabajadores!$E$5:$E$204,MATCH(B48,Trabajadores!$A$5:$A$204,0)),"")="",Parámetros!$B$7,0))</f>
        <v/>
      </c>
      <c r="H48" s="5" t="str">
        <f t="shared" si="0"/>
        <v/>
      </c>
      <c r="I48" s="5" t="str">
        <f>IF(A48="","",IF(COUNTIF(Festivos!$A$5:$A$451,A48)&gt;0,"Festivo",IF(WEEKDAY(A48,2)=7,"Domingo",IF(AND(AF48=1,AC48&gt;1),IF(COUNTIF(Festivos!$A$5:$A$451,A48+1)&gt;0,"Festivo","Domingo")&amp;" desde las 00:00",""))))</f>
        <v/>
      </c>
      <c r="J48" s="19" t="str">
        <f t="shared" si="1"/>
        <v/>
      </c>
      <c r="K48" s="19" t="str">
        <f t="shared" si="2"/>
        <v/>
      </c>
      <c r="L48" s="19" t="str">
        <f t="shared" si="3"/>
        <v/>
      </c>
      <c r="M48" s="19" t="str">
        <f t="shared" si="4"/>
        <v/>
      </c>
      <c r="N48" s="19" t="str">
        <f t="shared" si="5"/>
        <v/>
      </c>
      <c r="O48" s="19" t="str">
        <f t="shared" si="6"/>
        <v/>
      </c>
      <c r="P48" s="19" t="str">
        <f t="shared" si="7"/>
        <v/>
      </c>
      <c r="Q48" s="19" t="str">
        <f t="shared" si="8"/>
        <v/>
      </c>
      <c r="R48" s="19" t="str">
        <f t="shared" si="9"/>
        <v/>
      </c>
      <c r="S48" s="17" t="str">
        <f>IF(B48="","",IFERROR(INDEX(Trabajadores!$G$5:$G$204,MATCH(B48,Trabajadores!$A$5:$A$204,0)),""))</f>
        <v/>
      </c>
      <c r="T48" s="17" t="str">
        <f>IF(OR(OR(A48="",D48="",E48=""),S48=""),"",ROUND(S48*(N(L48)*Parámetros!$B$8+N(M48)*(1+Parámetros!$B$9)+N(N48)*(1+Parámetros!$B$10)+N(O48)*(1+AG48)+N(P48)*(1+AG48+Parámetros!$B$8)+N(Q48)*(1+AG48+Parámetros!$B$9)+N(R48)*(1+AG48+Parámetros!$B$10)),0))</f>
        <v/>
      </c>
      <c r="U48" s="5" t="str">
        <f>IF(OR(A48="",D48="",E48=""),"",IF(N(M48)+N(N48)+N(Q48)+N(R48)&gt;Parámetros!$B$12,"Supera el límite de horas extras diarias",IF(C48="Cédula no registrada","Registre la cédula en «Trabajadores»","")))</f>
        <v/>
      </c>
      <c r="X48" s="20">
        <f t="shared" si="10"/>
        <v>0</v>
      </c>
      <c r="Y48" s="20">
        <f t="shared" si="11"/>
        <v>0</v>
      </c>
      <c r="Z48" s="20">
        <f t="shared" si="12"/>
        <v>0</v>
      </c>
      <c r="AA48" s="20">
        <f t="shared" si="13"/>
        <v>0</v>
      </c>
      <c r="AB48" s="20">
        <f t="shared" si="14"/>
        <v>0</v>
      </c>
      <c r="AC48" s="20">
        <f t="shared" si="15"/>
        <v>0</v>
      </c>
      <c r="AD48" s="20">
        <f>IF(A48="",21/24,MOD(VLOOKUP(A48,Parámetros!$A$24:$B$25,2,TRUE()),1))</f>
        <v>0.875</v>
      </c>
      <c r="AE48" s="5">
        <f>IF(A48="",0,IF(OR(WEEKDAY(A48,2)=7,COUNTIF(Festivos!$A$5:$A$451,A48)&gt;0),1,0))</f>
        <v>0</v>
      </c>
      <c r="AF48" s="5">
        <f>IF(A48="",0,IF(OR(WEEKDAY(A48+1,2)=7,COUNTIF(Festivos!$A$5:$A$451,A48+1)&gt;0),1,0))</f>
        <v>0</v>
      </c>
      <c r="AG48" s="9">
        <f>IF(A48="",0,VLOOKUP(A48,Parámetros!$A$18:$B$21,2,TRUE()))</f>
        <v>0</v>
      </c>
      <c r="AH48" s="20">
        <f t="shared" si="16"/>
        <v>0</v>
      </c>
      <c r="AI48" s="20">
        <f>MAX(0,MIN(AB48,Parámetros!$B$11)-MAX(X48,0))+MAX(0,MIN(AB48,1+Parámetros!$B$11)-MAX(X48,AD48))+MAX(0,MIN(AB48,2)-MAX(X48,1+AD48))</f>
        <v>0</v>
      </c>
      <c r="AJ48" s="20">
        <f t="shared" si="17"/>
        <v>0</v>
      </c>
      <c r="AK48" s="20">
        <f>AE48*(MAX(0,MIN(AB48,Parámetros!$B$11)-MAX(X48,0))+MAX(0,MIN(AB48,1)-MAX(X48,AD48)))+AF48*(MAX(0,MIN(AB48,1+Parámetros!$B$11)-MAX(X48,1))+MAX(0,MIN(AB48,2)-MAX(X48,1+AD48)))</f>
        <v>0</v>
      </c>
      <c r="AL48" s="20">
        <f t="shared" si="18"/>
        <v>0</v>
      </c>
      <c r="AM48" s="20">
        <f>MAX(0,MIN(AC48,Parámetros!$B$11)-MAX(AB48,0))+MAX(0,MIN(AC48,1+Parámetros!$B$11)-MAX(AB48,AD48))+MAX(0,MIN(AC48,2)-MAX(AB48,1+AD48))</f>
        <v>0</v>
      </c>
      <c r="AN48" s="20">
        <f t="shared" si="19"/>
        <v>0</v>
      </c>
      <c r="AO48" s="20">
        <f>AE48*(MAX(0,MIN(AC48,Parámetros!$B$11)-MAX(AB48,0))+MAX(0,MIN(AC48,1)-MAX(AB48,AD48)))+AF48*(MAX(0,MIN(AC48,1+Parámetros!$B$11)-MAX(AB48,1))+MAX(0,MIN(AC48,2)-MAX(AB48,1+AD48)))</f>
        <v>0</v>
      </c>
    </row>
    <row r="49" spans="1:41" x14ac:dyDescent="0.25">
      <c r="A49" s="15"/>
      <c r="B49" s="8"/>
      <c r="C49" s="5" t="str">
        <f>IF(B49="","",IFERROR(INDEX(Trabajadores!$B$5:$B$204,MATCH(B49,Trabajadores!$A$5:$A$204,0)),"Cédula no registrada"))</f>
        <v/>
      </c>
      <c r="D49" s="11"/>
      <c r="E49" s="11"/>
      <c r="F49" s="8"/>
      <c r="G49" s="18" t="str">
        <f>IF(A49="","",IFERROR(INDEX(Trabajadores!$E$5:$E$204,MATCH(B49,Trabajadores!$A$5:$A$204,0))/Parámetros!$B$6,0)+IF(IFERROR(INDEX(Trabajadores!$E$5:$E$204,MATCH(B49,Trabajadores!$A$5:$A$204,0)),"")="",Parámetros!$B$7,0))</f>
        <v/>
      </c>
      <c r="H49" s="5" t="str">
        <f t="shared" si="0"/>
        <v/>
      </c>
      <c r="I49" s="5" t="str">
        <f>IF(A49="","",IF(COUNTIF(Festivos!$A$5:$A$451,A49)&gt;0,"Festivo",IF(WEEKDAY(A49,2)=7,"Domingo",IF(AND(AF49=1,AC49&gt;1),IF(COUNTIF(Festivos!$A$5:$A$451,A49+1)&gt;0,"Festivo","Domingo")&amp;" desde las 00:00",""))))</f>
        <v/>
      </c>
      <c r="J49" s="19" t="str">
        <f t="shared" si="1"/>
        <v/>
      </c>
      <c r="K49" s="19" t="str">
        <f t="shared" si="2"/>
        <v/>
      </c>
      <c r="L49" s="19" t="str">
        <f t="shared" si="3"/>
        <v/>
      </c>
      <c r="M49" s="19" t="str">
        <f t="shared" si="4"/>
        <v/>
      </c>
      <c r="N49" s="19" t="str">
        <f t="shared" si="5"/>
        <v/>
      </c>
      <c r="O49" s="19" t="str">
        <f t="shared" si="6"/>
        <v/>
      </c>
      <c r="P49" s="19" t="str">
        <f t="shared" si="7"/>
        <v/>
      </c>
      <c r="Q49" s="19" t="str">
        <f t="shared" si="8"/>
        <v/>
      </c>
      <c r="R49" s="19" t="str">
        <f t="shared" si="9"/>
        <v/>
      </c>
      <c r="S49" s="17" t="str">
        <f>IF(B49="","",IFERROR(INDEX(Trabajadores!$G$5:$G$204,MATCH(B49,Trabajadores!$A$5:$A$204,0)),""))</f>
        <v/>
      </c>
      <c r="T49" s="17" t="str">
        <f>IF(OR(OR(A49="",D49="",E49=""),S49=""),"",ROUND(S49*(N(L49)*Parámetros!$B$8+N(M49)*(1+Parámetros!$B$9)+N(N49)*(1+Parámetros!$B$10)+N(O49)*(1+AG49)+N(P49)*(1+AG49+Parámetros!$B$8)+N(Q49)*(1+AG49+Parámetros!$B$9)+N(R49)*(1+AG49+Parámetros!$B$10)),0))</f>
        <v/>
      </c>
      <c r="U49" s="5" t="str">
        <f>IF(OR(A49="",D49="",E49=""),"",IF(N(M49)+N(N49)+N(Q49)+N(R49)&gt;Parámetros!$B$12,"Supera el límite de horas extras diarias",IF(C49="Cédula no registrada","Registre la cédula en «Trabajadores»","")))</f>
        <v/>
      </c>
      <c r="X49" s="20">
        <f t="shared" si="10"/>
        <v>0</v>
      </c>
      <c r="Y49" s="20">
        <f t="shared" si="11"/>
        <v>0</v>
      </c>
      <c r="Z49" s="20">
        <f t="shared" si="12"/>
        <v>0</v>
      </c>
      <c r="AA49" s="20">
        <f t="shared" si="13"/>
        <v>0</v>
      </c>
      <c r="AB49" s="20">
        <f t="shared" si="14"/>
        <v>0</v>
      </c>
      <c r="AC49" s="20">
        <f t="shared" si="15"/>
        <v>0</v>
      </c>
      <c r="AD49" s="20">
        <f>IF(A49="",21/24,MOD(VLOOKUP(A49,Parámetros!$A$24:$B$25,2,TRUE()),1))</f>
        <v>0.875</v>
      </c>
      <c r="AE49" s="5">
        <f>IF(A49="",0,IF(OR(WEEKDAY(A49,2)=7,COUNTIF(Festivos!$A$5:$A$451,A49)&gt;0),1,0))</f>
        <v>0</v>
      </c>
      <c r="AF49" s="5">
        <f>IF(A49="",0,IF(OR(WEEKDAY(A49+1,2)=7,COUNTIF(Festivos!$A$5:$A$451,A49+1)&gt;0),1,0))</f>
        <v>0</v>
      </c>
      <c r="AG49" s="9">
        <f>IF(A49="",0,VLOOKUP(A49,Parámetros!$A$18:$B$21,2,TRUE()))</f>
        <v>0</v>
      </c>
      <c r="AH49" s="20">
        <f t="shared" si="16"/>
        <v>0</v>
      </c>
      <c r="AI49" s="20">
        <f>MAX(0,MIN(AB49,Parámetros!$B$11)-MAX(X49,0))+MAX(0,MIN(AB49,1+Parámetros!$B$11)-MAX(X49,AD49))+MAX(0,MIN(AB49,2)-MAX(X49,1+AD49))</f>
        <v>0</v>
      </c>
      <c r="AJ49" s="20">
        <f t="shared" si="17"/>
        <v>0</v>
      </c>
      <c r="AK49" s="20">
        <f>AE49*(MAX(0,MIN(AB49,Parámetros!$B$11)-MAX(X49,0))+MAX(0,MIN(AB49,1)-MAX(X49,AD49)))+AF49*(MAX(0,MIN(AB49,1+Parámetros!$B$11)-MAX(X49,1))+MAX(0,MIN(AB49,2)-MAX(X49,1+AD49)))</f>
        <v>0</v>
      </c>
      <c r="AL49" s="20">
        <f t="shared" si="18"/>
        <v>0</v>
      </c>
      <c r="AM49" s="20">
        <f>MAX(0,MIN(AC49,Parámetros!$B$11)-MAX(AB49,0))+MAX(0,MIN(AC49,1+Parámetros!$B$11)-MAX(AB49,AD49))+MAX(0,MIN(AC49,2)-MAX(AB49,1+AD49))</f>
        <v>0</v>
      </c>
      <c r="AN49" s="20">
        <f t="shared" si="19"/>
        <v>0</v>
      </c>
      <c r="AO49" s="20">
        <f>AE49*(MAX(0,MIN(AC49,Parámetros!$B$11)-MAX(AB49,0))+MAX(0,MIN(AC49,1)-MAX(AB49,AD49)))+AF49*(MAX(0,MIN(AC49,1+Parámetros!$B$11)-MAX(AB49,1))+MAX(0,MIN(AC49,2)-MAX(AB49,1+AD49)))</f>
        <v>0</v>
      </c>
    </row>
    <row r="50" spans="1:41" x14ac:dyDescent="0.25">
      <c r="A50" s="15"/>
      <c r="B50" s="8"/>
      <c r="C50" s="5" t="str">
        <f>IF(B50="","",IFERROR(INDEX(Trabajadores!$B$5:$B$204,MATCH(B50,Trabajadores!$A$5:$A$204,0)),"Cédula no registrada"))</f>
        <v/>
      </c>
      <c r="D50" s="11"/>
      <c r="E50" s="11"/>
      <c r="F50" s="8"/>
      <c r="G50" s="18" t="str">
        <f>IF(A50="","",IFERROR(INDEX(Trabajadores!$E$5:$E$204,MATCH(B50,Trabajadores!$A$5:$A$204,0))/Parámetros!$B$6,0)+IF(IFERROR(INDEX(Trabajadores!$E$5:$E$204,MATCH(B50,Trabajadores!$A$5:$A$204,0)),"")="",Parámetros!$B$7,0))</f>
        <v/>
      </c>
      <c r="H50" s="5" t="str">
        <f t="shared" si="0"/>
        <v/>
      </c>
      <c r="I50" s="5" t="str">
        <f>IF(A50="","",IF(COUNTIF(Festivos!$A$5:$A$451,A50)&gt;0,"Festivo",IF(WEEKDAY(A50,2)=7,"Domingo",IF(AND(AF50=1,AC50&gt;1),IF(COUNTIF(Festivos!$A$5:$A$451,A50+1)&gt;0,"Festivo","Domingo")&amp;" desde las 00:00",""))))</f>
        <v/>
      </c>
      <c r="J50" s="19" t="str">
        <f t="shared" si="1"/>
        <v/>
      </c>
      <c r="K50" s="19" t="str">
        <f t="shared" si="2"/>
        <v/>
      </c>
      <c r="L50" s="19" t="str">
        <f t="shared" si="3"/>
        <v/>
      </c>
      <c r="M50" s="19" t="str">
        <f t="shared" si="4"/>
        <v/>
      </c>
      <c r="N50" s="19" t="str">
        <f t="shared" si="5"/>
        <v/>
      </c>
      <c r="O50" s="19" t="str">
        <f t="shared" si="6"/>
        <v/>
      </c>
      <c r="P50" s="19" t="str">
        <f t="shared" si="7"/>
        <v/>
      </c>
      <c r="Q50" s="19" t="str">
        <f t="shared" si="8"/>
        <v/>
      </c>
      <c r="R50" s="19" t="str">
        <f t="shared" si="9"/>
        <v/>
      </c>
      <c r="S50" s="17" t="str">
        <f>IF(B50="","",IFERROR(INDEX(Trabajadores!$G$5:$G$204,MATCH(B50,Trabajadores!$A$5:$A$204,0)),""))</f>
        <v/>
      </c>
      <c r="T50" s="17" t="str">
        <f>IF(OR(OR(A50="",D50="",E50=""),S50=""),"",ROUND(S50*(N(L50)*Parámetros!$B$8+N(M50)*(1+Parámetros!$B$9)+N(N50)*(1+Parámetros!$B$10)+N(O50)*(1+AG50)+N(P50)*(1+AG50+Parámetros!$B$8)+N(Q50)*(1+AG50+Parámetros!$B$9)+N(R50)*(1+AG50+Parámetros!$B$10)),0))</f>
        <v/>
      </c>
      <c r="U50" s="5" t="str">
        <f>IF(OR(A50="",D50="",E50=""),"",IF(N(M50)+N(N50)+N(Q50)+N(R50)&gt;Parámetros!$B$12,"Supera el límite de horas extras diarias",IF(C50="Cédula no registrada","Registre la cédula en «Trabajadores»","")))</f>
        <v/>
      </c>
      <c r="X50" s="20">
        <f t="shared" si="10"/>
        <v>0</v>
      </c>
      <c r="Y50" s="20">
        <f t="shared" si="11"/>
        <v>0</v>
      </c>
      <c r="Z50" s="20">
        <f t="shared" si="12"/>
        <v>0</v>
      </c>
      <c r="AA50" s="20">
        <f t="shared" si="13"/>
        <v>0</v>
      </c>
      <c r="AB50" s="20">
        <f t="shared" si="14"/>
        <v>0</v>
      </c>
      <c r="AC50" s="20">
        <f t="shared" si="15"/>
        <v>0</v>
      </c>
      <c r="AD50" s="20">
        <f>IF(A50="",21/24,MOD(VLOOKUP(A50,Parámetros!$A$24:$B$25,2,TRUE()),1))</f>
        <v>0.875</v>
      </c>
      <c r="AE50" s="5">
        <f>IF(A50="",0,IF(OR(WEEKDAY(A50,2)=7,COUNTIF(Festivos!$A$5:$A$451,A50)&gt;0),1,0))</f>
        <v>0</v>
      </c>
      <c r="AF50" s="5">
        <f>IF(A50="",0,IF(OR(WEEKDAY(A50+1,2)=7,COUNTIF(Festivos!$A$5:$A$451,A50+1)&gt;0),1,0))</f>
        <v>0</v>
      </c>
      <c r="AG50" s="9">
        <f>IF(A50="",0,VLOOKUP(A50,Parámetros!$A$18:$B$21,2,TRUE()))</f>
        <v>0</v>
      </c>
      <c r="AH50" s="20">
        <f t="shared" si="16"/>
        <v>0</v>
      </c>
      <c r="AI50" s="20">
        <f>MAX(0,MIN(AB50,Parámetros!$B$11)-MAX(X50,0))+MAX(0,MIN(AB50,1+Parámetros!$B$11)-MAX(X50,AD50))+MAX(0,MIN(AB50,2)-MAX(X50,1+AD50))</f>
        <v>0</v>
      </c>
      <c r="AJ50" s="20">
        <f t="shared" si="17"/>
        <v>0</v>
      </c>
      <c r="AK50" s="20">
        <f>AE50*(MAX(0,MIN(AB50,Parámetros!$B$11)-MAX(X50,0))+MAX(0,MIN(AB50,1)-MAX(X50,AD50)))+AF50*(MAX(0,MIN(AB50,1+Parámetros!$B$11)-MAX(X50,1))+MAX(0,MIN(AB50,2)-MAX(X50,1+AD50)))</f>
        <v>0</v>
      </c>
      <c r="AL50" s="20">
        <f t="shared" si="18"/>
        <v>0</v>
      </c>
      <c r="AM50" s="20">
        <f>MAX(0,MIN(AC50,Parámetros!$B$11)-MAX(AB50,0))+MAX(0,MIN(AC50,1+Parámetros!$B$11)-MAX(AB50,AD50))+MAX(0,MIN(AC50,2)-MAX(AB50,1+AD50))</f>
        <v>0</v>
      </c>
      <c r="AN50" s="20">
        <f t="shared" si="19"/>
        <v>0</v>
      </c>
      <c r="AO50" s="20">
        <f>AE50*(MAX(0,MIN(AC50,Parámetros!$B$11)-MAX(AB50,0))+MAX(0,MIN(AC50,1)-MAX(AB50,AD50)))+AF50*(MAX(0,MIN(AC50,1+Parámetros!$B$11)-MAX(AB50,1))+MAX(0,MIN(AC50,2)-MAX(AB50,1+AD50)))</f>
        <v>0</v>
      </c>
    </row>
    <row r="51" spans="1:41" x14ac:dyDescent="0.25">
      <c r="A51" s="15"/>
      <c r="B51" s="8"/>
      <c r="C51" s="5" t="str">
        <f>IF(B51="","",IFERROR(INDEX(Trabajadores!$B$5:$B$204,MATCH(B51,Trabajadores!$A$5:$A$204,0)),"Cédula no registrada"))</f>
        <v/>
      </c>
      <c r="D51" s="11"/>
      <c r="E51" s="11"/>
      <c r="F51" s="8"/>
      <c r="G51" s="18" t="str">
        <f>IF(A51="","",IFERROR(INDEX(Trabajadores!$E$5:$E$204,MATCH(B51,Trabajadores!$A$5:$A$204,0))/Parámetros!$B$6,0)+IF(IFERROR(INDEX(Trabajadores!$E$5:$E$204,MATCH(B51,Trabajadores!$A$5:$A$204,0)),"")="",Parámetros!$B$7,0))</f>
        <v/>
      </c>
      <c r="H51" s="5" t="str">
        <f t="shared" si="0"/>
        <v/>
      </c>
      <c r="I51" s="5" t="str">
        <f>IF(A51="","",IF(COUNTIF(Festivos!$A$5:$A$451,A51)&gt;0,"Festivo",IF(WEEKDAY(A51,2)=7,"Domingo",IF(AND(AF51=1,AC51&gt;1),IF(COUNTIF(Festivos!$A$5:$A$451,A51+1)&gt;0,"Festivo","Domingo")&amp;" desde las 00:00",""))))</f>
        <v/>
      </c>
      <c r="J51" s="19" t="str">
        <f t="shared" si="1"/>
        <v/>
      </c>
      <c r="K51" s="19" t="str">
        <f t="shared" si="2"/>
        <v/>
      </c>
      <c r="L51" s="19" t="str">
        <f t="shared" si="3"/>
        <v/>
      </c>
      <c r="M51" s="19" t="str">
        <f t="shared" si="4"/>
        <v/>
      </c>
      <c r="N51" s="19" t="str">
        <f t="shared" si="5"/>
        <v/>
      </c>
      <c r="O51" s="19" t="str">
        <f t="shared" si="6"/>
        <v/>
      </c>
      <c r="P51" s="19" t="str">
        <f t="shared" si="7"/>
        <v/>
      </c>
      <c r="Q51" s="19" t="str">
        <f t="shared" si="8"/>
        <v/>
      </c>
      <c r="R51" s="19" t="str">
        <f t="shared" si="9"/>
        <v/>
      </c>
      <c r="S51" s="17" t="str">
        <f>IF(B51="","",IFERROR(INDEX(Trabajadores!$G$5:$G$204,MATCH(B51,Trabajadores!$A$5:$A$204,0)),""))</f>
        <v/>
      </c>
      <c r="T51" s="17" t="str">
        <f>IF(OR(OR(A51="",D51="",E51=""),S51=""),"",ROUND(S51*(N(L51)*Parámetros!$B$8+N(M51)*(1+Parámetros!$B$9)+N(N51)*(1+Parámetros!$B$10)+N(O51)*(1+AG51)+N(P51)*(1+AG51+Parámetros!$B$8)+N(Q51)*(1+AG51+Parámetros!$B$9)+N(R51)*(1+AG51+Parámetros!$B$10)),0))</f>
        <v/>
      </c>
      <c r="U51" s="5" t="str">
        <f>IF(OR(A51="",D51="",E51=""),"",IF(N(M51)+N(N51)+N(Q51)+N(R51)&gt;Parámetros!$B$12,"Supera el límite de horas extras diarias",IF(C51="Cédula no registrada","Registre la cédula en «Trabajadores»","")))</f>
        <v/>
      </c>
      <c r="X51" s="20">
        <f t="shared" si="10"/>
        <v>0</v>
      </c>
      <c r="Y51" s="20">
        <f t="shared" si="11"/>
        <v>0</v>
      </c>
      <c r="Z51" s="20">
        <f t="shared" si="12"/>
        <v>0</v>
      </c>
      <c r="AA51" s="20">
        <f t="shared" si="13"/>
        <v>0</v>
      </c>
      <c r="AB51" s="20">
        <f t="shared" si="14"/>
        <v>0</v>
      </c>
      <c r="AC51" s="20">
        <f t="shared" si="15"/>
        <v>0</v>
      </c>
      <c r="AD51" s="20">
        <f>IF(A51="",21/24,MOD(VLOOKUP(A51,Parámetros!$A$24:$B$25,2,TRUE()),1))</f>
        <v>0.875</v>
      </c>
      <c r="AE51" s="5">
        <f>IF(A51="",0,IF(OR(WEEKDAY(A51,2)=7,COUNTIF(Festivos!$A$5:$A$451,A51)&gt;0),1,0))</f>
        <v>0</v>
      </c>
      <c r="AF51" s="5">
        <f>IF(A51="",0,IF(OR(WEEKDAY(A51+1,2)=7,COUNTIF(Festivos!$A$5:$A$451,A51+1)&gt;0),1,0))</f>
        <v>0</v>
      </c>
      <c r="AG51" s="9">
        <f>IF(A51="",0,VLOOKUP(A51,Parámetros!$A$18:$B$21,2,TRUE()))</f>
        <v>0</v>
      </c>
      <c r="AH51" s="20">
        <f t="shared" si="16"/>
        <v>0</v>
      </c>
      <c r="AI51" s="20">
        <f>MAX(0,MIN(AB51,Parámetros!$B$11)-MAX(X51,0))+MAX(0,MIN(AB51,1+Parámetros!$B$11)-MAX(X51,AD51))+MAX(0,MIN(AB51,2)-MAX(X51,1+AD51))</f>
        <v>0</v>
      </c>
      <c r="AJ51" s="20">
        <f t="shared" si="17"/>
        <v>0</v>
      </c>
      <c r="AK51" s="20">
        <f>AE51*(MAX(0,MIN(AB51,Parámetros!$B$11)-MAX(X51,0))+MAX(0,MIN(AB51,1)-MAX(X51,AD51)))+AF51*(MAX(0,MIN(AB51,1+Parámetros!$B$11)-MAX(X51,1))+MAX(0,MIN(AB51,2)-MAX(X51,1+AD51)))</f>
        <v>0</v>
      </c>
      <c r="AL51" s="20">
        <f t="shared" si="18"/>
        <v>0</v>
      </c>
      <c r="AM51" s="20">
        <f>MAX(0,MIN(AC51,Parámetros!$B$11)-MAX(AB51,0))+MAX(0,MIN(AC51,1+Parámetros!$B$11)-MAX(AB51,AD51))+MAX(0,MIN(AC51,2)-MAX(AB51,1+AD51))</f>
        <v>0</v>
      </c>
      <c r="AN51" s="20">
        <f t="shared" si="19"/>
        <v>0</v>
      </c>
      <c r="AO51" s="20">
        <f>AE51*(MAX(0,MIN(AC51,Parámetros!$B$11)-MAX(AB51,0))+MAX(0,MIN(AC51,1)-MAX(AB51,AD51)))+AF51*(MAX(0,MIN(AC51,1+Parámetros!$B$11)-MAX(AB51,1))+MAX(0,MIN(AC51,2)-MAX(AB51,1+AD51)))</f>
        <v>0</v>
      </c>
    </row>
    <row r="52" spans="1:41" x14ac:dyDescent="0.25">
      <c r="A52" s="15"/>
      <c r="B52" s="8"/>
      <c r="C52" s="5" t="str">
        <f>IF(B52="","",IFERROR(INDEX(Trabajadores!$B$5:$B$204,MATCH(B52,Trabajadores!$A$5:$A$204,0)),"Cédula no registrada"))</f>
        <v/>
      </c>
      <c r="D52" s="11"/>
      <c r="E52" s="11"/>
      <c r="F52" s="8"/>
      <c r="G52" s="18" t="str">
        <f>IF(A52="","",IFERROR(INDEX(Trabajadores!$E$5:$E$204,MATCH(B52,Trabajadores!$A$5:$A$204,0))/Parámetros!$B$6,0)+IF(IFERROR(INDEX(Trabajadores!$E$5:$E$204,MATCH(B52,Trabajadores!$A$5:$A$204,0)),"")="",Parámetros!$B$7,0))</f>
        <v/>
      </c>
      <c r="H52" s="5" t="str">
        <f t="shared" si="0"/>
        <v/>
      </c>
      <c r="I52" s="5" t="str">
        <f>IF(A52="","",IF(COUNTIF(Festivos!$A$5:$A$451,A52)&gt;0,"Festivo",IF(WEEKDAY(A52,2)=7,"Domingo",IF(AND(AF52=1,AC52&gt;1),IF(COUNTIF(Festivos!$A$5:$A$451,A52+1)&gt;0,"Festivo","Domingo")&amp;" desde las 00:00",""))))</f>
        <v/>
      </c>
      <c r="J52" s="19" t="str">
        <f t="shared" si="1"/>
        <v/>
      </c>
      <c r="K52" s="19" t="str">
        <f t="shared" si="2"/>
        <v/>
      </c>
      <c r="L52" s="19" t="str">
        <f t="shared" si="3"/>
        <v/>
      </c>
      <c r="M52" s="19" t="str">
        <f t="shared" si="4"/>
        <v/>
      </c>
      <c r="N52" s="19" t="str">
        <f t="shared" si="5"/>
        <v/>
      </c>
      <c r="O52" s="19" t="str">
        <f t="shared" si="6"/>
        <v/>
      </c>
      <c r="P52" s="19" t="str">
        <f t="shared" si="7"/>
        <v/>
      </c>
      <c r="Q52" s="19" t="str">
        <f t="shared" si="8"/>
        <v/>
      </c>
      <c r="R52" s="19" t="str">
        <f t="shared" si="9"/>
        <v/>
      </c>
      <c r="S52" s="17" t="str">
        <f>IF(B52="","",IFERROR(INDEX(Trabajadores!$G$5:$G$204,MATCH(B52,Trabajadores!$A$5:$A$204,0)),""))</f>
        <v/>
      </c>
      <c r="T52" s="17" t="str">
        <f>IF(OR(OR(A52="",D52="",E52=""),S52=""),"",ROUND(S52*(N(L52)*Parámetros!$B$8+N(M52)*(1+Parámetros!$B$9)+N(N52)*(1+Parámetros!$B$10)+N(O52)*(1+AG52)+N(P52)*(1+AG52+Parámetros!$B$8)+N(Q52)*(1+AG52+Parámetros!$B$9)+N(R52)*(1+AG52+Parámetros!$B$10)),0))</f>
        <v/>
      </c>
      <c r="U52" s="5" t="str">
        <f>IF(OR(A52="",D52="",E52=""),"",IF(N(M52)+N(N52)+N(Q52)+N(R52)&gt;Parámetros!$B$12,"Supera el límite de horas extras diarias",IF(C52="Cédula no registrada","Registre la cédula en «Trabajadores»","")))</f>
        <v/>
      </c>
      <c r="X52" s="20">
        <f t="shared" si="10"/>
        <v>0</v>
      </c>
      <c r="Y52" s="20">
        <f t="shared" si="11"/>
        <v>0</v>
      </c>
      <c r="Z52" s="20">
        <f t="shared" si="12"/>
        <v>0</v>
      </c>
      <c r="AA52" s="20">
        <f t="shared" si="13"/>
        <v>0</v>
      </c>
      <c r="AB52" s="20">
        <f t="shared" si="14"/>
        <v>0</v>
      </c>
      <c r="AC52" s="20">
        <f t="shared" si="15"/>
        <v>0</v>
      </c>
      <c r="AD52" s="20">
        <f>IF(A52="",21/24,MOD(VLOOKUP(A52,Parámetros!$A$24:$B$25,2,TRUE()),1))</f>
        <v>0.875</v>
      </c>
      <c r="AE52" s="5">
        <f>IF(A52="",0,IF(OR(WEEKDAY(A52,2)=7,COUNTIF(Festivos!$A$5:$A$451,A52)&gt;0),1,0))</f>
        <v>0</v>
      </c>
      <c r="AF52" s="5">
        <f>IF(A52="",0,IF(OR(WEEKDAY(A52+1,2)=7,COUNTIF(Festivos!$A$5:$A$451,A52+1)&gt;0),1,0))</f>
        <v>0</v>
      </c>
      <c r="AG52" s="9">
        <f>IF(A52="",0,VLOOKUP(A52,Parámetros!$A$18:$B$21,2,TRUE()))</f>
        <v>0</v>
      </c>
      <c r="AH52" s="20">
        <f t="shared" si="16"/>
        <v>0</v>
      </c>
      <c r="AI52" s="20">
        <f>MAX(0,MIN(AB52,Parámetros!$B$11)-MAX(X52,0))+MAX(0,MIN(AB52,1+Parámetros!$B$11)-MAX(X52,AD52))+MAX(0,MIN(AB52,2)-MAX(X52,1+AD52))</f>
        <v>0</v>
      </c>
      <c r="AJ52" s="20">
        <f t="shared" si="17"/>
        <v>0</v>
      </c>
      <c r="AK52" s="20">
        <f>AE52*(MAX(0,MIN(AB52,Parámetros!$B$11)-MAX(X52,0))+MAX(0,MIN(AB52,1)-MAX(X52,AD52)))+AF52*(MAX(0,MIN(AB52,1+Parámetros!$B$11)-MAX(X52,1))+MAX(0,MIN(AB52,2)-MAX(X52,1+AD52)))</f>
        <v>0</v>
      </c>
      <c r="AL52" s="20">
        <f t="shared" si="18"/>
        <v>0</v>
      </c>
      <c r="AM52" s="20">
        <f>MAX(0,MIN(AC52,Parámetros!$B$11)-MAX(AB52,0))+MAX(0,MIN(AC52,1+Parámetros!$B$11)-MAX(AB52,AD52))+MAX(0,MIN(AC52,2)-MAX(AB52,1+AD52))</f>
        <v>0</v>
      </c>
      <c r="AN52" s="20">
        <f t="shared" si="19"/>
        <v>0</v>
      </c>
      <c r="AO52" s="20">
        <f>AE52*(MAX(0,MIN(AC52,Parámetros!$B$11)-MAX(AB52,0))+MAX(0,MIN(AC52,1)-MAX(AB52,AD52)))+AF52*(MAX(0,MIN(AC52,1+Parámetros!$B$11)-MAX(AB52,1))+MAX(0,MIN(AC52,2)-MAX(AB52,1+AD52)))</f>
        <v>0</v>
      </c>
    </row>
    <row r="53" spans="1:41" x14ac:dyDescent="0.25">
      <c r="A53" s="15"/>
      <c r="B53" s="8"/>
      <c r="C53" s="5" t="str">
        <f>IF(B53="","",IFERROR(INDEX(Trabajadores!$B$5:$B$204,MATCH(B53,Trabajadores!$A$5:$A$204,0)),"Cédula no registrada"))</f>
        <v/>
      </c>
      <c r="D53" s="11"/>
      <c r="E53" s="11"/>
      <c r="F53" s="8"/>
      <c r="G53" s="18" t="str">
        <f>IF(A53="","",IFERROR(INDEX(Trabajadores!$E$5:$E$204,MATCH(B53,Trabajadores!$A$5:$A$204,0))/Parámetros!$B$6,0)+IF(IFERROR(INDEX(Trabajadores!$E$5:$E$204,MATCH(B53,Trabajadores!$A$5:$A$204,0)),"")="",Parámetros!$B$7,0))</f>
        <v/>
      </c>
      <c r="H53" s="5" t="str">
        <f t="shared" si="0"/>
        <v/>
      </c>
      <c r="I53" s="5" t="str">
        <f>IF(A53="","",IF(COUNTIF(Festivos!$A$5:$A$451,A53)&gt;0,"Festivo",IF(WEEKDAY(A53,2)=7,"Domingo",IF(AND(AF53=1,AC53&gt;1),IF(COUNTIF(Festivos!$A$5:$A$451,A53+1)&gt;0,"Festivo","Domingo")&amp;" desde las 00:00",""))))</f>
        <v/>
      </c>
      <c r="J53" s="19" t="str">
        <f t="shared" si="1"/>
        <v/>
      </c>
      <c r="K53" s="19" t="str">
        <f t="shared" si="2"/>
        <v/>
      </c>
      <c r="L53" s="19" t="str">
        <f t="shared" si="3"/>
        <v/>
      </c>
      <c r="M53" s="19" t="str">
        <f t="shared" si="4"/>
        <v/>
      </c>
      <c r="N53" s="19" t="str">
        <f t="shared" si="5"/>
        <v/>
      </c>
      <c r="O53" s="19" t="str">
        <f t="shared" si="6"/>
        <v/>
      </c>
      <c r="P53" s="19" t="str">
        <f t="shared" si="7"/>
        <v/>
      </c>
      <c r="Q53" s="19" t="str">
        <f t="shared" si="8"/>
        <v/>
      </c>
      <c r="R53" s="19" t="str">
        <f t="shared" si="9"/>
        <v/>
      </c>
      <c r="S53" s="17" t="str">
        <f>IF(B53="","",IFERROR(INDEX(Trabajadores!$G$5:$G$204,MATCH(B53,Trabajadores!$A$5:$A$204,0)),""))</f>
        <v/>
      </c>
      <c r="T53" s="17" t="str">
        <f>IF(OR(OR(A53="",D53="",E53=""),S53=""),"",ROUND(S53*(N(L53)*Parámetros!$B$8+N(M53)*(1+Parámetros!$B$9)+N(N53)*(1+Parámetros!$B$10)+N(O53)*(1+AG53)+N(P53)*(1+AG53+Parámetros!$B$8)+N(Q53)*(1+AG53+Parámetros!$B$9)+N(R53)*(1+AG53+Parámetros!$B$10)),0))</f>
        <v/>
      </c>
      <c r="U53" s="5" t="str">
        <f>IF(OR(A53="",D53="",E53=""),"",IF(N(M53)+N(N53)+N(Q53)+N(R53)&gt;Parámetros!$B$12,"Supera el límite de horas extras diarias",IF(C53="Cédula no registrada","Registre la cédula en «Trabajadores»","")))</f>
        <v/>
      </c>
      <c r="X53" s="20">
        <f t="shared" si="10"/>
        <v>0</v>
      </c>
      <c r="Y53" s="20">
        <f t="shared" si="11"/>
        <v>0</v>
      </c>
      <c r="Z53" s="20">
        <f t="shared" si="12"/>
        <v>0</v>
      </c>
      <c r="AA53" s="20">
        <f t="shared" si="13"/>
        <v>0</v>
      </c>
      <c r="AB53" s="20">
        <f t="shared" si="14"/>
        <v>0</v>
      </c>
      <c r="AC53" s="20">
        <f t="shared" si="15"/>
        <v>0</v>
      </c>
      <c r="AD53" s="20">
        <f>IF(A53="",21/24,MOD(VLOOKUP(A53,Parámetros!$A$24:$B$25,2,TRUE()),1))</f>
        <v>0.875</v>
      </c>
      <c r="AE53" s="5">
        <f>IF(A53="",0,IF(OR(WEEKDAY(A53,2)=7,COUNTIF(Festivos!$A$5:$A$451,A53)&gt;0),1,0))</f>
        <v>0</v>
      </c>
      <c r="AF53" s="5">
        <f>IF(A53="",0,IF(OR(WEEKDAY(A53+1,2)=7,COUNTIF(Festivos!$A$5:$A$451,A53+1)&gt;0),1,0))</f>
        <v>0</v>
      </c>
      <c r="AG53" s="9">
        <f>IF(A53="",0,VLOOKUP(A53,Parámetros!$A$18:$B$21,2,TRUE()))</f>
        <v>0</v>
      </c>
      <c r="AH53" s="20">
        <f t="shared" si="16"/>
        <v>0</v>
      </c>
      <c r="AI53" s="20">
        <f>MAX(0,MIN(AB53,Parámetros!$B$11)-MAX(X53,0))+MAX(0,MIN(AB53,1+Parámetros!$B$11)-MAX(X53,AD53))+MAX(0,MIN(AB53,2)-MAX(X53,1+AD53))</f>
        <v>0</v>
      </c>
      <c r="AJ53" s="20">
        <f t="shared" si="17"/>
        <v>0</v>
      </c>
      <c r="AK53" s="20">
        <f>AE53*(MAX(0,MIN(AB53,Parámetros!$B$11)-MAX(X53,0))+MAX(0,MIN(AB53,1)-MAX(X53,AD53)))+AF53*(MAX(0,MIN(AB53,1+Parámetros!$B$11)-MAX(X53,1))+MAX(0,MIN(AB53,2)-MAX(X53,1+AD53)))</f>
        <v>0</v>
      </c>
      <c r="AL53" s="20">
        <f t="shared" si="18"/>
        <v>0</v>
      </c>
      <c r="AM53" s="20">
        <f>MAX(0,MIN(AC53,Parámetros!$B$11)-MAX(AB53,0))+MAX(0,MIN(AC53,1+Parámetros!$B$11)-MAX(AB53,AD53))+MAX(0,MIN(AC53,2)-MAX(AB53,1+AD53))</f>
        <v>0</v>
      </c>
      <c r="AN53" s="20">
        <f t="shared" si="19"/>
        <v>0</v>
      </c>
      <c r="AO53" s="20">
        <f>AE53*(MAX(0,MIN(AC53,Parámetros!$B$11)-MAX(AB53,0))+MAX(0,MIN(AC53,1)-MAX(AB53,AD53)))+AF53*(MAX(0,MIN(AC53,1+Parámetros!$B$11)-MAX(AB53,1))+MAX(0,MIN(AC53,2)-MAX(AB53,1+AD53)))</f>
        <v>0</v>
      </c>
    </row>
    <row r="54" spans="1:41" x14ac:dyDescent="0.25">
      <c r="A54" s="15"/>
      <c r="B54" s="8"/>
      <c r="C54" s="5" t="str">
        <f>IF(B54="","",IFERROR(INDEX(Trabajadores!$B$5:$B$204,MATCH(B54,Trabajadores!$A$5:$A$204,0)),"Cédula no registrada"))</f>
        <v/>
      </c>
      <c r="D54" s="11"/>
      <c r="E54" s="11"/>
      <c r="F54" s="8"/>
      <c r="G54" s="18" t="str">
        <f>IF(A54="","",IFERROR(INDEX(Trabajadores!$E$5:$E$204,MATCH(B54,Trabajadores!$A$5:$A$204,0))/Parámetros!$B$6,0)+IF(IFERROR(INDEX(Trabajadores!$E$5:$E$204,MATCH(B54,Trabajadores!$A$5:$A$204,0)),"")="",Parámetros!$B$7,0))</f>
        <v/>
      </c>
      <c r="H54" s="5" t="str">
        <f t="shared" si="0"/>
        <v/>
      </c>
      <c r="I54" s="5" t="str">
        <f>IF(A54="","",IF(COUNTIF(Festivos!$A$5:$A$451,A54)&gt;0,"Festivo",IF(WEEKDAY(A54,2)=7,"Domingo",IF(AND(AF54=1,AC54&gt;1),IF(COUNTIF(Festivos!$A$5:$A$451,A54+1)&gt;0,"Festivo","Domingo")&amp;" desde las 00:00",""))))</f>
        <v/>
      </c>
      <c r="J54" s="19" t="str">
        <f t="shared" si="1"/>
        <v/>
      </c>
      <c r="K54" s="19" t="str">
        <f t="shared" si="2"/>
        <v/>
      </c>
      <c r="L54" s="19" t="str">
        <f t="shared" si="3"/>
        <v/>
      </c>
      <c r="M54" s="19" t="str">
        <f t="shared" si="4"/>
        <v/>
      </c>
      <c r="N54" s="19" t="str">
        <f t="shared" si="5"/>
        <v/>
      </c>
      <c r="O54" s="19" t="str">
        <f t="shared" si="6"/>
        <v/>
      </c>
      <c r="P54" s="19" t="str">
        <f t="shared" si="7"/>
        <v/>
      </c>
      <c r="Q54" s="19" t="str">
        <f t="shared" si="8"/>
        <v/>
      </c>
      <c r="R54" s="19" t="str">
        <f t="shared" si="9"/>
        <v/>
      </c>
      <c r="S54" s="17" t="str">
        <f>IF(B54="","",IFERROR(INDEX(Trabajadores!$G$5:$G$204,MATCH(B54,Trabajadores!$A$5:$A$204,0)),""))</f>
        <v/>
      </c>
      <c r="T54" s="17" t="str">
        <f>IF(OR(OR(A54="",D54="",E54=""),S54=""),"",ROUND(S54*(N(L54)*Parámetros!$B$8+N(M54)*(1+Parámetros!$B$9)+N(N54)*(1+Parámetros!$B$10)+N(O54)*(1+AG54)+N(P54)*(1+AG54+Parámetros!$B$8)+N(Q54)*(1+AG54+Parámetros!$B$9)+N(R54)*(1+AG54+Parámetros!$B$10)),0))</f>
        <v/>
      </c>
      <c r="U54" s="5" t="str">
        <f>IF(OR(A54="",D54="",E54=""),"",IF(N(M54)+N(N54)+N(Q54)+N(R54)&gt;Parámetros!$B$12,"Supera el límite de horas extras diarias",IF(C54="Cédula no registrada","Registre la cédula en «Trabajadores»","")))</f>
        <v/>
      </c>
      <c r="X54" s="20">
        <f t="shared" si="10"/>
        <v>0</v>
      </c>
      <c r="Y54" s="20">
        <f t="shared" si="11"/>
        <v>0</v>
      </c>
      <c r="Z54" s="20">
        <f t="shared" si="12"/>
        <v>0</v>
      </c>
      <c r="AA54" s="20">
        <f t="shared" si="13"/>
        <v>0</v>
      </c>
      <c r="AB54" s="20">
        <f t="shared" si="14"/>
        <v>0</v>
      </c>
      <c r="AC54" s="20">
        <f t="shared" si="15"/>
        <v>0</v>
      </c>
      <c r="AD54" s="20">
        <f>IF(A54="",21/24,MOD(VLOOKUP(A54,Parámetros!$A$24:$B$25,2,TRUE()),1))</f>
        <v>0.875</v>
      </c>
      <c r="AE54" s="5">
        <f>IF(A54="",0,IF(OR(WEEKDAY(A54,2)=7,COUNTIF(Festivos!$A$5:$A$451,A54)&gt;0),1,0))</f>
        <v>0</v>
      </c>
      <c r="AF54" s="5">
        <f>IF(A54="",0,IF(OR(WEEKDAY(A54+1,2)=7,COUNTIF(Festivos!$A$5:$A$451,A54+1)&gt;0),1,0))</f>
        <v>0</v>
      </c>
      <c r="AG54" s="9">
        <f>IF(A54="",0,VLOOKUP(A54,Parámetros!$A$18:$B$21,2,TRUE()))</f>
        <v>0</v>
      </c>
      <c r="AH54" s="20">
        <f t="shared" si="16"/>
        <v>0</v>
      </c>
      <c r="AI54" s="20">
        <f>MAX(0,MIN(AB54,Parámetros!$B$11)-MAX(X54,0))+MAX(0,MIN(AB54,1+Parámetros!$B$11)-MAX(X54,AD54))+MAX(0,MIN(AB54,2)-MAX(X54,1+AD54))</f>
        <v>0</v>
      </c>
      <c r="AJ54" s="20">
        <f t="shared" si="17"/>
        <v>0</v>
      </c>
      <c r="AK54" s="20">
        <f>AE54*(MAX(0,MIN(AB54,Parámetros!$B$11)-MAX(X54,0))+MAX(0,MIN(AB54,1)-MAX(X54,AD54)))+AF54*(MAX(0,MIN(AB54,1+Parámetros!$B$11)-MAX(X54,1))+MAX(0,MIN(AB54,2)-MAX(X54,1+AD54)))</f>
        <v>0</v>
      </c>
      <c r="AL54" s="20">
        <f t="shared" si="18"/>
        <v>0</v>
      </c>
      <c r="AM54" s="20">
        <f>MAX(0,MIN(AC54,Parámetros!$B$11)-MAX(AB54,0))+MAX(0,MIN(AC54,1+Parámetros!$B$11)-MAX(AB54,AD54))+MAX(0,MIN(AC54,2)-MAX(AB54,1+AD54))</f>
        <v>0</v>
      </c>
      <c r="AN54" s="20">
        <f t="shared" si="19"/>
        <v>0</v>
      </c>
      <c r="AO54" s="20">
        <f>AE54*(MAX(0,MIN(AC54,Parámetros!$B$11)-MAX(AB54,0))+MAX(0,MIN(AC54,1)-MAX(AB54,AD54)))+AF54*(MAX(0,MIN(AC54,1+Parámetros!$B$11)-MAX(AB54,1))+MAX(0,MIN(AC54,2)-MAX(AB54,1+AD54)))</f>
        <v>0</v>
      </c>
    </row>
    <row r="55" spans="1:41" x14ac:dyDescent="0.25">
      <c r="A55" s="15"/>
      <c r="B55" s="8"/>
      <c r="C55" s="5" t="str">
        <f>IF(B55="","",IFERROR(INDEX(Trabajadores!$B$5:$B$204,MATCH(B55,Trabajadores!$A$5:$A$204,0)),"Cédula no registrada"))</f>
        <v/>
      </c>
      <c r="D55" s="11"/>
      <c r="E55" s="11"/>
      <c r="F55" s="8"/>
      <c r="G55" s="18" t="str">
        <f>IF(A55="","",IFERROR(INDEX(Trabajadores!$E$5:$E$204,MATCH(B55,Trabajadores!$A$5:$A$204,0))/Parámetros!$B$6,0)+IF(IFERROR(INDEX(Trabajadores!$E$5:$E$204,MATCH(B55,Trabajadores!$A$5:$A$204,0)),"")="",Parámetros!$B$7,0))</f>
        <v/>
      </c>
      <c r="H55" s="5" t="str">
        <f t="shared" si="0"/>
        <v/>
      </c>
      <c r="I55" s="5" t="str">
        <f>IF(A55="","",IF(COUNTIF(Festivos!$A$5:$A$451,A55)&gt;0,"Festivo",IF(WEEKDAY(A55,2)=7,"Domingo",IF(AND(AF55=1,AC55&gt;1),IF(COUNTIF(Festivos!$A$5:$A$451,A55+1)&gt;0,"Festivo","Domingo")&amp;" desde las 00:00",""))))</f>
        <v/>
      </c>
      <c r="J55" s="19" t="str">
        <f t="shared" si="1"/>
        <v/>
      </c>
      <c r="K55" s="19" t="str">
        <f t="shared" si="2"/>
        <v/>
      </c>
      <c r="L55" s="19" t="str">
        <f t="shared" si="3"/>
        <v/>
      </c>
      <c r="M55" s="19" t="str">
        <f t="shared" si="4"/>
        <v/>
      </c>
      <c r="N55" s="19" t="str">
        <f t="shared" si="5"/>
        <v/>
      </c>
      <c r="O55" s="19" t="str">
        <f t="shared" si="6"/>
        <v/>
      </c>
      <c r="P55" s="19" t="str">
        <f t="shared" si="7"/>
        <v/>
      </c>
      <c r="Q55" s="19" t="str">
        <f t="shared" si="8"/>
        <v/>
      </c>
      <c r="R55" s="19" t="str">
        <f t="shared" si="9"/>
        <v/>
      </c>
      <c r="S55" s="17" t="str">
        <f>IF(B55="","",IFERROR(INDEX(Trabajadores!$G$5:$G$204,MATCH(B55,Trabajadores!$A$5:$A$204,0)),""))</f>
        <v/>
      </c>
      <c r="T55" s="17" t="str">
        <f>IF(OR(OR(A55="",D55="",E55=""),S55=""),"",ROUND(S55*(N(L55)*Parámetros!$B$8+N(M55)*(1+Parámetros!$B$9)+N(N55)*(1+Parámetros!$B$10)+N(O55)*(1+AG55)+N(P55)*(1+AG55+Parámetros!$B$8)+N(Q55)*(1+AG55+Parámetros!$B$9)+N(R55)*(1+AG55+Parámetros!$B$10)),0))</f>
        <v/>
      </c>
      <c r="U55" s="5" t="str">
        <f>IF(OR(A55="",D55="",E55=""),"",IF(N(M55)+N(N55)+N(Q55)+N(R55)&gt;Parámetros!$B$12,"Supera el límite de horas extras diarias",IF(C55="Cédula no registrada","Registre la cédula en «Trabajadores»","")))</f>
        <v/>
      </c>
      <c r="X55" s="20">
        <f t="shared" si="10"/>
        <v>0</v>
      </c>
      <c r="Y55" s="20">
        <f t="shared" si="11"/>
        <v>0</v>
      </c>
      <c r="Z55" s="20">
        <f t="shared" si="12"/>
        <v>0</v>
      </c>
      <c r="AA55" s="20">
        <f t="shared" si="13"/>
        <v>0</v>
      </c>
      <c r="AB55" s="20">
        <f t="shared" si="14"/>
        <v>0</v>
      </c>
      <c r="AC55" s="20">
        <f t="shared" si="15"/>
        <v>0</v>
      </c>
      <c r="AD55" s="20">
        <f>IF(A55="",21/24,MOD(VLOOKUP(A55,Parámetros!$A$24:$B$25,2,TRUE()),1))</f>
        <v>0.875</v>
      </c>
      <c r="AE55" s="5">
        <f>IF(A55="",0,IF(OR(WEEKDAY(A55,2)=7,COUNTIF(Festivos!$A$5:$A$451,A55)&gt;0),1,0))</f>
        <v>0</v>
      </c>
      <c r="AF55" s="5">
        <f>IF(A55="",0,IF(OR(WEEKDAY(A55+1,2)=7,COUNTIF(Festivos!$A$5:$A$451,A55+1)&gt;0),1,0))</f>
        <v>0</v>
      </c>
      <c r="AG55" s="9">
        <f>IF(A55="",0,VLOOKUP(A55,Parámetros!$A$18:$B$21,2,TRUE()))</f>
        <v>0</v>
      </c>
      <c r="AH55" s="20">
        <f t="shared" si="16"/>
        <v>0</v>
      </c>
      <c r="AI55" s="20">
        <f>MAX(0,MIN(AB55,Parámetros!$B$11)-MAX(X55,0))+MAX(0,MIN(AB55,1+Parámetros!$B$11)-MAX(X55,AD55))+MAX(0,MIN(AB55,2)-MAX(X55,1+AD55))</f>
        <v>0</v>
      </c>
      <c r="AJ55" s="20">
        <f t="shared" si="17"/>
        <v>0</v>
      </c>
      <c r="AK55" s="20">
        <f>AE55*(MAX(0,MIN(AB55,Parámetros!$B$11)-MAX(X55,0))+MAX(0,MIN(AB55,1)-MAX(X55,AD55)))+AF55*(MAX(0,MIN(AB55,1+Parámetros!$B$11)-MAX(X55,1))+MAX(0,MIN(AB55,2)-MAX(X55,1+AD55)))</f>
        <v>0</v>
      </c>
      <c r="AL55" s="20">
        <f t="shared" si="18"/>
        <v>0</v>
      </c>
      <c r="AM55" s="20">
        <f>MAX(0,MIN(AC55,Parámetros!$B$11)-MAX(AB55,0))+MAX(0,MIN(AC55,1+Parámetros!$B$11)-MAX(AB55,AD55))+MAX(0,MIN(AC55,2)-MAX(AB55,1+AD55))</f>
        <v>0</v>
      </c>
      <c r="AN55" s="20">
        <f t="shared" si="19"/>
        <v>0</v>
      </c>
      <c r="AO55" s="20">
        <f>AE55*(MAX(0,MIN(AC55,Parámetros!$B$11)-MAX(AB55,0))+MAX(0,MIN(AC55,1)-MAX(AB55,AD55)))+AF55*(MAX(0,MIN(AC55,1+Parámetros!$B$11)-MAX(AB55,1))+MAX(0,MIN(AC55,2)-MAX(AB55,1+AD55)))</f>
        <v>0</v>
      </c>
    </row>
    <row r="56" spans="1:41" x14ac:dyDescent="0.25">
      <c r="A56" s="15"/>
      <c r="B56" s="8"/>
      <c r="C56" s="5" t="str">
        <f>IF(B56="","",IFERROR(INDEX(Trabajadores!$B$5:$B$204,MATCH(B56,Trabajadores!$A$5:$A$204,0)),"Cédula no registrada"))</f>
        <v/>
      </c>
      <c r="D56" s="11"/>
      <c r="E56" s="11"/>
      <c r="F56" s="8"/>
      <c r="G56" s="18" t="str">
        <f>IF(A56="","",IFERROR(INDEX(Trabajadores!$E$5:$E$204,MATCH(B56,Trabajadores!$A$5:$A$204,0))/Parámetros!$B$6,0)+IF(IFERROR(INDEX(Trabajadores!$E$5:$E$204,MATCH(B56,Trabajadores!$A$5:$A$204,0)),"")="",Parámetros!$B$7,0))</f>
        <v/>
      </c>
      <c r="H56" s="5" t="str">
        <f t="shared" si="0"/>
        <v/>
      </c>
      <c r="I56" s="5" t="str">
        <f>IF(A56="","",IF(COUNTIF(Festivos!$A$5:$A$451,A56)&gt;0,"Festivo",IF(WEEKDAY(A56,2)=7,"Domingo",IF(AND(AF56=1,AC56&gt;1),IF(COUNTIF(Festivos!$A$5:$A$451,A56+1)&gt;0,"Festivo","Domingo")&amp;" desde las 00:00",""))))</f>
        <v/>
      </c>
      <c r="J56" s="19" t="str">
        <f t="shared" si="1"/>
        <v/>
      </c>
      <c r="K56" s="19" t="str">
        <f t="shared" si="2"/>
        <v/>
      </c>
      <c r="L56" s="19" t="str">
        <f t="shared" si="3"/>
        <v/>
      </c>
      <c r="M56" s="19" t="str">
        <f t="shared" si="4"/>
        <v/>
      </c>
      <c r="N56" s="19" t="str">
        <f t="shared" si="5"/>
        <v/>
      </c>
      <c r="O56" s="19" t="str">
        <f t="shared" si="6"/>
        <v/>
      </c>
      <c r="P56" s="19" t="str">
        <f t="shared" si="7"/>
        <v/>
      </c>
      <c r="Q56" s="19" t="str">
        <f t="shared" si="8"/>
        <v/>
      </c>
      <c r="R56" s="19" t="str">
        <f t="shared" si="9"/>
        <v/>
      </c>
      <c r="S56" s="17" t="str">
        <f>IF(B56="","",IFERROR(INDEX(Trabajadores!$G$5:$G$204,MATCH(B56,Trabajadores!$A$5:$A$204,0)),""))</f>
        <v/>
      </c>
      <c r="T56" s="17" t="str">
        <f>IF(OR(OR(A56="",D56="",E56=""),S56=""),"",ROUND(S56*(N(L56)*Parámetros!$B$8+N(M56)*(1+Parámetros!$B$9)+N(N56)*(1+Parámetros!$B$10)+N(O56)*(1+AG56)+N(P56)*(1+AG56+Parámetros!$B$8)+N(Q56)*(1+AG56+Parámetros!$B$9)+N(R56)*(1+AG56+Parámetros!$B$10)),0))</f>
        <v/>
      </c>
      <c r="U56" s="5" t="str">
        <f>IF(OR(A56="",D56="",E56=""),"",IF(N(M56)+N(N56)+N(Q56)+N(R56)&gt;Parámetros!$B$12,"Supera el límite de horas extras diarias",IF(C56="Cédula no registrada","Registre la cédula en «Trabajadores»","")))</f>
        <v/>
      </c>
      <c r="X56" s="20">
        <f t="shared" si="10"/>
        <v>0</v>
      </c>
      <c r="Y56" s="20">
        <f t="shared" si="11"/>
        <v>0</v>
      </c>
      <c r="Z56" s="20">
        <f t="shared" si="12"/>
        <v>0</v>
      </c>
      <c r="AA56" s="20">
        <f t="shared" si="13"/>
        <v>0</v>
      </c>
      <c r="AB56" s="20">
        <f t="shared" si="14"/>
        <v>0</v>
      </c>
      <c r="AC56" s="20">
        <f t="shared" si="15"/>
        <v>0</v>
      </c>
      <c r="AD56" s="20">
        <f>IF(A56="",21/24,MOD(VLOOKUP(A56,Parámetros!$A$24:$B$25,2,TRUE()),1))</f>
        <v>0.875</v>
      </c>
      <c r="AE56" s="5">
        <f>IF(A56="",0,IF(OR(WEEKDAY(A56,2)=7,COUNTIF(Festivos!$A$5:$A$451,A56)&gt;0),1,0))</f>
        <v>0</v>
      </c>
      <c r="AF56" s="5">
        <f>IF(A56="",0,IF(OR(WEEKDAY(A56+1,2)=7,COUNTIF(Festivos!$A$5:$A$451,A56+1)&gt;0),1,0))</f>
        <v>0</v>
      </c>
      <c r="AG56" s="9">
        <f>IF(A56="",0,VLOOKUP(A56,Parámetros!$A$18:$B$21,2,TRUE()))</f>
        <v>0</v>
      </c>
      <c r="AH56" s="20">
        <f t="shared" si="16"/>
        <v>0</v>
      </c>
      <c r="AI56" s="20">
        <f>MAX(0,MIN(AB56,Parámetros!$B$11)-MAX(X56,0))+MAX(0,MIN(AB56,1+Parámetros!$B$11)-MAX(X56,AD56))+MAX(0,MIN(AB56,2)-MAX(X56,1+AD56))</f>
        <v>0</v>
      </c>
      <c r="AJ56" s="20">
        <f t="shared" si="17"/>
        <v>0</v>
      </c>
      <c r="AK56" s="20">
        <f>AE56*(MAX(0,MIN(AB56,Parámetros!$B$11)-MAX(X56,0))+MAX(0,MIN(AB56,1)-MAX(X56,AD56)))+AF56*(MAX(0,MIN(AB56,1+Parámetros!$B$11)-MAX(X56,1))+MAX(0,MIN(AB56,2)-MAX(X56,1+AD56)))</f>
        <v>0</v>
      </c>
      <c r="AL56" s="20">
        <f t="shared" si="18"/>
        <v>0</v>
      </c>
      <c r="AM56" s="20">
        <f>MAX(0,MIN(AC56,Parámetros!$B$11)-MAX(AB56,0))+MAX(0,MIN(AC56,1+Parámetros!$B$11)-MAX(AB56,AD56))+MAX(0,MIN(AC56,2)-MAX(AB56,1+AD56))</f>
        <v>0</v>
      </c>
      <c r="AN56" s="20">
        <f t="shared" si="19"/>
        <v>0</v>
      </c>
      <c r="AO56" s="20">
        <f>AE56*(MAX(0,MIN(AC56,Parámetros!$B$11)-MAX(AB56,0))+MAX(0,MIN(AC56,1)-MAX(AB56,AD56)))+AF56*(MAX(0,MIN(AC56,1+Parámetros!$B$11)-MAX(AB56,1))+MAX(0,MIN(AC56,2)-MAX(AB56,1+AD56)))</f>
        <v>0</v>
      </c>
    </row>
    <row r="57" spans="1:41" x14ac:dyDescent="0.25">
      <c r="A57" s="15"/>
      <c r="B57" s="8"/>
      <c r="C57" s="5" t="str">
        <f>IF(B57="","",IFERROR(INDEX(Trabajadores!$B$5:$B$204,MATCH(B57,Trabajadores!$A$5:$A$204,0)),"Cédula no registrada"))</f>
        <v/>
      </c>
      <c r="D57" s="11"/>
      <c r="E57" s="11"/>
      <c r="F57" s="8"/>
      <c r="G57" s="18" t="str">
        <f>IF(A57="","",IFERROR(INDEX(Trabajadores!$E$5:$E$204,MATCH(B57,Trabajadores!$A$5:$A$204,0))/Parámetros!$B$6,0)+IF(IFERROR(INDEX(Trabajadores!$E$5:$E$204,MATCH(B57,Trabajadores!$A$5:$A$204,0)),"")="",Parámetros!$B$7,0))</f>
        <v/>
      </c>
      <c r="H57" s="5" t="str">
        <f t="shared" si="0"/>
        <v/>
      </c>
      <c r="I57" s="5" t="str">
        <f>IF(A57="","",IF(COUNTIF(Festivos!$A$5:$A$451,A57)&gt;0,"Festivo",IF(WEEKDAY(A57,2)=7,"Domingo",IF(AND(AF57=1,AC57&gt;1),IF(COUNTIF(Festivos!$A$5:$A$451,A57+1)&gt;0,"Festivo","Domingo")&amp;" desde las 00:00",""))))</f>
        <v/>
      </c>
      <c r="J57" s="19" t="str">
        <f t="shared" si="1"/>
        <v/>
      </c>
      <c r="K57" s="19" t="str">
        <f t="shared" si="2"/>
        <v/>
      </c>
      <c r="L57" s="19" t="str">
        <f t="shared" si="3"/>
        <v/>
      </c>
      <c r="M57" s="19" t="str">
        <f t="shared" si="4"/>
        <v/>
      </c>
      <c r="N57" s="19" t="str">
        <f t="shared" si="5"/>
        <v/>
      </c>
      <c r="O57" s="19" t="str">
        <f t="shared" si="6"/>
        <v/>
      </c>
      <c r="P57" s="19" t="str">
        <f t="shared" si="7"/>
        <v/>
      </c>
      <c r="Q57" s="19" t="str">
        <f t="shared" si="8"/>
        <v/>
      </c>
      <c r="R57" s="19" t="str">
        <f t="shared" si="9"/>
        <v/>
      </c>
      <c r="S57" s="17" t="str">
        <f>IF(B57="","",IFERROR(INDEX(Trabajadores!$G$5:$G$204,MATCH(B57,Trabajadores!$A$5:$A$204,0)),""))</f>
        <v/>
      </c>
      <c r="T57" s="17" t="str">
        <f>IF(OR(OR(A57="",D57="",E57=""),S57=""),"",ROUND(S57*(N(L57)*Parámetros!$B$8+N(M57)*(1+Parámetros!$B$9)+N(N57)*(1+Parámetros!$B$10)+N(O57)*(1+AG57)+N(P57)*(1+AG57+Parámetros!$B$8)+N(Q57)*(1+AG57+Parámetros!$B$9)+N(R57)*(1+AG57+Parámetros!$B$10)),0))</f>
        <v/>
      </c>
      <c r="U57" s="5" t="str">
        <f>IF(OR(A57="",D57="",E57=""),"",IF(N(M57)+N(N57)+N(Q57)+N(R57)&gt;Parámetros!$B$12,"Supera el límite de horas extras diarias",IF(C57="Cédula no registrada","Registre la cédula en «Trabajadores»","")))</f>
        <v/>
      </c>
      <c r="X57" s="20">
        <f t="shared" si="10"/>
        <v>0</v>
      </c>
      <c r="Y57" s="20">
        <f t="shared" si="11"/>
        <v>0</v>
      </c>
      <c r="Z57" s="20">
        <f t="shared" si="12"/>
        <v>0</v>
      </c>
      <c r="AA57" s="20">
        <f t="shared" si="13"/>
        <v>0</v>
      </c>
      <c r="AB57" s="20">
        <f t="shared" si="14"/>
        <v>0</v>
      </c>
      <c r="AC57" s="20">
        <f t="shared" si="15"/>
        <v>0</v>
      </c>
      <c r="AD57" s="20">
        <f>IF(A57="",21/24,MOD(VLOOKUP(A57,Parámetros!$A$24:$B$25,2,TRUE()),1))</f>
        <v>0.875</v>
      </c>
      <c r="AE57" s="5">
        <f>IF(A57="",0,IF(OR(WEEKDAY(A57,2)=7,COUNTIF(Festivos!$A$5:$A$451,A57)&gt;0),1,0))</f>
        <v>0</v>
      </c>
      <c r="AF57" s="5">
        <f>IF(A57="",0,IF(OR(WEEKDAY(A57+1,2)=7,COUNTIF(Festivos!$A$5:$A$451,A57+1)&gt;0),1,0))</f>
        <v>0</v>
      </c>
      <c r="AG57" s="9">
        <f>IF(A57="",0,VLOOKUP(A57,Parámetros!$A$18:$B$21,2,TRUE()))</f>
        <v>0</v>
      </c>
      <c r="AH57" s="20">
        <f t="shared" si="16"/>
        <v>0</v>
      </c>
      <c r="AI57" s="20">
        <f>MAX(0,MIN(AB57,Parámetros!$B$11)-MAX(X57,0))+MAX(0,MIN(AB57,1+Parámetros!$B$11)-MAX(X57,AD57))+MAX(0,MIN(AB57,2)-MAX(X57,1+AD57))</f>
        <v>0</v>
      </c>
      <c r="AJ57" s="20">
        <f t="shared" si="17"/>
        <v>0</v>
      </c>
      <c r="AK57" s="20">
        <f>AE57*(MAX(0,MIN(AB57,Parámetros!$B$11)-MAX(X57,0))+MAX(0,MIN(AB57,1)-MAX(X57,AD57)))+AF57*(MAX(0,MIN(AB57,1+Parámetros!$B$11)-MAX(X57,1))+MAX(0,MIN(AB57,2)-MAX(X57,1+AD57)))</f>
        <v>0</v>
      </c>
      <c r="AL57" s="20">
        <f t="shared" si="18"/>
        <v>0</v>
      </c>
      <c r="AM57" s="20">
        <f>MAX(0,MIN(AC57,Parámetros!$B$11)-MAX(AB57,0))+MAX(0,MIN(AC57,1+Parámetros!$B$11)-MAX(AB57,AD57))+MAX(0,MIN(AC57,2)-MAX(AB57,1+AD57))</f>
        <v>0</v>
      </c>
      <c r="AN57" s="20">
        <f t="shared" si="19"/>
        <v>0</v>
      </c>
      <c r="AO57" s="20">
        <f>AE57*(MAX(0,MIN(AC57,Parámetros!$B$11)-MAX(AB57,0))+MAX(0,MIN(AC57,1)-MAX(AB57,AD57)))+AF57*(MAX(0,MIN(AC57,1+Parámetros!$B$11)-MAX(AB57,1))+MAX(0,MIN(AC57,2)-MAX(AB57,1+AD57)))</f>
        <v>0</v>
      </c>
    </row>
    <row r="58" spans="1:41" x14ac:dyDescent="0.25">
      <c r="A58" s="15"/>
      <c r="B58" s="8"/>
      <c r="C58" s="5" t="str">
        <f>IF(B58="","",IFERROR(INDEX(Trabajadores!$B$5:$B$204,MATCH(B58,Trabajadores!$A$5:$A$204,0)),"Cédula no registrada"))</f>
        <v/>
      </c>
      <c r="D58" s="11"/>
      <c r="E58" s="11"/>
      <c r="F58" s="8"/>
      <c r="G58" s="18" t="str">
        <f>IF(A58="","",IFERROR(INDEX(Trabajadores!$E$5:$E$204,MATCH(B58,Trabajadores!$A$5:$A$204,0))/Parámetros!$B$6,0)+IF(IFERROR(INDEX(Trabajadores!$E$5:$E$204,MATCH(B58,Trabajadores!$A$5:$A$204,0)),"")="",Parámetros!$B$7,0))</f>
        <v/>
      </c>
      <c r="H58" s="5" t="str">
        <f t="shared" si="0"/>
        <v/>
      </c>
      <c r="I58" s="5" t="str">
        <f>IF(A58="","",IF(COUNTIF(Festivos!$A$5:$A$451,A58)&gt;0,"Festivo",IF(WEEKDAY(A58,2)=7,"Domingo",IF(AND(AF58=1,AC58&gt;1),IF(COUNTIF(Festivos!$A$5:$A$451,A58+1)&gt;0,"Festivo","Domingo")&amp;" desde las 00:00",""))))</f>
        <v/>
      </c>
      <c r="J58" s="19" t="str">
        <f t="shared" si="1"/>
        <v/>
      </c>
      <c r="K58" s="19" t="str">
        <f t="shared" si="2"/>
        <v/>
      </c>
      <c r="L58" s="19" t="str">
        <f t="shared" si="3"/>
        <v/>
      </c>
      <c r="M58" s="19" t="str">
        <f t="shared" si="4"/>
        <v/>
      </c>
      <c r="N58" s="19" t="str">
        <f t="shared" si="5"/>
        <v/>
      </c>
      <c r="O58" s="19" t="str">
        <f t="shared" si="6"/>
        <v/>
      </c>
      <c r="P58" s="19" t="str">
        <f t="shared" si="7"/>
        <v/>
      </c>
      <c r="Q58" s="19" t="str">
        <f t="shared" si="8"/>
        <v/>
      </c>
      <c r="R58" s="19" t="str">
        <f t="shared" si="9"/>
        <v/>
      </c>
      <c r="S58" s="17" t="str">
        <f>IF(B58="","",IFERROR(INDEX(Trabajadores!$G$5:$G$204,MATCH(B58,Trabajadores!$A$5:$A$204,0)),""))</f>
        <v/>
      </c>
      <c r="T58" s="17" t="str">
        <f>IF(OR(OR(A58="",D58="",E58=""),S58=""),"",ROUND(S58*(N(L58)*Parámetros!$B$8+N(M58)*(1+Parámetros!$B$9)+N(N58)*(1+Parámetros!$B$10)+N(O58)*(1+AG58)+N(P58)*(1+AG58+Parámetros!$B$8)+N(Q58)*(1+AG58+Parámetros!$B$9)+N(R58)*(1+AG58+Parámetros!$B$10)),0))</f>
        <v/>
      </c>
      <c r="U58" s="5" t="str">
        <f>IF(OR(A58="",D58="",E58=""),"",IF(N(M58)+N(N58)+N(Q58)+N(R58)&gt;Parámetros!$B$12,"Supera el límite de horas extras diarias",IF(C58="Cédula no registrada","Registre la cédula en «Trabajadores»","")))</f>
        <v/>
      </c>
      <c r="X58" s="20">
        <f t="shared" si="10"/>
        <v>0</v>
      </c>
      <c r="Y58" s="20">
        <f t="shared" si="11"/>
        <v>0</v>
      </c>
      <c r="Z58" s="20">
        <f t="shared" si="12"/>
        <v>0</v>
      </c>
      <c r="AA58" s="20">
        <f t="shared" si="13"/>
        <v>0</v>
      </c>
      <c r="AB58" s="20">
        <f t="shared" si="14"/>
        <v>0</v>
      </c>
      <c r="AC58" s="20">
        <f t="shared" si="15"/>
        <v>0</v>
      </c>
      <c r="AD58" s="20">
        <f>IF(A58="",21/24,MOD(VLOOKUP(A58,Parámetros!$A$24:$B$25,2,TRUE()),1))</f>
        <v>0.875</v>
      </c>
      <c r="AE58" s="5">
        <f>IF(A58="",0,IF(OR(WEEKDAY(A58,2)=7,COUNTIF(Festivos!$A$5:$A$451,A58)&gt;0),1,0))</f>
        <v>0</v>
      </c>
      <c r="AF58" s="5">
        <f>IF(A58="",0,IF(OR(WEEKDAY(A58+1,2)=7,COUNTIF(Festivos!$A$5:$A$451,A58+1)&gt;0),1,0))</f>
        <v>0</v>
      </c>
      <c r="AG58" s="9">
        <f>IF(A58="",0,VLOOKUP(A58,Parámetros!$A$18:$B$21,2,TRUE()))</f>
        <v>0</v>
      </c>
      <c r="AH58" s="20">
        <f t="shared" si="16"/>
        <v>0</v>
      </c>
      <c r="AI58" s="20">
        <f>MAX(0,MIN(AB58,Parámetros!$B$11)-MAX(X58,0))+MAX(0,MIN(AB58,1+Parámetros!$B$11)-MAX(X58,AD58))+MAX(0,MIN(AB58,2)-MAX(X58,1+AD58))</f>
        <v>0</v>
      </c>
      <c r="AJ58" s="20">
        <f t="shared" si="17"/>
        <v>0</v>
      </c>
      <c r="AK58" s="20">
        <f>AE58*(MAX(0,MIN(AB58,Parámetros!$B$11)-MAX(X58,0))+MAX(0,MIN(AB58,1)-MAX(X58,AD58)))+AF58*(MAX(0,MIN(AB58,1+Parámetros!$B$11)-MAX(X58,1))+MAX(0,MIN(AB58,2)-MAX(X58,1+AD58)))</f>
        <v>0</v>
      </c>
      <c r="AL58" s="20">
        <f t="shared" si="18"/>
        <v>0</v>
      </c>
      <c r="AM58" s="20">
        <f>MAX(0,MIN(AC58,Parámetros!$B$11)-MAX(AB58,0))+MAX(0,MIN(AC58,1+Parámetros!$B$11)-MAX(AB58,AD58))+MAX(0,MIN(AC58,2)-MAX(AB58,1+AD58))</f>
        <v>0</v>
      </c>
      <c r="AN58" s="20">
        <f t="shared" si="19"/>
        <v>0</v>
      </c>
      <c r="AO58" s="20">
        <f>AE58*(MAX(0,MIN(AC58,Parámetros!$B$11)-MAX(AB58,0))+MAX(0,MIN(AC58,1)-MAX(AB58,AD58)))+AF58*(MAX(0,MIN(AC58,1+Parámetros!$B$11)-MAX(AB58,1))+MAX(0,MIN(AC58,2)-MAX(AB58,1+AD58)))</f>
        <v>0</v>
      </c>
    </row>
    <row r="59" spans="1:41" x14ac:dyDescent="0.25">
      <c r="A59" s="15"/>
      <c r="B59" s="8"/>
      <c r="C59" s="5" t="str">
        <f>IF(B59="","",IFERROR(INDEX(Trabajadores!$B$5:$B$204,MATCH(B59,Trabajadores!$A$5:$A$204,0)),"Cédula no registrada"))</f>
        <v/>
      </c>
      <c r="D59" s="11"/>
      <c r="E59" s="11"/>
      <c r="F59" s="8"/>
      <c r="G59" s="18" t="str">
        <f>IF(A59="","",IFERROR(INDEX(Trabajadores!$E$5:$E$204,MATCH(B59,Trabajadores!$A$5:$A$204,0))/Parámetros!$B$6,0)+IF(IFERROR(INDEX(Trabajadores!$E$5:$E$204,MATCH(B59,Trabajadores!$A$5:$A$204,0)),"")="",Parámetros!$B$7,0))</f>
        <v/>
      </c>
      <c r="H59" s="5" t="str">
        <f t="shared" si="0"/>
        <v/>
      </c>
      <c r="I59" s="5" t="str">
        <f>IF(A59="","",IF(COUNTIF(Festivos!$A$5:$A$451,A59)&gt;0,"Festivo",IF(WEEKDAY(A59,2)=7,"Domingo",IF(AND(AF59=1,AC59&gt;1),IF(COUNTIF(Festivos!$A$5:$A$451,A59+1)&gt;0,"Festivo","Domingo")&amp;" desde las 00:00",""))))</f>
        <v/>
      </c>
      <c r="J59" s="19" t="str">
        <f t="shared" si="1"/>
        <v/>
      </c>
      <c r="K59" s="19" t="str">
        <f t="shared" si="2"/>
        <v/>
      </c>
      <c r="L59" s="19" t="str">
        <f t="shared" si="3"/>
        <v/>
      </c>
      <c r="M59" s="19" t="str">
        <f t="shared" si="4"/>
        <v/>
      </c>
      <c r="N59" s="19" t="str">
        <f t="shared" si="5"/>
        <v/>
      </c>
      <c r="O59" s="19" t="str">
        <f t="shared" si="6"/>
        <v/>
      </c>
      <c r="P59" s="19" t="str">
        <f t="shared" si="7"/>
        <v/>
      </c>
      <c r="Q59" s="19" t="str">
        <f t="shared" si="8"/>
        <v/>
      </c>
      <c r="R59" s="19" t="str">
        <f t="shared" si="9"/>
        <v/>
      </c>
      <c r="S59" s="17" t="str">
        <f>IF(B59="","",IFERROR(INDEX(Trabajadores!$G$5:$G$204,MATCH(B59,Trabajadores!$A$5:$A$204,0)),""))</f>
        <v/>
      </c>
      <c r="T59" s="17" t="str">
        <f>IF(OR(OR(A59="",D59="",E59=""),S59=""),"",ROUND(S59*(N(L59)*Parámetros!$B$8+N(M59)*(1+Parámetros!$B$9)+N(N59)*(1+Parámetros!$B$10)+N(O59)*(1+AG59)+N(P59)*(1+AG59+Parámetros!$B$8)+N(Q59)*(1+AG59+Parámetros!$B$9)+N(R59)*(1+AG59+Parámetros!$B$10)),0))</f>
        <v/>
      </c>
      <c r="U59" s="5" t="str">
        <f>IF(OR(A59="",D59="",E59=""),"",IF(N(M59)+N(N59)+N(Q59)+N(R59)&gt;Parámetros!$B$12,"Supera el límite de horas extras diarias",IF(C59="Cédula no registrada","Registre la cédula en «Trabajadores»","")))</f>
        <v/>
      </c>
      <c r="X59" s="20">
        <f t="shared" si="10"/>
        <v>0</v>
      </c>
      <c r="Y59" s="20">
        <f t="shared" si="11"/>
        <v>0</v>
      </c>
      <c r="Z59" s="20">
        <f t="shared" si="12"/>
        <v>0</v>
      </c>
      <c r="AA59" s="20">
        <f t="shared" si="13"/>
        <v>0</v>
      </c>
      <c r="AB59" s="20">
        <f t="shared" si="14"/>
        <v>0</v>
      </c>
      <c r="AC59" s="20">
        <f t="shared" si="15"/>
        <v>0</v>
      </c>
      <c r="AD59" s="20">
        <f>IF(A59="",21/24,MOD(VLOOKUP(A59,Parámetros!$A$24:$B$25,2,TRUE()),1))</f>
        <v>0.875</v>
      </c>
      <c r="AE59" s="5">
        <f>IF(A59="",0,IF(OR(WEEKDAY(A59,2)=7,COUNTIF(Festivos!$A$5:$A$451,A59)&gt;0),1,0))</f>
        <v>0</v>
      </c>
      <c r="AF59" s="5">
        <f>IF(A59="",0,IF(OR(WEEKDAY(A59+1,2)=7,COUNTIF(Festivos!$A$5:$A$451,A59+1)&gt;0),1,0))</f>
        <v>0</v>
      </c>
      <c r="AG59" s="9">
        <f>IF(A59="",0,VLOOKUP(A59,Parámetros!$A$18:$B$21,2,TRUE()))</f>
        <v>0</v>
      </c>
      <c r="AH59" s="20">
        <f t="shared" si="16"/>
        <v>0</v>
      </c>
      <c r="AI59" s="20">
        <f>MAX(0,MIN(AB59,Parámetros!$B$11)-MAX(X59,0))+MAX(0,MIN(AB59,1+Parámetros!$B$11)-MAX(X59,AD59))+MAX(0,MIN(AB59,2)-MAX(X59,1+AD59))</f>
        <v>0</v>
      </c>
      <c r="AJ59" s="20">
        <f t="shared" si="17"/>
        <v>0</v>
      </c>
      <c r="AK59" s="20">
        <f>AE59*(MAX(0,MIN(AB59,Parámetros!$B$11)-MAX(X59,0))+MAX(0,MIN(AB59,1)-MAX(X59,AD59)))+AF59*(MAX(0,MIN(AB59,1+Parámetros!$B$11)-MAX(X59,1))+MAX(0,MIN(AB59,2)-MAX(X59,1+AD59)))</f>
        <v>0</v>
      </c>
      <c r="AL59" s="20">
        <f t="shared" si="18"/>
        <v>0</v>
      </c>
      <c r="AM59" s="20">
        <f>MAX(0,MIN(AC59,Parámetros!$B$11)-MAX(AB59,0))+MAX(0,MIN(AC59,1+Parámetros!$B$11)-MAX(AB59,AD59))+MAX(0,MIN(AC59,2)-MAX(AB59,1+AD59))</f>
        <v>0</v>
      </c>
      <c r="AN59" s="20">
        <f t="shared" si="19"/>
        <v>0</v>
      </c>
      <c r="AO59" s="20">
        <f>AE59*(MAX(0,MIN(AC59,Parámetros!$B$11)-MAX(AB59,0))+MAX(0,MIN(AC59,1)-MAX(AB59,AD59)))+AF59*(MAX(0,MIN(AC59,1+Parámetros!$B$11)-MAX(AB59,1))+MAX(0,MIN(AC59,2)-MAX(AB59,1+AD59)))</f>
        <v>0</v>
      </c>
    </row>
    <row r="60" spans="1:41" x14ac:dyDescent="0.25">
      <c r="A60" s="15"/>
      <c r="B60" s="8"/>
      <c r="C60" s="5" t="str">
        <f>IF(B60="","",IFERROR(INDEX(Trabajadores!$B$5:$B$204,MATCH(B60,Trabajadores!$A$5:$A$204,0)),"Cédula no registrada"))</f>
        <v/>
      </c>
      <c r="D60" s="11"/>
      <c r="E60" s="11"/>
      <c r="F60" s="8"/>
      <c r="G60" s="18" t="str">
        <f>IF(A60="","",IFERROR(INDEX(Trabajadores!$E$5:$E$204,MATCH(B60,Trabajadores!$A$5:$A$204,0))/Parámetros!$B$6,0)+IF(IFERROR(INDEX(Trabajadores!$E$5:$E$204,MATCH(B60,Trabajadores!$A$5:$A$204,0)),"")="",Parámetros!$B$7,0))</f>
        <v/>
      </c>
      <c r="H60" s="5" t="str">
        <f t="shared" si="0"/>
        <v/>
      </c>
      <c r="I60" s="5" t="str">
        <f>IF(A60="","",IF(COUNTIF(Festivos!$A$5:$A$451,A60)&gt;0,"Festivo",IF(WEEKDAY(A60,2)=7,"Domingo",IF(AND(AF60=1,AC60&gt;1),IF(COUNTIF(Festivos!$A$5:$A$451,A60+1)&gt;0,"Festivo","Domingo")&amp;" desde las 00:00",""))))</f>
        <v/>
      </c>
      <c r="J60" s="19" t="str">
        <f t="shared" si="1"/>
        <v/>
      </c>
      <c r="K60" s="19" t="str">
        <f t="shared" si="2"/>
        <v/>
      </c>
      <c r="L60" s="19" t="str">
        <f t="shared" si="3"/>
        <v/>
      </c>
      <c r="M60" s="19" t="str">
        <f t="shared" si="4"/>
        <v/>
      </c>
      <c r="N60" s="19" t="str">
        <f t="shared" si="5"/>
        <v/>
      </c>
      <c r="O60" s="19" t="str">
        <f t="shared" si="6"/>
        <v/>
      </c>
      <c r="P60" s="19" t="str">
        <f t="shared" si="7"/>
        <v/>
      </c>
      <c r="Q60" s="19" t="str">
        <f t="shared" si="8"/>
        <v/>
      </c>
      <c r="R60" s="19" t="str">
        <f t="shared" si="9"/>
        <v/>
      </c>
      <c r="S60" s="17" t="str">
        <f>IF(B60="","",IFERROR(INDEX(Trabajadores!$G$5:$G$204,MATCH(B60,Trabajadores!$A$5:$A$204,0)),""))</f>
        <v/>
      </c>
      <c r="T60" s="17" t="str">
        <f>IF(OR(OR(A60="",D60="",E60=""),S60=""),"",ROUND(S60*(N(L60)*Parámetros!$B$8+N(M60)*(1+Parámetros!$B$9)+N(N60)*(1+Parámetros!$B$10)+N(O60)*(1+AG60)+N(P60)*(1+AG60+Parámetros!$B$8)+N(Q60)*(1+AG60+Parámetros!$B$9)+N(R60)*(1+AG60+Parámetros!$B$10)),0))</f>
        <v/>
      </c>
      <c r="U60" s="5" t="str">
        <f>IF(OR(A60="",D60="",E60=""),"",IF(N(M60)+N(N60)+N(Q60)+N(R60)&gt;Parámetros!$B$12,"Supera el límite de horas extras diarias",IF(C60="Cédula no registrada","Registre la cédula en «Trabajadores»","")))</f>
        <v/>
      </c>
      <c r="X60" s="20">
        <f t="shared" si="10"/>
        <v>0</v>
      </c>
      <c r="Y60" s="20">
        <f t="shared" si="11"/>
        <v>0</v>
      </c>
      <c r="Z60" s="20">
        <f t="shared" si="12"/>
        <v>0</v>
      </c>
      <c r="AA60" s="20">
        <f t="shared" si="13"/>
        <v>0</v>
      </c>
      <c r="AB60" s="20">
        <f t="shared" si="14"/>
        <v>0</v>
      </c>
      <c r="AC60" s="20">
        <f t="shared" si="15"/>
        <v>0</v>
      </c>
      <c r="AD60" s="20">
        <f>IF(A60="",21/24,MOD(VLOOKUP(A60,Parámetros!$A$24:$B$25,2,TRUE()),1))</f>
        <v>0.875</v>
      </c>
      <c r="AE60" s="5">
        <f>IF(A60="",0,IF(OR(WEEKDAY(A60,2)=7,COUNTIF(Festivos!$A$5:$A$451,A60)&gt;0),1,0))</f>
        <v>0</v>
      </c>
      <c r="AF60" s="5">
        <f>IF(A60="",0,IF(OR(WEEKDAY(A60+1,2)=7,COUNTIF(Festivos!$A$5:$A$451,A60+1)&gt;0),1,0))</f>
        <v>0</v>
      </c>
      <c r="AG60" s="9">
        <f>IF(A60="",0,VLOOKUP(A60,Parámetros!$A$18:$B$21,2,TRUE()))</f>
        <v>0</v>
      </c>
      <c r="AH60" s="20">
        <f t="shared" si="16"/>
        <v>0</v>
      </c>
      <c r="AI60" s="20">
        <f>MAX(0,MIN(AB60,Parámetros!$B$11)-MAX(X60,0))+MAX(0,MIN(AB60,1+Parámetros!$B$11)-MAX(X60,AD60))+MAX(0,MIN(AB60,2)-MAX(X60,1+AD60))</f>
        <v>0</v>
      </c>
      <c r="AJ60" s="20">
        <f t="shared" si="17"/>
        <v>0</v>
      </c>
      <c r="AK60" s="20">
        <f>AE60*(MAX(0,MIN(AB60,Parámetros!$B$11)-MAX(X60,0))+MAX(0,MIN(AB60,1)-MAX(X60,AD60)))+AF60*(MAX(0,MIN(AB60,1+Parámetros!$B$11)-MAX(X60,1))+MAX(0,MIN(AB60,2)-MAX(X60,1+AD60)))</f>
        <v>0</v>
      </c>
      <c r="AL60" s="20">
        <f t="shared" si="18"/>
        <v>0</v>
      </c>
      <c r="AM60" s="20">
        <f>MAX(0,MIN(AC60,Parámetros!$B$11)-MAX(AB60,0))+MAX(0,MIN(AC60,1+Parámetros!$B$11)-MAX(AB60,AD60))+MAX(0,MIN(AC60,2)-MAX(AB60,1+AD60))</f>
        <v>0</v>
      </c>
      <c r="AN60" s="20">
        <f t="shared" si="19"/>
        <v>0</v>
      </c>
      <c r="AO60" s="20">
        <f>AE60*(MAX(0,MIN(AC60,Parámetros!$B$11)-MAX(AB60,0))+MAX(0,MIN(AC60,1)-MAX(AB60,AD60)))+AF60*(MAX(0,MIN(AC60,1+Parámetros!$B$11)-MAX(AB60,1))+MAX(0,MIN(AC60,2)-MAX(AB60,1+AD60)))</f>
        <v>0</v>
      </c>
    </row>
    <row r="61" spans="1:41" x14ac:dyDescent="0.25">
      <c r="A61" s="15"/>
      <c r="B61" s="8"/>
      <c r="C61" s="5" t="str">
        <f>IF(B61="","",IFERROR(INDEX(Trabajadores!$B$5:$B$204,MATCH(B61,Trabajadores!$A$5:$A$204,0)),"Cédula no registrada"))</f>
        <v/>
      </c>
      <c r="D61" s="11"/>
      <c r="E61" s="11"/>
      <c r="F61" s="8"/>
      <c r="G61" s="18" t="str">
        <f>IF(A61="","",IFERROR(INDEX(Trabajadores!$E$5:$E$204,MATCH(B61,Trabajadores!$A$5:$A$204,0))/Parámetros!$B$6,0)+IF(IFERROR(INDEX(Trabajadores!$E$5:$E$204,MATCH(B61,Trabajadores!$A$5:$A$204,0)),"")="",Parámetros!$B$7,0))</f>
        <v/>
      </c>
      <c r="H61" s="5" t="str">
        <f t="shared" si="0"/>
        <v/>
      </c>
      <c r="I61" s="5" t="str">
        <f>IF(A61="","",IF(COUNTIF(Festivos!$A$5:$A$451,A61)&gt;0,"Festivo",IF(WEEKDAY(A61,2)=7,"Domingo",IF(AND(AF61=1,AC61&gt;1),IF(COUNTIF(Festivos!$A$5:$A$451,A61+1)&gt;0,"Festivo","Domingo")&amp;" desde las 00:00",""))))</f>
        <v/>
      </c>
      <c r="J61" s="19" t="str">
        <f t="shared" si="1"/>
        <v/>
      </c>
      <c r="K61" s="19" t="str">
        <f t="shared" si="2"/>
        <v/>
      </c>
      <c r="L61" s="19" t="str">
        <f t="shared" si="3"/>
        <v/>
      </c>
      <c r="M61" s="19" t="str">
        <f t="shared" si="4"/>
        <v/>
      </c>
      <c r="N61" s="19" t="str">
        <f t="shared" si="5"/>
        <v/>
      </c>
      <c r="O61" s="19" t="str">
        <f t="shared" si="6"/>
        <v/>
      </c>
      <c r="P61" s="19" t="str">
        <f t="shared" si="7"/>
        <v/>
      </c>
      <c r="Q61" s="19" t="str">
        <f t="shared" si="8"/>
        <v/>
      </c>
      <c r="R61" s="19" t="str">
        <f t="shared" si="9"/>
        <v/>
      </c>
      <c r="S61" s="17" t="str">
        <f>IF(B61="","",IFERROR(INDEX(Trabajadores!$G$5:$G$204,MATCH(B61,Trabajadores!$A$5:$A$204,0)),""))</f>
        <v/>
      </c>
      <c r="T61" s="17" t="str">
        <f>IF(OR(OR(A61="",D61="",E61=""),S61=""),"",ROUND(S61*(N(L61)*Parámetros!$B$8+N(M61)*(1+Parámetros!$B$9)+N(N61)*(1+Parámetros!$B$10)+N(O61)*(1+AG61)+N(P61)*(1+AG61+Parámetros!$B$8)+N(Q61)*(1+AG61+Parámetros!$B$9)+N(R61)*(1+AG61+Parámetros!$B$10)),0))</f>
        <v/>
      </c>
      <c r="U61" s="5" t="str">
        <f>IF(OR(A61="",D61="",E61=""),"",IF(N(M61)+N(N61)+N(Q61)+N(R61)&gt;Parámetros!$B$12,"Supera el límite de horas extras diarias",IF(C61="Cédula no registrada","Registre la cédula en «Trabajadores»","")))</f>
        <v/>
      </c>
      <c r="X61" s="20">
        <f t="shared" si="10"/>
        <v>0</v>
      </c>
      <c r="Y61" s="20">
        <f t="shared" si="11"/>
        <v>0</v>
      </c>
      <c r="Z61" s="20">
        <f t="shared" si="12"/>
        <v>0</v>
      </c>
      <c r="AA61" s="20">
        <f t="shared" si="13"/>
        <v>0</v>
      </c>
      <c r="AB61" s="20">
        <f t="shared" si="14"/>
        <v>0</v>
      </c>
      <c r="AC61" s="20">
        <f t="shared" si="15"/>
        <v>0</v>
      </c>
      <c r="AD61" s="20">
        <f>IF(A61="",21/24,MOD(VLOOKUP(A61,Parámetros!$A$24:$B$25,2,TRUE()),1))</f>
        <v>0.875</v>
      </c>
      <c r="AE61" s="5">
        <f>IF(A61="",0,IF(OR(WEEKDAY(A61,2)=7,COUNTIF(Festivos!$A$5:$A$451,A61)&gt;0),1,0))</f>
        <v>0</v>
      </c>
      <c r="AF61" s="5">
        <f>IF(A61="",0,IF(OR(WEEKDAY(A61+1,2)=7,COUNTIF(Festivos!$A$5:$A$451,A61+1)&gt;0),1,0))</f>
        <v>0</v>
      </c>
      <c r="AG61" s="9">
        <f>IF(A61="",0,VLOOKUP(A61,Parámetros!$A$18:$B$21,2,TRUE()))</f>
        <v>0</v>
      </c>
      <c r="AH61" s="20">
        <f t="shared" si="16"/>
        <v>0</v>
      </c>
      <c r="AI61" s="20">
        <f>MAX(0,MIN(AB61,Parámetros!$B$11)-MAX(X61,0))+MAX(0,MIN(AB61,1+Parámetros!$B$11)-MAX(X61,AD61))+MAX(0,MIN(AB61,2)-MAX(X61,1+AD61))</f>
        <v>0</v>
      </c>
      <c r="AJ61" s="20">
        <f t="shared" si="17"/>
        <v>0</v>
      </c>
      <c r="AK61" s="20">
        <f>AE61*(MAX(0,MIN(AB61,Parámetros!$B$11)-MAX(X61,0))+MAX(0,MIN(AB61,1)-MAX(X61,AD61)))+AF61*(MAX(0,MIN(AB61,1+Parámetros!$B$11)-MAX(X61,1))+MAX(0,MIN(AB61,2)-MAX(X61,1+AD61)))</f>
        <v>0</v>
      </c>
      <c r="AL61" s="20">
        <f t="shared" si="18"/>
        <v>0</v>
      </c>
      <c r="AM61" s="20">
        <f>MAX(0,MIN(AC61,Parámetros!$B$11)-MAX(AB61,0))+MAX(0,MIN(AC61,1+Parámetros!$B$11)-MAX(AB61,AD61))+MAX(0,MIN(AC61,2)-MAX(AB61,1+AD61))</f>
        <v>0</v>
      </c>
      <c r="AN61" s="20">
        <f t="shared" si="19"/>
        <v>0</v>
      </c>
      <c r="AO61" s="20">
        <f>AE61*(MAX(0,MIN(AC61,Parámetros!$B$11)-MAX(AB61,0))+MAX(0,MIN(AC61,1)-MAX(AB61,AD61)))+AF61*(MAX(0,MIN(AC61,1+Parámetros!$B$11)-MAX(AB61,1))+MAX(0,MIN(AC61,2)-MAX(AB61,1+AD61)))</f>
        <v>0</v>
      </c>
    </row>
    <row r="62" spans="1:41" x14ac:dyDescent="0.25">
      <c r="A62" s="15"/>
      <c r="B62" s="8"/>
      <c r="C62" s="5" t="str">
        <f>IF(B62="","",IFERROR(INDEX(Trabajadores!$B$5:$B$204,MATCH(B62,Trabajadores!$A$5:$A$204,0)),"Cédula no registrada"))</f>
        <v/>
      </c>
      <c r="D62" s="11"/>
      <c r="E62" s="11"/>
      <c r="F62" s="8"/>
      <c r="G62" s="18" t="str">
        <f>IF(A62="","",IFERROR(INDEX(Trabajadores!$E$5:$E$204,MATCH(B62,Trabajadores!$A$5:$A$204,0))/Parámetros!$B$6,0)+IF(IFERROR(INDEX(Trabajadores!$E$5:$E$204,MATCH(B62,Trabajadores!$A$5:$A$204,0)),"")="",Parámetros!$B$7,0))</f>
        <v/>
      </c>
      <c r="H62" s="5" t="str">
        <f t="shared" si="0"/>
        <v/>
      </c>
      <c r="I62" s="5" t="str">
        <f>IF(A62="","",IF(COUNTIF(Festivos!$A$5:$A$451,A62)&gt;0,"Festivo",IF(WEEKDAY(A62,2)=7,"Domingo",IF(AND(AF62=1,AC62&gt;1),IF(COUNTIF(Festivos!$A$5:$A$451,A62+1)&gt;0,"Festivo","Domingo")&amp;" desde las 00:00",""))))</f>
        <v/>
      </c>
      <c r="J62" s="19" t="str">
        <f t="shared" si="1"/>
        <v/>
      </c>
      <c r="K62" s="19" t="str">
        <f t="shared" si="2"/>
        <v/>
      </c>
      <c r="L62" s="19" t="str">
        <f t="shared" si="3"/>
        <v/>
      </c>
      <c r="M62" s="19" t="str">
        <f t="shared" si="4"/>
        <v/>
      </c>
      <c r="N62" s="19" t="str">
        <f t="shared" si="5"/>
        <v/>
      </c>
      <c r="O62" s="19" t="str">
        <f t="shared" si="6"/>
        <v/>
      </c>
      <c r="P62" s="19" t="str">
        <f t="shared" si="7"/>
        <v/>
      </c>
      <c r="Q62" s="19" t="str">
        <f t="shared" si="8"/>
        <v/>
      </c>
      <c r="R62" s="19" t="str">
        <f t="shared" si="9"/>
        <v/>
      </c>
      <c r="S62" s="17" t="str">
        <f>IF(B62="","",IFERROR(INDEX(Trabajadores!$G$5:$G$204,MATCH(B62,Trabajadores!$A$5:$A$204,0)),""))</f>
        <v/>
      </c>
      <c r="T62" s="17" t="str">
        <f>IF(OR(OR(A62="",D62="",E62=""),S62=""),"",ROUND(S62*(N(L62)*Parámetros!$B$8+N(M62)*(1+Parámetros!$B$9)+N(N62)*(1+Parámetros!$B$10)+N(O62)*(1+AG62)+N(P62)*(1+AG62+Parámetros!$B$8)+N(Q62)*(1+AG62+Parámetros!$B$9)+N(R62)*(1+AG62+Parámetros!$B$10)),0))</f>
        <v/>
      </c>
      <c r="U62" s="5" t="str">
        <f>IF(OR(A62="",D62="",E62=""),"",IF(N(M62)+N(N62)+N(Q62)+N(R62)&gt;Parámetros!$B$12,"Supera el límite de horas extras diarias",IF(C62="Cédula no registrada","Registre la cédula en «Trabajadores»","")))</f>
        <v/>
      </c>
      <c r="X62" s="20">
        <f t="shared" si="10"/>
        <v>0</v>
      </c>
      <c r="Y62" s="20">
        <f t="shared" si="11"/>
        <v>0</v>
      </c>
      <c r="Z62" s="20">
        <f t="shared" si="12"/>
        <v>0</v>
      </c>
      <c r="AA62" s="20">
        <f t="shared" si="13"/>
        <v>0</v>
      </c>
      <c r="AB62" s="20">
        <f t="shared" si="14"/>
        <v>0</v>
      </c>
      <c r="AC62" s="20">
        <f t="shared" si="15"/>
        <v>0</v>
      </c>
      <c r="AD62" s="20">
        <f>IF(A62="",21/24,MOD(VLOOKUP(A62,Parámetros!$A$24:$B$25,2,TRUE()),1))</f>
        <v>0.875</v>
      </c>
      <c r="AE62" s="5">
        <f>IF(A62="",0,IF(OR(WEEKDAY(A62,2)=7,COUNTIF(Festivos!$A$5:$A$451,A62)&gt;0),1,0))</f>
        <v>0</v>
      </c>
      <c r="AF62" s="5">
        <f>IF(A62="",0,IF(OR(WEEKDAY(A62+1,2)=7,COUNTIF(Festivos!$A$5:$A$451,A62+1)&gt;0),1,0))</f>
        <v>0</v>
      </c>
      <c r="AG62" s="9">
        <f>IF(A62="",0,VLOOKUP(A62,Parámetros!$A$18:$B$21,2,TRUE()))</f>
        <v>0</v>
      </c>
      <c r="AH62" s="20">
        <f t="shared" si="16"/>
        <v>0</v>
      </c>
      <c r="AI62" s="20">
        <f>MAX(0,MIN(AB62,Parámetros!$B$11)-MAX(X62,0))+MAX(0,MIN(AB62,1+Parámetros!$B$11)-MAX(X62,AD62))+MAX(0,MIN(AB62,2)-MAX(X62,1+AD62))</f>
        <v>0</v>
      </c>
      <c r="AJ62" s="20">
        <f t="shared" si="17"/>
        <v>0</v>
      </c>
      <c r="AK62" s="20">
        <f>AE62*(MAX(0,MIN(AB62,Parámetros!$B$11)-MAX(X62,0))+MAX(0,MIN(AB62,1)-MAX(X62,AD62)))+AF62*(MAX(0,MIN(AB62,1+Parámetros!$B$11)-MAX(X62,1))+MAX(0,MIN(AB62,2)-MAX(X62,1+AD62)))</f>
        <v>0</v>
      </c>
      <c r="AL62" s="20">
        <f t="shared" si="18"/>
        <v>0</v>
      </c>
      <c r="AM62" s="20">
        <f>MAX(0,MIN(AC62,Parámetros!$B$11)-MAX(AB62,0))+MAX(0,MIN(AC62,1+Parámetros!$B$11)-MAX(AB62,AD62))+MAX(0,MIN(AC62,2)-MAX(AB62,1+AD62))</f>
        <v>0</v>
      </c>
      <c r="AN62" s="20">
        <f t="shared" si="19"/>
        <v>0</v>
      </c>
      <c r="AO62" s="20">
        <f>AE62*(MAX(0,MIN(AC62,Parámetros!$B$11)-MAX(AB62,0))+MAX(0,MIN(AC62,1)-MAX(AB62,AD62)))+AF62*(MAX(0,MIN(AC62,1+Parámetros!$B$11)-MAX(AB62,1))+MAX(0,MIN(AC62,2)-MAX(AB62,1+AD62)))</f>
        <v>0</v>
      </c>
    </row>
    <row r="63" spans="1:41" x14ac:dyDescent="0.25">
      <c r="A63" s="15"/>
      <c r="B63" s="8"/>
      <c r="C63" s="5" t="str">
        <f>IF(B63="","",IFERROR(INDEX(Trabajadores!$B$5:$B$204,MATCH(B63,Trabajadores!$A$5:$A$204,0)),"Cédula no registrada"))</f>
        <v/>
      </c>
      <c r="D63" s="11"/>
      <c r="E63" s="11"/>
      <c r="F63" s="8"/>
      <c r="G63" s="18" t="str">
        <f>IF(A63="","",IFERROR(INDEX(Trabajadores!$E$5:$E$204,MATCH(B63,Trabajadores!$A$5:$A$204,0))/Parámetros!$B$6,0)+IF(IFERROR(INDEX(Trabajadores!$E$5:$E$204,MATCH(B63,Trabajadores!$A$5:$A$204,0)),"")="",Parámetros!$B$7,0))</f>
        <v/>
      </c>
      <c r="H63" s="5" t="str">
        <f t="shared" si="0"/>
        <v/>
      </c>
      <c r="I63" s="5" t="str">
        <f>IF(A63="","",IF(COUNTIF(Festivos!$A$5:$A$451,A63)&gt;0,"Festivo",IF(WEEKDAY(A63,2)=7,"Domingo",IF(AND(AF63=1,AC63&gt;1),IF(COUNTIF(Festivos!$A$5:$A$451,A63+1)&gt;0,"Festivo","Domingo")&amp;" desde las 00:00",""))))</f>
        <v/>
      </c>
      <c r="J63" s="19" t="str">
        <f t="shared" si="1"/>
        <v/>
      </c>
      <c r="K63" s="19" t="str">
        <f t="shared" si="2"/>
        <v/>
      </c>
      <c r="L63" s="19" t="str">
        <f t="shared" si="3"/>
        <v/>
      </c>
      <c r="M63" s="19" t="str">
        <f t="shared" si="4"/>
        <v/>
      </c>
      <c r="N63" s="19" t="str">
        <f t="shared" si="5"/>
        <v/>
      </c>
      <c r="O63" s="19" t="str">
        <f t="shared" si="6"/>
        <v/>
      </c>
      <c r="P63" s="19" t="str">
        <f t="shared" si="7"/>
        <v/>
      </c>
      <c r="Q63" s="19" t="str">
        <f t="shared" si="8"/>
        <v/>
      </c>
      <c r="R63" s="19" t="str">
        <f t="shared" si="9"/>
        <v/>
      </c>
      <c r="S63" s="17" t="str">
        <f>IF(B63="","",IFERROR(INDEX(Trabajadores!$G$5:$G$204,MATCH(B63,Trabajadores!$A$5:$A$204,0)),""))</f>
        <v/>
      </c>
      <c r="T63" s="17" t="str">
        <f>IF(OR(OR(A63="",D63="",E63=""),S63=""),"",ROUND(S63*(N(L63)*Parámetros!$B$8+N(M63)*(1+Parámetros!$B$9)+N(N63)*(1+Parámetros!$B$10)+N(O63)*(1+AG63)+N(P63)*(1+AG63+Parámetros!$B$8)+N(Q63)*(1+AG63+Parámetros!$B$9)+N(R63)*(1+AG63+Parámetros!$B$10)),0))</f>
        <v/>
      </c>
      <c r="U63" s="5" t="str">
        <f>IF(OR(A63="",D63="",E63=""),"",IF(N(M63)+N(N63)+N(Q63)+N(R63)&gt;Parámetros!$B$12,"Supera el límite de horas extras diarias",IF(C63="Cédula no registrada","Registre la cédula en «Trabajadores»","")))</f>
        <v/>
      </c>
      <c r="X63" s="20">
        <f t="shared" si="10"/>
        <v>0</v>
      </c>
      <c r="Y63" s="20">
        <f t="shared" si="11"/>
        <v>0</v>
      </c>
      <c r="Z63" s="20">
        <f t="shared" si="12"/>
        <v>0</v>
      </c>
      <c r="AA63" s="20">
        <f t="shared" si="13"/>
        <v>0</v>
      </c>
      <c r="AB63" s="20">
        <f t="shared" si="14"/>
        <v>0</v>
      </c>
      <c r="AC63" s="20">
        <f t="shared" si="15"/>
        <v>0</v>
      </c>
      <c r="AD63" s="20">
        <f>IF(A63="",21/24,MOD(VLOOKUP(A63,Parámetros!$A$24:$B$25,2,TRUE()),1))</f>
        <v>0.875</v>
      </c>
      <c r="AE63" s="5">
        <f>IF(A63="",0,IF(OR(WEEKDAY(A63,2)=7,COUNTIF(Festivos!$A$5:$A$451,A63)&gt;0),1,0))</f>
        <v>0</v>
      </c>
      <c r="AF63" s="5">
        <f>IF(A63="",0,IF(OR(WEEKDAY(A63+1,2)=7,COUNTIF(Festivos!$A$5:$A$451,A63+1)&gt;0),1,0))</f>
        <v>0</v>
      </c>
      <c r="AG63" s="9">
        <f>IF(A63="",0,VLOOKUP(A63,Parámetros!$A$18:$B$21,2,TRUE()))</f>
        <v>0</v>
      </c>
      <c r="AH63" s="20">
        <f t="shared" si="16"/>
        <v>0</v>
      </c>
      <c r="AI63" s="20">
        <f>MAX(0,MIN(AB63,Parámetros!$B$11)-MAX(X63,0))+MAX(0,MIN(AB63,1+Parámetros!$B$11)-MAX(X63,AD63))+MAX(0,MIN(AB63,2)-MAX(X63,1+AD63))</f>
        <v>0</v>
      </c>
      <c r="AJ63" s="20">
        <f t="shared" si="17"/>
        <v>0</v>
      </c>
      <c r="AK63" s="20">
        <f>AE63*(MAX(0,MIN(AB63,Parámetros!$B$11)-MAX(X63,0))+MAX(0,MIN(AB63,1)-MAX(X63,AD63)))+AF63*(MAX(0,MIN(AB63,1+Parámetros!$B$11)-MAX(X63,1))+MAX(0,MIN(AB63,2)-MAX(X63,1+AD63)))</f>
        <v>0</v>
      </c>
      <c r="AL63" s="20">
        <f t="shared" si="18"/>
        <v>0</v>
      </c>
      <c r="AM63" s="20">
        <f>MAX(0,MIN(AC63,Parámetros!$B$11)-MAX(AB63,0))+MAX(0,MIN(AC63,1+Parámetros!$B$11)-MAX(AB63,AD63))+MAX(0,MIN(AC63,2)-MAX(AB63,1+AD63))</f>
        <v>0</v>
      </c>
      <c r="AN63" s="20">
        <f t="shared" si="19"/>
        <v>0</v>
      </c>
      <c r="AO63" s="20">
        <f>AE63*(MAX(0,MIN(AC63,Parámetros!$B$11)-MAX(AB63,0))+MAX(0,MIN(AC63,1)-MAX(AB63,AD63)))+AF63*(MAX(0,MIN(AC63,1+Parámetros!$B$11)-MAX(AB63,1))+MAX(0,MIN(AC63,2)-MAX(AB63,1+AD63)))</f>
        <v>0</v>
      </c>
    </row>
    <row r="64" spans="1:41" x14ac:dyDescent="0.25">
      <c r="A64" s="15"/>
      <c r="B64" s="8"/>
      <c r="C64" s="5" t="str">
        <f>IF(B64="","",IFERROR(INDEX(Trabajadores!$B$5:$B$204,MATCH(B64,Trabajadores!$A$5:$A$204,0)),"Cédula no registrada"))</f>
        <v/>
      </c>
      <c r="D64" s="11"/>
      <c r="E64" s="11"/>
      <c r="F64" s="8"/>
      <c r="G64" s="18" t="str">
        <f>IF(A64="","",IFERROR(INDEX(Trabajadores!$E$5:$E$204,MATCH(B64,Trabajadores!$A$5:$A$204,0))/Parámetros!$B$6,0)+IF(IFERROR(INDEX(Trabajadores!$E$5:$E$204,MATCH(B64,Trabajadores!$A$5:$A$204,0)),"")="",Parámetros!$B$7,0))</f>
        <v/>
      </c>
      <c r="H64" s="5" t="str">
        <f t="shared" si="0"/>
        <v/>
      </c>
      <c r="I64" s="5" t="str">
        <f>IF(A64="","",IF(COUNTIF(Festivos!$A$5:$A$451,A64)&gt;0,"Festivo",IF(WEEKDAY(A64,2)=7,"Domingo",IF(AND(AF64=1,AC64&gt;1),IF(COUNTIF(Festivos!$A$5:$A$451,A64+1)&gt;0,"Festivo","Domingo")&amp;" desde las 00:00",""))))</f>
        <v/>
      </c>
      <c r="J64" s="19" t="str">
        <f t="shared" si="1"/>
        <v/>
      </c>
      <c r="K64" s="19" t="str">
        <f t="shared" si="2"/>
        <v/>
      </c>
      <c r="L64" s="19" t="str">
        <f t="shared" si="3"/>
        <v/>
      </c>
      <c r="M64" s="19" t="str">
        <f t="shared" si="4"/>
        <v/>
      </c>
      <c r="N64" s="19" t="str">
        <f t="shared" si="5"/>
        <v/>
      </c>
      <c r="O64" s="19" t="str">
        <f t="shared" si="6"/>
        <v/>
      </c>
      <c r="P64" s="19" t="str">
        <f t="shared" si="7"/>
        <v/>
      </c>
      <c r="Q64" s="19" t="str">
        <f t="shared" si="8"/>
        <v/>
      </c>
      <c r="R64" s="19" t="str">
        <f t="shared" si="9"/>
        <v/>
      </c>
      <c r="S64" s="17" t="str">
        <f>IF(B64="","",IFERROR(INDEX(Trabajadores!$G$5:$G$204,MATCH(B64,Trabajadores!$A$5:$A$204,0)),""))</f>
        <v/>
      </c>
      <c r="T64" s="17" t="str">
        <f>IF(OR(OR(A64="",D64="",E64=""),S64=""),"",ROUND(S64*(N(L64)*Parámetros!$B$8+N(M64)*(1+Parámetros!$B$9)+N(N64)*(1+Parámetros!$B$10)+N(O64)*(1+AG64)+N(P64)*(1+AG64+Parámetros!$B$8)+N(Q64)*(1+AG64+Parámetros!$B$9)+N(R64)*(1+AG64+Parámetros!$B$10)),0))</f>
        <v/>
      </c>
      <c r="U64" s="5" t="str">
        <f>IF(OR(A64="",D64="",E64=""),"",IF(N(M64)+N(N64)+N(Q64)+N(R64)&gt;Parámetros!$B$12,"Supera el límite de horas extras diarias",IF(C64="Cédula no registrada","Registre la cédula en «Trabajadores»","")))</f>
        <v/>
      </c>
      <c r="X64" s="20">
        <f t="shared" si="10"/>
        <v>0</v>
      </c>
      <c r="Y64" s="20">
        <f t="shared" si="11"/>
        <v>0</v>
      </c>
      <c r="Z64" s="20">
        <f t="shared" si="12"/>
        <v>0</v>
      </c>
      <c r="AA64" s="20">
        <f t="shared" si="13"/>
        <v>0</v>
      </c>
      <c r="AB64" s="20">
        <f t="shared" si="14"/>
        <v>0</v>
      </c>
      <c r="AC64" s="20">
        <f t="shared" si="15"/>
        <v>0</v>
      </c>
      <c r="AD64" s="20">
        <f>IF(A64="",21/24,MOD(VLOOKUP(A64,Parámetros!$A$24:$B$25,2,TRUE()),1))</f>
        <v>0.875</v>
      </c>
      <c r="AE64" s="5">
        <f>IF(A64="",0,IF(OR(WEEKDAY(A64,2)=7,COUNTIF(Festivos!$A$5:$A$451,A64)&gt;0),1,0))</f>
        <v>0</v>
      </c>
      <c r="AF64" s="5">
        <f>IF(A64="",0,IF(OR(WEEKDAY(A64+1,2)=7,COUNTIF(Festivos!$A$5:$A$451,A64+1)&gt;0),1,0))</f>
        <v>0</v>
      </c>
      <c r="AG64" s="9">
        <f>IF(A64="",0,VLOOKUP(A64,Parámetros!$A$18:$B$21,2,TRUE()))</f>
        <v>0</v>
      </c>
      <c r="AH64" s="20">
        <f t="shared" si="16"/>
        <v>0</v>
      </c>
      <c r="AI64" s="20">
        <f>MAX(0,MIN(AB64,Parámetros!$B$11)-MAX(X64,0))+MAX(0,MIN(AB64,1+Parámetros!$B$11)-MAX(X64,AD64))+MAX(0,MIN(AB64,2)-MAX(X64,1+AD64))</f>
        <v>0</v>
      </c>
      <c r="AJ64" s="20">
        <f t="shared" si="17"/>
        <v>0</v>
      </c>
      <c r="AK64" s="20">
        <f>AE64*(MAX(0,MIN(AB64,Parámetros!$B$11)-MAX(X64,0))+MAX(0,MIN(AB64,1)-MAX(X64,AD64)))+AF64*(MAX(0,MIN(AB64,1+Parámetros!$B$11)-MAX(X64,1))+MAX(0,MIN(AB64,2)-MAX(X64,1+AD64)))</f>
        <v>0</v>
      </c>
      <c r="AL64" s="20">
        <f t="shared" si="18"/>
        <v>0</v>
      </c>
      <c r="AM64" s="20">
        <f>MAX(0,MIN(AC64,Parámetros!$B$11)-MAX(AB64,0))+MAX(0,MIN(AC64,1+Parámetros!$B$11)-MAX(AB64,AD64))+MAX(0,MIN(AC64,2)-MAX(AB64,1+AD64))</f>
        <v>0</v>
      </c>
      <c r="AN64" s="20">
        <f t="shared" si="19"/>
        <v>0</v>
      </c>
      <c r="AO64" s="20">
        <f>AE64*(MAX(0,MIN(AC64,Parámetros!$B$11)-MAX(AB64,0))+MAX(0,MIN(AC64,1)-MAX(AB64,AD64)))+AF64*(MAX(0,MIN(AC64,1+Parámetros!$B$11)-MAX(AB64,1))+MAX(0,MIN(AC64,2)-MAX(AB64,1+AD64)))</f>
        <v>0</v>
      </c>
    </row>
    <row r="65" spans="1:41" x14ac:dyDescent="0.25">
      <c r="A65" s="15"/>
      <c r="B65" s="8"/>
      <c r="C65" s="5" t="str">
        <f>IF(B65="","",IFERROR(INDEX(Trabajadores!$B$5:$B$204,MATCH(B65,Trabajadores!$A$5:$A$204,0)),"Cédula no registrada"))</f>
        <v/>
      </c>
      <c r="D65" s="11"/>
      <c r="E65" s="11"/>
      <c r="F65" s="8"/>
      <c r="G65" s="18" t="str">
        <f>IF(A65="","",IFERROR(INDEX(Trabajadores!$E$5:$E$204,MATCH(B65,Trabajadores!$A$5:$A$204,0))/Parámetros!$B$6,0)+IF(IFERROR(INDEX(Trabajadores!$E$5:$E$204,MATCH(B65,Trabajadores!$A$5:$A$204,0)),"")="",Parámetros!$B$7,0))</f>
        <v/>
      </c>
      <c r="H65" s="5" t="str">
        <f t="shared" si="0"/>
        <v/>
      </c>
      <c r="I65" s="5" t="str">
        <f>IF(A65="","",IF(COUNTIF(Festivos!$A$5:$A$451,A65)&gt;0,"Festivo",IF(WEEKDAY(A65,2)=7,"Domingo",IF(AND(AF65=1,AC65&gt;1),IF(COUNTIF(Festivos!$A$5:$A$451,A65+1)&gt;0,"Festivo","Domingo")&amp;" desde las 00:00",""))))</f>
        <v/>
      </c>
      <c r="J65" s="19" t="str">
        <f t="shared" si="1"/>
        <v/>
      </c>
      <c r="K65" s="19" t="str">
        <f t="shared" si="2"/>
        <v/>
      </c>
      <c r="L65" s="19" t="str">
        <f t="shared" si="3"/>
        <v/>
      </c>
      <c r="M65" s="19" t="str">
        <f t="shared" si="4"/>
        <v/>
      </c>
      <c r="N65" s="19" t="str">
        <f t="shared" si="5"/>
        <v/>
      </c>
      <c r="O65" s="19" t="str">
        <f t="shared" si="6"/>
        <v/>
      </c>
      <c r="P65" s="19" t="str">
        <f t="shared" si="7"/>
        <v/>
      </c>
      <c r="Q65" s="19" t="str">
        <f t="shared" si="8"/>
        <v/>
      </c>
      <c r="R65" s="19" t="str">
        <f t="shared" si="9"/>
        <v/>
      </c>
      <c r="S65" s="17" t="str">
        <f>IF(B65="","",IFERROR(INDEX(Trabajadores!$G$5:$G$204,MATCH(B65,Trabajadores!$A$5:$A$204,0)),""))</f>
        <v/>
      </c>
      <c r="T65" s="17" t="str">
        <f>IF(OR(OR(A65="",D65="",E65=""),S65=""),"",ROUND(S65*(N(L65)*Parámetros!$B$8+N(M65)*(1+Parámetros!$B$9)+N(N65)*(1+Parámetros!$B$10)+N(O65)*(1+AG65)+N(P65)*(1+AG65+Parámetros!$B$8)+N(Q65)*(1+AG65+Parámetros!$B$9)+N(R65)*(1+AG65+Parámetros!$B$10)),0))</f>
        <v/>
      </c>
      <c r="U65" s="5" t="str">
        <f>IF(OR(A65="",D65="",E65=""),"",IF(N(M65)+N(N65)+N(Q65)+N(R65)&gt;Parámetros!$B$12,"Supera el límite de horas extras diarias",IF(C65="Cédula no registrada","Registre la cédula en «Trabajadores»","")))</f>
        <v/>
      </c>
      <c r="X65" s="20">
        <f t="shared" si="10"/>
        <v>0</v>
      </c>
      <c r="Y65" s="20">
        <f t="shared" si="11"/>
        <v>0</v>
      </c>
      <c r="Z65" s="20">
        <f t="shared" si="12"/>
        <v>0</v>
      </c>
      <c r="AA65" s="20">
        <f t="shared" si="13"/>
        <v>0</v>
      </c>
      <c r="AB65" s="20">
        <f t="shared" si="14"/>
        <v>0</v>
      </c>
      <c r="AC65" s="20">
        <f t="shared" si="15"/>
        <v>0</v>
      </c>
      <c r="AD65" s="20">
        <f>IF(A65="",21/24,MOD(VLOOKUP(A65,Parámetros!$A$24:$B$25,2,TRUE()),1))</f>
        <v>0.875</v>
      </c>
      <c r="AE65" s="5">
        <f>IF(A65="",0,IF(OR(WEEKDAY(A65,2)=7,COUNTIF(Festivos!$A$5:$A$451,A65)&gt;0),1,0))</f>
        <v>0</v>
      </c>
      <c r="AF65" s="5">
        <f>IF(A65="",0,IF(OR(WEEKDAY(A65+1,2)=7,COUNTIF(Festivos!$A$5:$A$451,A65+1)&gt;0),1,0))</f>
        <v>0</v>
      </c>
      <c r="AG65" s="9">
        <f>IF(A65="",0,VLOOKUP(A65,Parámetros!$A$18:$B$21,2,TRUE()))</f>
        <v>0</v>
      </c>
      <c r="AH65" s="20">
        <f t="shared" si="16"/>
        <v>0</v>
      </c>
      <c r="AI65" s="20">
        <f>MAX(0,MIN(AB65,Parámetros!$B$11)-MAX(X65,0))+MAX(0,MIN(AB65,1+Parámetros!$B$11)-MAX(X65,AD65))+MAX(0,MIN(AB65,2)-MAX(X65,1+AD65))</f>
        <v>0</v>
      </c>
      <c r="AJ65" s="20">
        <f t="shared" si="17"/>
        <v>0</v>
      </c>
      <c r="AK65" s="20">
        <f>AE65*(MAX(0,MIN(AB65,Parámetros!$B$11)-MAX(X65,0))+MAX(0,MIN(AB65,1)-MAX(X65,AD65)))+AF65*(MAX(0,MIN(AB65,1+Parámetros!$B$11)-MAX(X65,1))+MAX(0,MIN(AB65,2)-MAX(X65,1+AD65)))</f>
        <v>0</v>
      </c>
      <c r="AL65" s="20">
        <f t="shared" si="18"/>
        <v>0</v>
      </c>
      <c r="AM65" s="20">
        <f>MAX(0,MIN(AC65,Parámetros!$B$11)-MAX(AB65,0))+MAX(0,MIN(AC65,1+Parámetros!$B$11)-MAX(AB65,AD65))+MAX(0,MIN(AC65,2)-MAX(AB65,1+AD65))</f>
        <v>0</v>
      </c>
      <c r="AN65" s="20">
        <f t="shared" si="19"/>
        <v>0</v>
      </c>
      <c r="AO65" s="20">
        <f>AE65*(MAX(0,MIN(AC65,Parámetros!$B$11)-MAX(AB65,0))+MAX(0,MIN(AC65,1)-MAX(AB65,AD65)))+AF65*(MAX(0,MIN(AC65,1+Parámetros!$B$11)-MAX(AB65,1))+MAX(0,MIN(AC65,2)-MAX(AB65,1+AD65)))</f>
        <v>0</v>
      </c>
    </row>
    <row r="66" spans="1:41" x14ac:dyDescent="0.25">
      <c r="A66" s="15"/>
      <c r="B66" s="8"/>
      <c r="C66" s="5" t="str">
        <f>IF(B66="","",IFERROR(INDEX(Trabajadores!$B$5:$B$204,MATCH(B66,Trabajadores!$A$5:$A$204,0)),"Cédula no registrada"))</f>
        <v/>
      </c>
      <c r="D66" s="11"/>
      <c r="E66" s="11"/>
      <c r="F66" s="8"/>
      <c r="G66" s="18" t="str">
        <f>IF(A66="","",IFERROR(INDEX(Trabajadores!$E$5:$E$204,MATCH(B66,Trabajadores!$A$5:$A$204,0))/Parámetros!$B$6,0)+IF(IFERROR(INDEX(Trabajadores!$E$5:$E$204,MATCH(B66,Trabajadores!$A$5:$A$204,0)),"")="",Parámetros!$B$7,0))</f>
        <v/>
      </c>
      <c r="H66" s="5" t="str">
        <f t="shared" si="0"/>
        <v/>
      </c>
      <c r="I66" s="5" t="str">
        <f>IF(A66="","",IF(COUNTIF(Festivos!$A$5:$A$451,A66)&gt;0,"Festivo",IF(WEEKDAY(A66,2)=7,"Domingo",IF(AND(AF66=1,AC66&gt;1),IF(COUNTIF(Festivos!$A$5:$A$451,A66+1)&gt;0,"Festivo","Domingo")&amp;" desde las 00:00",""))))</f>
        <v/>
      </c>
      <c r="J66" s="19" t="str">
        <f t="shared" si="1"/>
        <v/>
      </c>
      <c r="K66" s="19" t="str">
        <f t="shared" si="2"/>
        <v/>
      </c>
      <c r="L66" s="19" t="str">
        <f t="shared" si="3"/>
        <v/>
      </c>
      <c r="M66" s="19" t="str">
        <f t="shared" si="4"/>
        <v/>
      </c>
      <c r="N66" s="19" t="str">
        <f t="shared" si="5"/>
        <v/>
      </c>
      <c r="O66" s="19" t="str">
        <f t="shared" si="6"/>
        <v/>
      </c>
      <c r="P66" s="19" t="str">
        <f t="shared" si="7"/>
        <v/>
      </c>
      <c r="Q66" s="19" t="str">
        <f t="shared" si="8"/>
        <v/>
      </c>
      <c r="R66" s="19" t="str">
        <f t="shared" si="9"/>
        <v/>
      </c>
      <c r="S66" s="17" t="str">
        <f>IF(B66="","",IFERROR(INDEX(Trabajadores!$G$5:$G$204,MATCH(B66,Trabajadores!$A$5:$A$204,0)),""))</f>
        <v/>
      </c>
      <c r="T66" s="17" t="str">
        <f>IF(OR(OR(A66="",D66="",E66=""),S66=""),"",ROUND(S66*(N(L66)*Parámetros!$B$8+N(M66)*(1+Parámetros!$B$9)+N(N66)*(1+Parámetros!$B$10)+N(O66)*(1+AG66)+N(P66)*(1+AG66+Parámetros!$B$8)+N(Q66)*(1+AG66+Parámetros!$B$9)+N(R66)*(1+AG66+Parámetros!$B$10)),0))</f>
        <v/>
      </c>
      <c r="U66" s="5" t="str">
        <f>IF(OR(A66="",D66="",E66=""),"",IF(N(M66)+N(N66)+N(Q66)+N(R66)&gt;Parámetros!$B$12,"Supera el límite de horas extras diarias",IF(C66="Cédula no registrada","Registre la cédula en «Trabajadores»","")))</f>
        <v/>
      </c>
      <c r="X66" s="20">
        <f t="shared" si="10"/>
        <v>0</v>
      </c>
      <c r="Y66" s="20">
        <f t="shared" si="11"/>
        <v>0</v>
      </c>
      <c r="Z66" s="20">
        <f t="shared" si="12"/>
        <v>0</v>
      </c>
      <c r="AA66" s="20">
        <f t="shared" si="13"/>
        <v>0</v>
      </c>
      <c r="AB66" s="20">
        <f t="shared" si="14"/>
        <v>0</v>
      </c>
      <c r="AC66" s="20">
        <f t="shared" si="15"/>
        <v>0</v>
      </c>
      <c r="AD66" s="20">
        <f>IF(A66="",21/24,MOD(VLOOKUP(A66,Parámetros!$A$24:$B$25,2,TRUE()),1))</f>
        <v>0.875</v>
      </c>
      <c r="AE66" s="5">
        <f>IF(A66="",0,IF(OR(WEEKDAY(A66,2)=7,COUNTIF(Festivos!$A$5:$A$451,A66)&gt;0),1,0))</f>
        <v>0</v>
      </c>
      <c r="AF66" s="5">
        <f>IF(A66="",0,IF(OR(WEEKDAY(A66+1,2)=7,COUNTIF(Festivos!$A$5:$A$451,A66+1)&gt;0),1,0))</f>
        <v>0</v>
      </c>
      <c r="AG66" s="9">
        <f>IF(A66="",0,VLOOKUP(A66,Parámetros!$A$18:$B$21,2,TRUE()))</f>
        <v>0</v>
      </c>
      <c r="AH66" s="20">
        <f t="shared" si="16"/>
        <v>0</v>
      </c>
      <c r="AI66" s="20">
        <f>MAX(0,MIN(AB66,Parámetros!$B$11)-MAX(X66,0))+MAX(0,MIN(AB66,1+Parámetros!$B$11)-MAX(X66,AD66))+MAX(0,MIN(AB66,2)-MAX(X66,1+AD66))</f>
        <v>0</v>
      </c>
      <c r="AJ66" s="20">
        <f t="shared" si="17"/>
        <v>0</v>
      </c>
      <c r="AK66" s="20">
        <f>AE66*(MAX(0,MIN(AB66,Parámetros!$B$11)-MAX(X66,0))+MAX(0,MIN(AB66,1)-MAX(X66,AD66)))+AF66*(MAX(0,MIN(AB66,1+Parámetros!$B$11)-MAX(X66,1))+MAX(0,MIN(AB66,2)-MAX(X66,1+AD66)))</f>
        <v>0</v>
      </c>
      <c r="AL66" s="20">
        <f t="shared" si="18"/>
        <v>0</v>
      </c>
      <c r="AM66" s="20">
        <f>MAX(0,MIN(AC66,Parámetros!$B$11)-MAX(AB66,0))+MAX(0,MIN(AC66,1+Parámetros!$B$11)-MAX(AB66,AD66))+MAX(0,MIN(AC66,2)-MAX(AB66,1+AD66))</f>
        <v>0</v>
      </c>
      <c r="AN66" s="20">
        <f t="shared" si="19"/>
        <v>0</v>
      </c>
      <c r="AO66" s="20">
        <f>AE66*(MAX(0,MIN(AC66,Parámetros!$B$11)-MAX(AB66,0))+MAX(0,MIN(AC66,1)-MAX(AB66,AD66)))+AF66*(MAX(0,MIN(AC66,1+Parámetros!$B$11)-MAX(AB66,1))+MAX(0,MIN(AC66,2)-MAX(AB66,1+AD66)))</f>
        <v>0</v>
      </c>
    </row>
    <row r="67" spans="1:41" x14ac:dyDescent="0.25">
      <c r="A67" s="15"/>
      <c r="B67" s="8"/>
      <c r="C67" s="5" t="str">
        <f>IF(B67="","",IFERROR(INDEX(Trabajadores!$B$5:$B$204,MATCH(B67,Trabajadores!$A$5:$A$204,0)),"Cédula no registrada"))</f>
        <v/>
      </c>
      <c r="D67" s="11"/>
      <c r="E67" s="11"/>
      <c r="F67" s="8"/>
      <c r="G67" s="18" t="str">
        <f>IF(A67="","",IFERROR(INDEX(Trabajadores!$E$5:$E$204,MATCH(B67,Trabajadores!$A$5:$A$204,0))/Parámetros!$B$6,0)+IF(IFERROR(INDEX(Trabajadores!$E$5:$E$204,MATCH(B67,Trabajadores!$A$5:$A$204,0)),"")="",Parámetros!$B$7,0))</f>
        <v/>
      </c>
      <c r="H67" s="5" t="str">
        <f t="shared" si="0"/>
        <v/>
      </c>
      <c r="I67" s="5" t="str">
        <f>IF(A67="","",IF(COUNTIF(Festivos!$A$5:$A$451,A67)&gt;0,"Festivo",IF(WEEKDAY(A67,2)=7,"Domingo",IF(AND(AF67=1,AC67&gt;1),IF(COUNTIF(Festivos!$A$5:$A$451,A67+1)&gt;0,"Festivo","Domingo")&amp;" desde las 00:00",""))))</f>
        <v/>
      </c>
      <c r="J67" s="19" t="str">
        <f t="shared" si="1"/>
        <v/>
      </c>
      <c r="K67" s="19" t="str">
        <f t="shared" si="2"/>
        <v/>
      </c>
      <c r="L67" s="19" t="str">
        <f t="shared" si="3"/>
        <v/>
      </c>
      <c r="M67" s="19" t="str">
        <f t="shared" si="4"/>
        <v/>
      </c>
      <c r="N67" s="19" t="str">
        <f t="shared" si="5"/>
        <v/>
      </c>
      <c r="O67" s="19" t="str">
        <f t="shared" si="6"/>
        <v/>
      </c>
      <c r="P67" s="19" t="str">
        <f t="shared" si="7"/>
        <v/>
      </c>
      <c r="Q67" s="19" t="str">
        <f t="shared" si="8"/>
        <v/>
      </c>
      <c r="R67" s="19" t="str">
        <f t="shared" si="9"/>
        <v/>
      </c>
      <c r="S67" s="17" t="str">
        <f>IF(B67="","",IFERROR(INDEX(Trabajadores!$G$5:$G$204,MATCH(B67,Trabajadores!$A$5:$A$204,0)),""))</f>
        <v/>
      </c>
      <c r="T67" s="17" t="str">
        <f>IF(OR(OR(A67="",D67="",E67=""),S67=""),"",ROUND(S67*(N(L67)*Parámetros!$B$8+N(M67)*(1+Parámetros!$B$9)+N(N67)*(1+Parámetros!$B$10)+N(O67)*(1+AG67)+N(P67)*(1+AG67+Parámetros!$B$8)+N(Q67)*(1+AG67+Parámetros!$B$9)+N(R67)*(1+AG67+Parámetros!$B$10)),0))</f>
        <v/>
      </c>
      <c r="U67" s="5" t="str">
        <f>IF(OR(A67="",D67="",E67=""),"",IF(N(M67)+N(N67)+N(Q67)+N(R67)&gt;Parámetros!$B$12,"Supera el límite de horas extras diarias",IF(C67="Cédula no registrada","Registre la cédula en «Trabajadores»","")))</f>
        <v/>
      </c>
      <c r="X67" s="20">
        <f t="shared" si="10"/>
        <v>0</v>
      </c>
      <c r="Y67" s="20">
        <f t="shared" si="11"/>
        <v>0</v>
      </c>
      <c r="Z67" s="20">
        <f t="shared" si="12"/>
        <v>0</v>
      </c>
      <c r="AA67" s="20">
        <f t="shared" si="13"/>
        <v>0</v>
      </c>
      <c r="AB67" s="20">
        <f t="shared" si="14"/>
        <v>0</v>
      </c>
      <c r="AC67" s="20">
        <f t="shared" si="15"/>
        <v>0</v>
      </c>
      <c r="AD67" s="20">
        <f>IF(A67="",21/24,MOD(VLOOKUP(A67,Parámetros!$A$24:$B$25,2,TRUE()),1))</f>
        <v>0.875</v>
      </c>
      <c r="AE67" s="5">
        <f>IF(A67="",0,IF(OR(WEEKDAY(A67,2)=7,COUNTIF(Festivos!$A$5:$A$451,A67)&gt;0),1,0))</f>
        <v>0</v>
      </c>
      <c r="AF67" s="5">
        <f>IF(A67="",0,IF(OR(WEEKDAY(A67+1,2)=7,COUNTIF(Festivos!$A$5:$A$451,A67+1)&gt;0),1,0))</f>
        <v>0</v>
      </c>
      <c r="AG67" s="9">
        <f>IF(A67="",0,VLOOKUP(A67,Parámetros!$A$18:$B$21,2,TRUE()))</f>
        <v>0</v>
      </c>
      <c r="AH67" s="20">
        <f t="shared" si="16"/>
        <v>0</v>
      </c>
      <c r="AI67" s="20">
        <f>MAX(0,MIN(AB67,Parámetros!$B$11)-MAX(X67,0))+MAX(0,MIN(AB67,1+Parámetros!$B$11)-MAX(X67,AD67))+MAX(0,MIN(AB67,2)-MAX(X67,1+AD67))</f>
        <v>0</v>
      </c>
      <c r="AJ67" s="20">
        <f t="shared" si="17"/>
        <v>0</v>
      </c>
      <c r="AK67" s="20">
        <f>AE67*(MAX(0,MIN(AB67,Parámetros!$B$11)-MAX(X67,0))+MAX(0,MIN(AB67,1)-MAX(X67,AD67)))+AF67*(MAX(0,MIN(AB67,1+Parámetros!$B$11)-MAX(X67,1))+MAX(0,MIN(AB67,2)-MAX(X67,1+AD67)))</f>
        <v>0</v>
      </c>
      <c r="AL67" s="20">
        <f t="shared" si="18"/>
        <v>0</v>
      </c>
      <c r="AM67" s="20">
        <f>MAX(0,MIN(AC67,Parámetros!$B$11)-MAX(AB67,0))+MAX(0,MIN(AC67,1+Parámetros!$B$11)-MAX(AB67,AD67))+MAX(0,MIN(AC67,2)-MAX(AB67,1+AD67))</f>
        <v>0</v>
      </c>
      <c r="AN67" s="20">
        <f t="shared" si="19"/>
        <v>0</v>
      </c>
      <c r="AO67" s="20">
        <f>AE67*(MAX(0,MIN(AC67,Parámetros!$B$11)-MAX(AB67,0))+MAX(0,MIN(AC67,1)-MAX(AB67,AD67)))+AF67*(MAX(0,MIN(AC67,1+Parámetros!$B$11)-MAX(AB67,1))+MAX(0,MIN(AC67,2)-MAX(AB67,1+AD67)))</f>
        <v>0</v>
      </c>
    </row>
    <row r="68" spans="1:41" x14ac:dyDescent="0.25">
      <c r="A68" s="15"/>
      <c r="B68" s="8"/>
      <c r="C68" s="5" t="str">
        <f>IF(B68="","",IFERROR(INDEX(Trabajadores!$B$5:$B$204,MATCH(B68,Trabajadores!$A$5:$A$204,0)),"Cédula no registrada"))</f>
        <v/>
      </c>
      <c r="D68" s="11"/>
      <c r="E68" s="11"/>
      <c r="F68" s="8"/>
      <c r="G68" s="18" t="str">
        <f>IF(A68="","",IFERROR(INDEX(Trabajadores!$E$5:$E$204,MATCH(B68,Trabajadores!$A$5:$A$204,0))/Parámetros!$B$6,0)+IF(IFERROR(INDEX(Trabajadores!$E$5:$E$204,MATCH(B68,Trabajadores!$A$5:$A$204,0)),"")="",Parámetros!$B$7,0))</f>
        <v/>
      </c>
      <c r="H68" s="5" t="str">
        <f t="shared" si="0"/>
        <v/>
      </c>
      <c r="I68" s="5" t="str">
        <f>IF(A68="","",IF(COUNTIF(Festivos!$A$5:$A$451,A68)&gt;0,"Festivo",IF(WEEKDAY(A68,2)=7,"Domingo",IF(AND(AF68=1,AC68&gt;1),IF(COUNTIF(Festivos!$A$5:$A$451,A68+1)&gt;0,"Festivo","Domingo")&amp;" desde las 00:00",""))))</f>
        <v/>
      </c>
      <c r="J68" s="19" t="str">
        <f t="shared" si="1"/>
        <v/>
      </c>
      <c r="K68" s="19" t="str">
        <f t="shared" si="2"/>
        <v/>
      </c>
      <c r="L68" s="19" t="str">
        <f t="shared" si="3"/>
        <v/>
      </c>
      <c r="M68" s="19" t="str">
        <f t="shared" si="4"/>
        <v/>
      </c>
      <c r="N68" s="19" t="str">
        <f t="shared" si="5"/>
        <v/>
      </c>
      <c r="O68" s="19" t="str">
        <f t="shared" si="6"/>
        <v/>
      </c>
      <c r="P68" s="19" t="str">
        <f t="shared" si="7"/>
        <v/>
      </c>
      <c r="Q68" s="19" t="str">
        <f t="shared" si="8"/>
        <v/>
      </c>
      <c r="R68" s="19" t="str">
        <f t="shared" si="9"/>
        <v/>
      </c>
      <c r="S68" s="17" t="str">
        <f>IF(B68="","",IFERROR(INDEX(Trabajadores!$G$5:$G$204,MATCH(B68,Trabajadores!$A$5:$A$204,0)),""))</f>
        <v/>
      </c>
      <c r="T68" s="17" t="str">
        <f>IF(OR(OR(A68="",D68="",E68=""),S68=""),"",ROUND(S68*(N(L68)*Parámetros!$B$8+N(M68)*(1+Parámetros!$B$9)+N(N68)*(1+Parámetros!$B$10)+N(O68)*(1+AG68)+N(P68)*(1+AG68+Parámetros!$B$8)+N(Q68)*(1+AG68+Parámetros!$B$9)+N(R68)*(1+AG68+Parámetros!$B$10)),0))</f>
        <v/>
      </c>
      <c r="U68" s="5" t="str">
        <f>IF(OR(A68="",D68="",E68=""),"",IF(N(M68)+N(N68)+N(Q68)+N(R68)&gt;Parámetros!$B$12,"Supera el límite de horas extras diarias",IF(C68="Cédula no registrada","Registre la cédula en «Trabajadores»","")))</f>
        <v/>
      </c>
      <c r="X68" s="20">
        <f t="shared" si="10"/>
        <v>0</v>
      </c>
      <c r="Y68" s="20">
        <f t="shared" si="11"/>
        <v>0</v>
      </c>
      <c r="Z68" s="20">
        <f t="shared" si="12"/>
        <v>0</v>
      </c>
      <c r="AA68" s="20">
        <f t="shared" si="13"/>
        <v>0</v>
      </c>
      <c r="AB68" s="20">
        <f t="shared" si="14"/>
        <v>0</v>
      </c>
      <c r="AC68" s="20">
        <f t="shared" si="15"/>
        <v>0</v>
      </c>
      <c r="AD68" s="20">
        <f>IF(A68="",21/24,MOD(VLOOKUP(A68,Parámetros!$A$24:$B$25,2,TRUE()),1))</f>
        <v>0.875</v>
      </c>
      <c r="AE68" s="5">
        <f>IF(A68="",0,IF(OR(WEEKDAY(A68,2)=7,COUNTIF(Festivos!$A$5:$A$451,A68)&gt;0),1,0))</f>
        <v>0</v>
      </c>
      <c r="AF68" s="5">
        <f>IF(A68="",0,IF(OR(WEEKDAY(A68+1,2)=7,COUNTIF(Festivos!$A$5:$A$451,A68+1)&gt;0),1,0))</f>
        <v>0</v>
      </c>
      <c r="AG68" s="9">
        <f>IF(A68="",0,VLOOKUP(A68,Parámetros!$A$18:$B$21,2,TRUE()))</f>
        <v>0</v>
      </c>
      <c r="AH68" s="20">
        <f t="shared" si="16"/>
        <v>0</v>
      </c>
      <c r="AI68" s="20">
        <f>MAX(0,MIN(AB68,Parámetros!$B$11)-MAX(X68,0))+MAX(0,MIN(AB68,1+Parámetros!$B$11)-MAX(X68,AD68))+MAX(0,MIN(AB68,2)-MAX(X68,1+AD68))</f>
        <v>0</v>
      </c>
      <c r="AJ68" s="20">
        <f t="shared" si="17"/>
        <v>0</v>
      </c>
      <c r="AK68" s="20">
        <f>AE68*(MAX(0,MIN(AB68,Parámetros!$B$11)-MAX(X68,0))+MAX(0,MIN(AB68,1)-MAX(X68,AD68)))+AF68*(MAX(0,MIN(AB68,1+Parámetros!$B$11)-MAX(X68,1))+MAX(0,MIN(AB68,2)-MAX(X68,1+AD68)))</f>
        <v>0</v>
      </c>
      <c r="AL68" s="20">
        <f t="shared" si="18"/>
        <v>0</v>
      </c>
      <c r="AM68" s="20">
        <f>MAX(0,MIN(AC68,Parámetros!$B$11)-MAX(AB68,0))+MAX(0,MIN(AC68,1+Parámetros!$B$11)-MAX(AB68,AD68))+MAX(0,MIN(AC68,2)-MAX(AB68,1+AD68))</f>
        <v>0</v>
      </c>
      <c r="AN68" s="20">
        <f t="shared" si="19"/>
        <v>0</v>
      </c>
      <c r="AO68" s="20">
        <f>AE68*(MAX(0,MIN(AC68,Parámetros!$B$11)-MAX(AB68,0))+MAX(0,MIN(AC68,1)-MAX(AB68,AD68)))+AF68*(MAX(0,MIN(AC68,1+Parámetros!$B$11)-MAX(AB68,1))+MAX(0,MIN(AC68,2)-MAX(AB68,1+AD68)))</f>
        <v>0</v>
      </c>
    </row>
    <row r="69" spans="1:41" x14ac:dyDescent="0.25">
      <c r="A69" s="15"/>
      <c r="B69" s="8"/>
      <c r="C69" s="5" t="str">
        <f>IF(B69="","",IFERROR(INDEX(Trabajadores!$B$5:$B$204,MATCH(B69,Trabajadores!$A$5:$A$204,0)),"Cédula no registrada"))</f>
        <v/>
      </c>
      <c r="D69" s="11"/>
      <c r="E69" s="11"/>
      <c r="F69" s="8"/>
      <c r="G69" s="18" t="str">
        <f>IF(A69="","",IFERROR(INDEX(Trabajadores!$E$5:$E$204,MATCH(B69,Trabajadores!$A$5:$A$204,0))/Parámetros!$B$6,0)+IF(IFERROR(INDEX(Trabajadores!$E$5:$E$204,MATCH(B69,Trabajadores!$A$5:$A$204,0)),"")="",Parámetros!$B$7,0))</f>
        <v/>
      </c>
      <c r="H69" s="5" t="str">
        <f t="shared" ref="H69:H132" si="20">IF(A69="","",CHOOSE(WEEKDAY(A69,2),"Lunes","Martes","Miércoles","Jueves","Viernes","Sábado","Domingo"))</f>
        <v/>
      </c>
      <c r="I69" s="5" t="str">
        <f>IF(A69="","",IF(COUNTIF(Festivos!$A$5:$A$451,A69)&gt;0,"Festivo",IF(WEEKDAY(A69,2)=7,"Domingo",IF(AND(AF69=1,AC69&gt;1),IF(COUNTIF(Festivos!$A$5:$A$451,A69+1)&gt;0,"Festivo","Domingo")&amp;" desde las 00:00",""))))</f>
        <v/>
      </c>
      <c r="J69" s="19" t="str">
        <f t="shared" ref="J69:J132" si="21">IF(OR(A69="",D69="",E69=""),"",ROUND((Z69)*24,2))</f>
        <v/>
      </c>
      <c r="K69" s="19" t="str">
        <f t="shared" ref="K69:K132" si="22">IF(OR(A69="",D69="",E69=""),"",ROUND((AH69-AI69-AJ69+AK69)*24,2))</f>
        <v/>
      </c>
      <c r="L69" s="19" t="str">
        <f t="shared" ref="L69:L132" si="23">IF(OR(A69="",D69="",E69=""),"",ROUND((AI69-AK69)*24,2))</f>
        <v/>
      </c>
      <c r="M69" s="19" t="str">
        <f t="shared" ref="M69:M132" si="24">IF(OR(A69="",D69="",E69=""),"",ROUND((AL69-AM69-AN69+AO69)*24,2))</f>
        <v/>
      </c>
      <c r="N69" s="19" t="str">
        <f t="shared" ref="N69:N132" si="25">IF(OR(A69="",D69="",E69=""),"",ROUND((AM69-AO69)*24,2))</f>
        <v/>
      </c>
      <c r="O69" s="19" t="str">
        <f t="shared" ref="O69:O132" si="26">IF(OR(A69="",D69="",E69=""),"",ROUND((AJ69-AK69)*24,2))</f>
        <v/>
      </c>
      <c r="P69" s="19" t="str">
        <f t="shared" ref="P69:P132" si="27">IF(OR(A69="",D69="",E69=""),"",ROUND((AK69)*24,2))</f>
        <v/>
      </c>
      <c r="Q69" s="19" t="str">
        <f t="shared" ref="Q69:Q132" si="28">IF(OR(A69="",D69="",E69=""),"",ROUND((AN69-AO69)*24,2))</f>
        <v/>
      </c>
      <c r="R69" s="19" t="str">
        <f t="shared" ref="R69:R132" si="29">IF(OR(A69="",D69="",E69=""),"",ROUND((AO69)*24,2))</f>
        <v/>
      </c>
      <c r="S69" s="17" t="str">
        <f>IF(B69="","",IFERROR(INDEX(Trabajadores!$G$5:$G$204,MATCH(B69,Trabajadores!$A$5:$A$204,0)),""))</f>
        <v/>
      </c>
      <c r="T69" s="17" t="str">
        <f>IF(OR(OR(A69="",D69="",E69=""),S69=""),"",ROUND(S69*(N(L69)*Parámetros!$B$8+N(M69)*(1+Parámetros!$B$9)+N(N69)*(1+Parámetros!$B$10)+N(O69)*(1+AG69)+N(P69)*(1+AG69+Parámetros!$B$8)+N(Q69)*(1+AG69+Parámetros!$B$9)+N(R69)*(1+AG69+Parámetros!$B$10)),0))</f>
        <v/>
      </c>
      <c r="U69" s="5" t="str">
        <f>IF(OR(A69="",D69="",E69=""),"",IF(N(M69)+N(N69)+N(Q69)+N(R69)&gt;Parámetros!$B$12,"Supera el límite de horas extras diarias",IF(C69="Cédula no registrada","Registre la cédula en «Trabajadores»","")))</f>
        <v/>
      </c>
      <c r="X69" s="20">
        <f t="shared" ref="X69:X132" si="30">IF(OR(A69="",D69="",E69=""),0,MOD(D69,1))</f>
        <v>0</v>
      </c>
      <c r="Y69" s="20">
        <f t="shared" ref="Y69:Y132" si="31">IF(OR(A69="",D69="",E69=""),0,IF(MOD(E69,1)&gt;X69,MOD(E69,1)-X69,MOD(E69,1)+1-X69))</f>
        <v>0</v>
      </c>
      <c r="Z69" s="20">
        <f t="shared" ref="Z69:Z132" si="32">MAX(0,Y69-N(F69)/1440)</f>
        <v>0</v>
      </c>
      <c r="AA69" s="20">
        <f t="shared" ref="AA69:AA132" si="33">IF(G69="",0,MAX(0,N(G69))/24)</f>
        <v>0</v>
      </c>
      <c r="AB69" s="20">
        <f t="shared" ref="AB69:AB132" si="34">X69+MIN(Z69,AA69)</f>
        <v>0</v>
      </c>
      <c r="AC69" s="20">
        <f t="shared" ref="AC69:AC132" si="35">X69+Z69</f>
        <v>0</v>
      </c>
      <c r="AD69" s="20">
        <f>IF(A69="",21/24,MOD(VLOOKUP(A69,Parámetros!$A$24:$B$25,2,TRUE()),1))</f>
        <v>0.875</v>
      </c>
      <c r="AE69" s="5">
        <f>IF(A69="",0,IF(OR(WEEKDAY(A69,2)=7,COUNTIF(Festivos!$A$5:$A$451,A69)&gt;0),1,0))</f>
        <v>0</v>
      </c>
      <c r="AF69" s="5">
        <f>IF(A69="",0,IF(OR(WEEKDAY(A69+1,2)=7,COUNTIF(Festivos!$A$5:$A$451,A69+1)&gt;0),1,0))</f>
        <v>0</v>
      </c>
      <c r="AG69" s="9">
        <f>IF(A69="",0,VLOOKUP(A69,Parámetros!$A$18:$B$21,2,TRUE()))</f>
        <v>0</v>
      </c>
      <c r="AH69" s="20">
        <f t="shared" ref="AH69:AH132" si="36">AB69-X69</f>
        <v>0</v>
      </c>
      <c r="AI69" s="20">
        <f>MAX(0,MIN(AB69,Parámetros!$B$11)-MAX(X69,0))+MAX(0,MIN(AB69,1+Parámetros!$B$11)-MAX(X69,AD69))+MAX(0,MIN(AB69,2)-MAX(X69,1+AD69))</f>
        <v>0</v>
      </c>
      <c r="AJ69" s="20">
        <f t="shared" ref="AJ69:AJ132" si="37">AE69*MAX(0,MIN(AB69,1)-MAX(X69,0))+AF69*MAX(0,MIN(AB69,2)-MAX(X69,1))</f>
        <v>0</v>
      </c>
      <c r="AK69" s="20">
        <f>AE69*(MAX(0,MIN(AB69,Parámetros!$B$11)-MAX(X69,0))+MAX(0,MIN(AB69,1)-MAX(X69,AD69)))+AF69*(MAX(0,MIN(AB69,1+Parámetros!$B$11)-MAX(X69,1))+MAX(0,MIN(AB69,2)-MAX(X69,1+AD69)))</f>
        <v>0</v>
      </c>
      <c r="AL69" s="20">
        <f t="shared" ref="AL69:AL132" si="38">AC69-AB69</f>
        <v>0</v>
      </c>
      <c r="AM69" s="20">
        <f>MAX(0,MIN(AC69,Parámetros!$B$11)-MAX(AB69,0))+MAX(0,MIN(AC69,1+Parámetros!$B$11)-MAX(AB69,AD69))+MAX(0,MIN(AC69,2)-MAX(AB69,1+AD69))</f>
        <v>0</v>
      </c>
      <c r="AN69" s="20">
        <f t="shared" ref="AN69:AN132" si="39">AE69*MAX(0,MIN(AC69,1)-MAX(AB69,0))+AF69*MAX(0,MIN(AC69,2)-MAX(AB69,1))</f>
        <v>0</v>
      </c>
      <c r="AO69" s="20">
        <f>AE69*(MAX(0,MIN(AC69,Parámetros!$B$11)-MAX(AB69,0))+MAX(0,MIN(AC69,1)-MAX(AB69,AD69)))+AF69*(MAX(0,MIN(AC69,1+Parámetros!$B$11)-MAX(AB69,1))+MAX(0,MIN(AC69,2)-MAX(AB69,1+AD69)))</f>
        <v>0</v>
      </c>
    </row>
    <row r="70" spans="1:41" x14ac:dyDescent="0.25">
      <c r="A70" s="15"/>
      <c r="B70" s="8"/>
      <c r="C70" s="5" t="str">
        <f>IF(B70="","",IFERROR(INDEX(Trabajadores!$B$5:$B$204,MATCH(B70,Trabajadores!$A$5:$A$204,0)),"Cédula no registrada"))</f>
        <v/>
      </c>
      <c r="D70" s="11"/>
      <c r="E70" s="11"/>
      <c r="F70" s="8"/>
      <c r="G70" s="18" t="str">
        <f>IF(A70="","",IFERROR(INDEX(Trabajadores!$E$5:$E$204,MATCH(B70,Trabajadores!$A$5:$A$204,0))/Parámetros!$B$6,0)+IF(IFERROR(INDEX(Trabajadores!$E$5:$E$204,MATCH(B70,Trabajadores!$A$5:$A$204,0)),"")="",Parámetros!$B$7,0))</f>
        <v/>
      </c>
      <c r="H70" s="5" t="str">
        <f t="shared" si="20"/>
        <v/>
      </c>
      <c r="I70" s="5" t="str">
        <f>IF(A70="","",IF(COUNTIF(Festivos!$A$5:$A$451,A70)&gt;0,"Festivo",IF(WEEKDAY(A70,2)=7,"Domingo",IF(AND(AF70=1,AC70&gt;1),IF(COUNTIF(Festivos!$A$5:$A$451,A70+1)&gt;0,"Festivo","Domingo")&amp;" desde las 00:00",""))))</f>
        <v/>
      </c>
      <c r="J70" s="19" t="str">
        <f t="shared" si="21"/>
        <v/>
      </c>
      <c r="K70" s="19" t="str">
        <f t="shared" si="22"/>
        <v/>
      </c>
      <c r="L70" s="19" t="str">
        <f t="shared" si="23"/>
        <v/>
      </c>
      <c r="M70" s="19" t="str">
        <f t="shared" si="24"/>
        <v/>
      </c>
      <c r="N70" s="19" t="str">
        <f t="shared" si="25"/>
        <v/>
      </c>
      <c r="O70" s="19" t="str">
        <f t="shared" si="26"/>
        <v/>
      </c>
      <c r="P70" s="19" t="str">
        <f t="shared" si="27"/>
        <v/>
      </c>
      <c r="Q70" s="19" t="str">
        <f t="shared" si="28"/>
        <v/>
      </c>
      <c r="R70" s="19" t="str">
        <f t="shared" si="29"/>
        <v/>
      </c>
      <c r="S70" s="17" t="str">
        <f>IF(B70="","",IFERROR(INDEX(Trabajadores!$G$5:$G$204,MATCH(B70,Trabajadores!$A$5:$A$204,0)),""))</f>
        <v/>
      </c>
      <c r="T70" s="17" t="str">
        <f>IF(OR(OR(A70="",D70="",E70=""),S70=""),"",ROUND(S70*(N(L70)*Parámetros!$B$8+N(M70)*(1+Parámetros!$B$9)+N(N70)*(1+Parámetros!$B$10)+N(O70)*(1+AG70)+N(P70)*(1+AG70+Parámetros!$B$8)+N(Q70)*(1+AG70+Parámetros!$B$9)+N(R70)*(1+AG70+Parámetros!$B$10)),0))</f>
        <v/>
      </c>
      <c r="U70" s="5" t="str">
        <f>IF(OR(A70="",D70="",E70=""),"",IF(N(M70)+N(N70)+N(Q70)+N(R70)&gt;Parámetros!$B$12,"Supera el límite de horas extras diarias",IF(C70="Cédula no registrada","Registre la cédula en «Trabajadores»","")))</f>
        <v/>
      </c>
      <c r="X70" s="20">
        <f t="shared" si="30"/>
        <v>0</v>
      </c>
      <c r="Y70" s="20">
        <f t="shared" si="31"/>
        <v>0</v>
      </c>
      <c r="Z70" s="20">
        <f t="shared" si="32"/>
        <v>0</v>
      </c>
      <c r="AA70" s="20">
        <f t="shared" si="33"/>
        <v>0</v>
      </c>
      <c r="AB70" s="20">
        <f t="shared" si="34"/>
        <v>0</v>
      </c>
      <c r="AC70" s="20">
        <f t="shared" si="35"/>
        <v>0</v>
      </c>
      <c r="AD70" s="20">
        <f>IF(A70="",21/24,MOD(VLOOKUP(A70,Parámetros!$A$24:$B$25,2,TRUE()),1))</f>
        <v>0.875</v>
      </c>
      <c r="AE70" s="5">
        <f>IF(A70="",0,IF(OR(WEEKDAY(A70,2)=7,COUNTIF(Festivos!$A$5:$A$451,A70)&gt;0),1,0))</f>
        <v>0</v>
      </c>
      <c r="AF70" s="5">
        <f>IF(A70="",0,IF(OR(WEEKDAY(A70+1,2)=7,COUNTIF(Festivos!$A$5:$A$451,A70+1)&gt;0),1,0))</f>
        <v>0</v>
      </c>
      <c r="AG70" s="9">
        <f>IF(A70="",0,VLOOKUP(A70,Parámetros!$A$18:$B$21,2,TRUE()))</f>
        <v>0</v>
      </c>
      <c r="AH70" s="20">
        <f t="shared" si="36"/>
        <v>0</v>
      </c>
      <c r="AI70" s="20">
        <f>MAX(0,MIN(AB70,Parámetros!$B$11)-MAX(X70,0))+MAX(0,MIN(AB70,1+Parámetros!$B$11)-MAX(X70,AD70))+MAX(0,MIN(AB70,2)-MAX(X70,1+AD70))</f>
        <v>0</v>
      </c>
      <c r="AJ70" s="20">
        <f t="shared" si="37"/>
        <v>0</v>
      </c>
      <c r="AK70" s="20">
        <f>AE70*(MAX(0,MIN(AB70,Parámetros!$B$11)-MAX(X70,0))+MAX(0,MIN(AB70,1)-MAX(X70,AD70)))+AF70*(MAX(0,MIN(AB70,1+Parámetros!$B$11)-MAX(X70,1))+MAX(0,MIN(AB70,2)-MAX(X70,1+AD70)))</f>
        <v>0</v>
      </c>
      <c r="AL70" s="20">
        <f t="shared" si="38"/>
        <v>0</v>
      </c>
      <c r="AM70" s="20">
        <f>MAX(0,MIN(AC70,Parámetros!$B$11)-MAX(AB70,0))+MAX(0,MIN(AC70,1+Parámetros!$B$11)-MAX(AB70,AD70))+MAX(0,MIN(AC70,2)-MAX(AB70,1+AD70))</f>
        <v>0</v>
      </c>
      <c r="AN70" s="20">
        <f t="shared" si="39"/>
        <v>0</v>
      </c>
      <c r="AO70" s="20">
        <f>AE70*(MAX(0,MIN(AC70,Parámetros!$B$11)-MAX(AB70,0))+MAX(0,MIN(AC70,1)-MAX(AB70,AD70)))+AF70*(MAX(0,MIN(AC70,1+Parámetros!$B$11)-MAX(AB70,1))+MAX(0,MIN(AC70,2)-MAX(AB70,1+AD70)))</f>
        <v>0</v>
      </c>
    </row>
    <row r="71" spans="1:41" x14ac:dyDescent="0.25">
      <c r="A71" s="15"/>
      <c r="B71" s="8"/>
      <c r="C71" s="5" t="str">
        <f>IF(B71="","",IFERROR(INDEX(Trabajadores!$B$5:$B$204,MATCH(B71,Trabajadores!$A$5:$A$204,0)),"Cédula no registrada"))</f>
        <v/>
      </c>
      <c r="D71" s="11"/>
      <c r="E71" s="11"/>
      <c r="F71" s="8"/>
      <c r="G71" s="18" t="str">
        <f>IF(A71="","",IFERROR(INDEX(Trabajadores!$E$5:$E$204,MATCH(B71,Trabajadores!$A$5:$A$204,0))/Parámetros!$B$6,0)+IF(IFERROR(INDEX(Trabajadores!$E$5:$E$204,MATCH(B71,Trabajadores!$A$5:$A$204,0)),"")="",Parámetros!$B$7,0))</f>
        <v/>
      </c>
      <c r="H71" s="5" t="str">
        <f t="shared" si="20"/>
        <v/>
      </c>
      <c r="I71" s="5" t="str">
        <f>IF(A71="","",IF(COUNTIF(Festivos!$A$5:$A$451,A71)&gt;0,"Festivo",IF(WEEKDAY(A71,2)=7,"Domingo",IF(AND(AF71=1,AC71&gt;1),IF(COUNTIF(Festivos!$A$5:$A$451,A71+1)&gt;0,"Festivo","Domingo")&amp;" desde las 00:00",""))))</f>
        <v/>
      </c>
      <c r="J71" s="19" t="str">
        <f t="shared" si="21"/>
        <v/>
      </c>
      <c r="K71" s="19" t="str">
        <f t="shared" si="22"/>
        <v/>
      </c>
      <c r="L71" s="19" t="str">
        <f t="shared" si="23"/>
        <v/>
      </c>
      <c r="M71" s="19" t="str">
        <f t="shared" si="24"/>
        <v/>
      </c>
      <c r="N71" s="19" t="str">
        <f t="shared" si="25"/>
        <v/>
      </c>
      <c r="O71" s="19" t="str">
        <f t="shared" si="26"/>
        <v/>
      </c>
      <c r="P71" s="19" t="str">
        <f t="shared" si="27"/>
        <v/>
      </c>
      <c r="Q71" s="19" t="str">
        <f t="shared" si="28"/>
        <v/>
      </c>
      <c r="R71" s="19" t="str">
        <f t="shared" si="29"/>
        <v/>
      </c>
      <c r="S71" s="17" t="str">
        <f>IF(B71="","",IFERROR(INDEX(Trabajadores!$G$5:$G$204,MATCH(B71,Trabajadores!$A$5:$A$204,0)),""))</f>
        <v/>
      </c>
      <c r="T71" s="17" t="str">
        <f>IF(OR(OR(A71="",D71="",E71=""),S71=""),"",ROUND(S71*(N(L71)*Parámetros!$B$8+N(M71)*(1+Parámetros!$B$9)+N(N71)*(1+Parámetros!$B$10)+N(O71)*(1+AG71)+N(P71)*(1+AG71+Parámetros!$B$8)+N(Q71)*(1+AG71+Parámetros!$B$9)+N(R71)*(1+AG71+Parámetros!$B$10)),0))</f>
        <v/>
      </c>
      <c r="U71" s="5" t="str">
        <f>IF(OR(A71="",D71="",E71=""),"",IF(N(M71)+N(N71)+N(Q71)+N(R71)&gt;Parámetros!$B$12,"Supera el límite de horas extras diarias",IF(C71="Cédula no registrada","Registre la cédula en «Trabajadores»","")))</f>
        <v/>
      </c>
      <c r="X71" s="20">
        <f t="shared" si="30"/>
        <v>0</v>
      </c>
      <c r="Y71" s="20">
        <f t="shared" si="31"/>
        <v>0</v>
      </c>
      <c r="Z71" s="20">
        <f t="shared" si="32"/>
        <v>0</v>
      </c>
      <c r="AA71" s="20">
        <f t="shared" si="33"/>
        <v>0</v>
      </c>
      <c r="AB71" s="20">
        <f t="shared" si="34"/>
        <v>0</v>
      </c>
      <c r="AC71" s="20">
        <f t="shared" si="35"/>
        <v>0</v>
      </c>
      <c r="AD71" s="20">
        <f>IF(A71="",21/24,MOD(VLOOKUP(A71,Parámetros!$A$24:$B$25,2,TRUE()),1))</f>
        <v>0.875</v>
      </c>
      <c r="AE71" s="5">
        <f>IF(A71="",0,IF(OR(WEEKDAY(A71,2)=7,COUNTIF(Festivos!$A$5:$A$451,A71)&gt;0),1,0))</f>
        <v>0</v>
      </c>
      <c r="AF71" s="5">
        <f>IF(A71="",0,IF(OR(WEEKDAY(A71+1,2)=7,COUNTIF(Festivos!$A$5:$A$451,A71+1)&gt;0),1,0))</f>
        <v>0</v>
      </c>
      <c r="AG71" s="9">
        <f>IF(A71="",0,VLOOKUP(A71,Parámetros!$A$18:$B$21,2,TRUE()))</f>
        <v>0</v>
      </c>
      <c r="AH71" s="20">
        <f t="shared" si="36"/>
        <v>0</v>
      </c>
      <c r="AI71" s="20">
        <f>MAX(0,MIN(AB71,Parámetros!$B$11)-MAX(X71,0))+MAX(0,MIN(AB71,1+Parámetros!$B$11)-MAX(X71,AD71))+MAX(0,MIN(AB71,2)-MAX(X71,1+AD71))</f>
        <v>0</v>
      </c>
      <c r="AJ71" s="20">
        <f t="shared" si="37"/>
        <v>0</v>
      </c>
      <c r="AK71" s="20">
        <f>AE71*(MAX(0,MIN(AB71,Parámetros!$B$11)-MAX(X71,0))+MAX(0,MIN(AB71,1)-MAX(X71,AD71)))+AF71*(MAX(0,MIN(AB71,1+Parámetros!$B$11)-MAX(X71,1))+MAX(0,MIN(AB71,2)-MAX(X71,1+AD71)))</f>
        <v>0</v>
      </c>
      <c r="AL71" s="20">
        <f t="shared" si="38"/>
        <v>0</v>
      </c>
      <c r="AM71" s="20">
        <f>MAX(0,MIN(AC71,Parámetros!$B$11)-MAX(AB71,0))+MAX(0,MIN(AC71,1+Parámetros!$B$11)-MAX(AB71,AD71))+MAX(0,MIN(AC71,2)-MAX(AB71,1+AD71))</f>
        <v>0</v>
      </c>
      <c r="AN71" s="20">
        <f t="shared" si="39"/>
        <v>0</v>
      </c>
      <c r="AO71" s="20">
        <f>AE71*(MAX(0,MIN(AC71,Parámetros!$B$11)-MAX(AB71,0))+MAX(0,MIN(AC71,1)-MAX(AB71,AD71)))+AF71*(MAX(0,MIN(AC71,1+Parámetros!$B$11)-MAX(AB71,1))+MAX(0,MIN(AC71,2)-MAX(AB71,1+AD71)))</f>
        <v>0</v>
      </c>
    </row>
    <row r="72" spans="1:41" x14ac:dyDescent="0.25">
      <c r="A72" s="15"/>
      <c r="B72" s="8"/>
      <c r="C72" s="5" t="str">
        <f>IF(B72="","",IFERROR(INDEX(Trabajadores!$B$5:$B$204,MATCH(B72,Trabajadores!$A$5:$A$204,0)),"Cédula no registrada"))</f>
        <v/>
      </c>
      <c r="D72" s="11"/>
      <c r="E72" s="11"/>
      <c r="F72" s="8"/>
      <c r="G72" s="18" t="str">
        <f>IF(A72="","",IFERROR(INDEX(Trabajadores!$E$5:$E$204,MATCH(B72,Trabajadores!$A$5:$A$204,0))/Parámetros!$B$6,0)+IF(IFERROR(INDEX(Trabajadores!$E$5:$E$204,MATCH(B72,Trabajadores!$A$5:$A$204,0)),"")="",Parámetros!$B$7,0))</f>
        <v/>
      </c>
      <c r="H72" s="5" t="str">
        <f t="shared" si="20"/>
        <v/>
      </c>
      <c r="I72" s="5" t="str">
        <f>IF(A72="","",IF(COUNTIF(Festivos!$A$5:$A$451,A72)&gt;0,"Festivo",IF(WEEKDAY(A72,2)=7,"Domingo",IF(AND(AF72=1,AC72&gt;1),IF(COUNTIF(Festivos!$A$5:$A$451,A72+1)&gt;0,"Festivo","Domingo")&amp;" desde las 00:00",""))))</f>
        <v/>
      </c>
      <c r="J72" s="19" t="str">
        <f t="shared" si="21"/>
        <v/>
      </c>
      <c r="K72" s="19" t="str">
        <f t="shared" si="22"/>
        <v/>
      </c>
      <c r="L72" s="19" t="str">
        <f t="shared" si="23"/>
        <v/>
      </c>
      <c r="M72" s="19" t="str">
        <f t="shared" si="24"/>
        <v/>
      </c>
      <c r="N72" s="19" t="str">
        <f t="shared" si="25"/>
        <v/>
      </c>
      <c r="O72" s="19" t="str">
        <f t="shared" si="26"/>
        <v/>
      </c>
      <c r="P72" s="19" t="str">
        <f t="shared" si="27"/>
        <v/>
      </c>
      <c r="Q72" s="19" t="str">
        <f t="shared" si="28"/>
        <v/>
      </c>
      <c r="R72" s="19" t="str">
        <f t="shared" si="29"/>
        <v/>
      </c>
      <c r="S72" s="17" t="str">
        <f>IF(B72="","",IFERROR(INDEX(Trabajadores!$G$5:$G$204,MATCH(B72,Trabajadores!$A$5:$A$204,0)),""))</f>
        <v/>
      </c>
      <c r="T72" s="17" t="str">
        <f>IF(OR(OR(A72="",D72="",E72=""),S72=""),"",ROUND(S72*(N(L72)*Parámetros!$B$8+N(M72)*(1+Parámetros!$B$9)+N(N72)*(1+Parámetros!$B$10)+N(O72)*(1+AG72)+N(P72)*(1+AG72+Parámetros!$B$8)+N(Q72)*(1+AG72+Parámetros!$B$9)+N(R72)*(1+AG72+Parámetros!$B$10)),0))</f>
        <v/>
      </c>
      <c r="U72" s="5" t="str">
        <f>IF(OR(A72="",D72="",E72=""),"",IF(N(M72)+N(N72)+N(Q72)+N(R72)&gt;Parámetros!$B$12,"Supera el límite de horas extras diarias",IF(C72="Cédula no registrada","Registre la cédula en «Trabajadores»","")))</f>
        <v/>
      </c>
      <c r="X72" s="20">
        <f t="shared" si="30"/>
        <v>0</v>
      </c>
      <c r="Y72" s="20">
        <f t="shared" si="31"/>
        <v>0</v>
      </c>
      <c r="Z72" s="20">
        <f t="shared" si="32"/>
        <v>0</v>
      </c>
      <c r="AA72" s="20">
        <f t="shared" si="33"/>
        <v>0</v>
      </c>
      <c r="AB72" s="20">
        <f t="shared" si="34"/>
        <v>0</v>
      </c>
      <c r="AC72" s="20">
        <f t="shared" si="35"/>
        <v>0</v>
      </c>
      <c r="AD72" s="20">
        <f>IF(A72="",21/24,MOD(VLOOKUP(A72,Parámetros!$A$24:$B$25,2,TRUE()),1))</f>
        <v>0.875</v>
      </c>
      <c r="AE72" s="5">
        <f>IF(A72="",0,IF(OR(WEEKDAY(A72,2)=7,COUNTIF(Festivos!$A$5:$A$451,A72)&gt;0),1,0))</f>
        <v>0</v>
      </c>
      <c r="AF72" s="5">
        <f>IF(A72="",0,IF(OR(WEEKDAY(A72+1,2)=7,COUNTIF(Festivos!$A$5:$A$451,A72+1)&gt;0),1,0))</f>
        <v>0</v>
      </c>
      <c r="AG72" s="9">
        <f>IF(A72="",0,VLOOKUP(A72,Parámetros!$A$18:$B$21,2,TRUE()))</f>
        <v>0</v>
      </c>
      <c r="AH72" s="20">
        <f t="shared" si="36"/>
        <v>0</v>
      </c>
      <c r="AI72" s="20">
        <f>MAX(0,MIN(AB72,Parámetros!$B$11)-MAX(X72,0))+MAX(0,MIN(AB72,1+Parámetros!$B$11)-MAX(X72,AD72))+MAX(0,MIN(AB72,2)-MAX(X72,1+AD72))</f>
        <v>0</v>
      </c>
      <c r="AJ72" s="20">
        <f t="shared" si="37"/>
        <v>0</v>
      </c>
      <c r="AK72" s="20">
        <f>AE72*(MAX(0,MIN(AB72,Parámetros!$B$11)-MAX(X72,0))+MAX(0,MIN(AB72,1)-MAX(X72,AD72)))+AF72*(MAX(0,MIN(AB72,1+Parámetros!$B$11)-MAX(X72,1))+MAX(0,MIN(AB72,2)-MAX(X72,1+AD72)))</f>
        <v>0</v>
      </c>
      <c r="AL72" s="20">
        <f t="shared" si="38"/>
        <v>0</v>
      </c>
      <c r="AM72" s="20">
        <f>MAX(0,MIN(AC72,Parámetros!$B$11)-MAX(AB72,0))+MAX(0,MIN(AC72,1+Parámetros!$B$11)-MAX(AB72,AD72))+MAX(0,MIN(AC72,2)-MAX(AB72,1+AD72))</f>
        <v>0</v>
      </c>
      <c r="AN72" s="20">
        <f t="shared" si="39"/>
        <v>0</v>
      </c>
      <c r="AO72" s="20">
        <f>AE72*(MAX(0,MIN(AC72,Parámetros!$B$11)-MAX(AB72,0))+MAX(0,MIN(AC72,1)-MAX(AB72,AD72)))+AF72*(MAX(0,MIN(AC72,1+Parámetros!$B$11)-MAX(AB72,1))+MAX(0,MIN(AC72,2)-MAX(AB72,1+AD72)))</f>
        <v>0</v>
      </c>
    </row>
    <row r="73" spans="1:41" x14ac:dyDescent="0.25">
      <c r="A73" s="15"/>
      <c r="B73" s="8"/>
      <c r="C73" s="5" t="str">
        <f>IF(B73="","",IFERROR(INDEX(Trabajadores!$B$5:$B$204,MATCH(B73,Trabajadores!$A$5:$A$204,0)),"Cédula no registrada"))</f>
        <v/>
      </c>
      <c r="D73" s="11"/>
      <c r="E73" s="11"/>
      <c r="F73" s="8"/>
      <c r="G73" s="18" t="str">
        <f>IF(A73="","",IFERROR(INDEX(Trabajadores!$E$5:$E$204,MATCH(B73,Trabajadores!$A$5:$A$204,0))/Parámetros!$B$6,0)+IF(IFERROR(INDEX(Trabajadores!$E$5:$E$204,MATCH(B73,Trabajadores!$A$5:$A$204,0)),"")="",Parámetros!$B$7,0))</f>
        <v/>
      </c>
      <c r="H73" s="5" t="str">
        <f t="shared" si="20"/>
        <v/>
      </c>
      <c r="I73" s="5" t="str">
        <f>IF(A73="","",IF(COUNTIF(Festivos!$A$5:$A$451,A73)&gt;0,"Festivo",IF(WEEKDAY(A73,2)=7,"Domingo",IF(AND(AF73=1,AC73&gt;1),IF(COUNTIF(Festivos!$A$5:$A$451,A73+1)&gt;0,"Festivo","Domingo")&amp;" desde las 00:00",""))))</f>
        <v/>
      </c>
      <c r="J73" s="19" t="str">
        <f t="shared" si="21"/>
        <v/>
      </c>
      <c r="K73" s="19" t="str">
        <f t="shared" si="22"/>
        <v/>
      </c>
      <c r="L73" s="19" t="str">
        <f t="shared" si="23"/>
        <v/>
      </c>
      <c r="M73" s="19" t="str">
        <f t="shared" si="24"/>
        <v/>
      </c>
      <c r="N73" s="19" t="str">
        <f t="shared" si="25"/>
        <v/>
      </c>
      <c r="O73" s="19" t="str">
        <f t="shared" si="26"/>
        <v/>
      </c>
      <c r="P73" s="19" t="str">
        <f t="shared" si="27"/>
        <v/>
      </c>
      <c r="Q73" s="19" t="str">
        <f t="shared" si="28"/>
        <v/>
      </c>
      <c r="R73" s="19" t="str">
        <f t="shared" si="29"/>
        <v/>
      </c>
      <c r="S73" s="17" t="str">
        <f>IF(B73="","",IFERROR(INDEX(Trabajadores!$G$5:$G$204,MATCH(B73,Trabajadores!$A$5:$A$204,0)),""))</f>
        <v/>
      </c>
      <c r="T73" s="17" t="str">
        <f>IF(OR(OR(A73="",D73="",E73=""),S73=""),"",ROUND(S73*(N(L73)*Parámetros!$B$8+N(M73)*(1+Parámetros!$B$9)+N(N73)*(1+Parámetros!$B$10)+N(O73)*(1+AG73)+N(P73)*(1+AG73+Parámetros!$B$8)+N(Q73)*(1+AG73+Parámetros!$B$9)+N(R73)*(1+AG73+Parámetros!$B$10)),0))</f>
        <v/>
      </c>
      <c r="U73" s="5" t="str">
        <f>IF(OR(A73="",D73="",E73=""),"",IF(N(M73)+N(N73)+N(Q73)+N(R73)&gt;Parámetros!$B$12,"Supera el límite de horas extras diarias",IF(C73="Cédula no registrada","Registre la cédula en «Trabajadores»","")))</f>
        <v/>
      </c>
      <c r="X73" s="20">
        <f t="shared" si="30"/>
        <v>0</v>
      </c>
      <c r="Y73" s="20">
        <f t="shared" si="31"/>
        <v>0</v>
      </c>
      <c r="Z73" s="20">
        <f t="shared" si="32"/>
        <v>0</v>
      </c>
      <c r="AA73" s="20">
        <f t="shared" si="33"/>
        <v>0</v>
      </c>
      <c r="AB73" s="20">
        <f t="shared" si="34"/>
        <v>0</v>
      </c>
      <c r="AC73" s="20">
        <f t="shared" si="35"/>
        <v>0</v>
      </c>
      <c r="AD73" s="20">
        <f>IF(A73="",21/24,MOD(VLOOKUP(A73,Parámetros!$A$24:$B$25,2,TRUE()),1))</f>
        <v>0.875</v>
      </c>
      <c r="AE73" s="5">
        <f>IF(A73="",0,IF(OR(WEEKDAY(A73,2)=7,COUNTIF(Festivos!$A$5:$A$451,A73)&gt;0),1,0))</f>
        <v>0</v>
      </c>
      <c r="AF73" s="5">
        <f>IF(A73="",0,IF(OR(WEEKDAY(A73+1,2)=7,COUNTIF(Festivos!$A$5:$A$451,A73+1)&gt;0),1,0))</f>
        <v>0</v>
      </c>
      <c r="AG73" s="9">
        <f>IF(A73="",0,VLOOKUP(A73,Parámetros!$A$18:$B$21,2,TRUE()))</f>
        <v>0</v>
      </c>
      <c r="AH73" s="20">
        <f t="shared" si="36"/>
        <v>0</v>
      </c>
      <c r="AI73" s="20">
        <f>MAX(0,MIN(AB73,Parámetros!$B$11)-MAX(X73,0))+MAX(0,MIN(AB73,1+Parámetros!$B$11)-MAX(X73,AD73))+MAX(0,MIN(AB73,2)-MAX(X73,1+AD73))</f>
        <v>0</v>
      </c>
      <c r="AJ73" s="20">
        <f t="shared" si="37"/>
        <v>0</v>
      </c>
      <c r="AK73" s="20">
        <f>AE73*(MAX(0,MIN(AB73,Parámetros!$B$11)-MAX(X73,0))+MAX(0,MIN(AB73,1)-MAX(X73,AD73)))+AF73*(MAX(0,MIN(AB73,1+Parámetros!$B$11)-MAX(X73,1))+MAX(0,MIN(AB73,2)-MAX(X73,1+AD73)))</f>
        <v>0</v>
      </c>
      <c r="AL73" s="20">
        <f t="shared" si="38"/>
        <v>0</v>
      </c>
      <c r="AM73" s="20">
        <f>MAX(0,MIN(AC73,Parámetros!$B$11)-MAX(AB73,0))+MAX(0,MIN(AC73,1+Parámetros!$B$11)-MAX(AB73,AD73))+MAX(0,MIN(AC73,2)-MAX(AB73,1+AD73))</f>
        <v>0</v>
      </c>
      <c r="AN73" s="20">
        <f t="shared" si="39"/>
        <v>0</v>
      </c>
      <c r="AO73" s="20">
        <f>AE73*(MAX(0,MIN(AC73,Parámetros!$B$11)-MAX(AB73,0))+MAX(0,MIN(AC73,1)-MAX(AB73,AD73)))+AF73*(MAX(0,MIN(AC73,1+Parámetros!$B$11)-MAX(AB73,1))+MAX(0,MIN(AC73,2)-MAX(AB73,1+AD73)))</f>
        <v>0</v>
      </c>
    </row>
    <row r="74" spans="1:41" x14ac:dyDescent="0.25">
      <c r="A74" s="15"/>
      <c r="B74" s="8"/>
      <c r="C74" s="5" t="str">
        <f>IF(B74="","",IFERROR(INDEX(Trabajadores!$B$5:$B$204,MATCH(B74,Trabajadores!$A$5:$A$204,0)),"Cédula no registrada"))</f>
        <v/>
      </c>
      <c r="D74" s="11"/>
      <c r="E74" s="11"/>
      <c r="F74" s="8"/>
      <c r="G74" s="18" t="str">
        <f>IF(A74="","",IFERROR(INDEX(Trabajadores!$E$5:$E$204,MATCH(B74,Trabajadores!$A$5:$A$204,0))/Parámetros!$B$6,0)+IF(IFERROR(INDEX(Trabajadores!$E$5:$E$204,MATCH(B74,Trabajadores!$A$5:$A$204,0)),"")="",Parámetros!$B$7,0))</f>
        <v/>
      </c>
      <c r="H74" s="5" t="str">
        <f t="shared" si="20"/>
        <v/>
      </c>
      <c r="I74" s="5" t="str">
        <f>IF(A74="","",IF(COUNTIF(Festivos!$A$5:$A$451,A74)&gt;0,"Festivo",IF(WEEKDAY(A74,2)=7,"Domingo",IF(AND(AF74=1,AC74&gt;1),IF(COUNTIF(Festivos!$A$5:$A$451,A74+1)&gt;0,"Festivo","Domingo")&amp;" desde las 00:00",""))))</f>
        <v/>
      </c>
      <c r="J74" s="19" t="str">
        <f t="shared" si="21"/>
        <v/>
      </c>
      <c r="K74" s="19" t="str">
        <f t="shared" si="22"/>
        <v/>
      </c>
      <c r="L74" s="19" t="str">
        <f t="shared" si="23"/>
        <v/>
      </c>
      <c r="M74" s="19" t="str">
        <f t="shared" si="24"/>
        <v/>
      </c>
      <c r="N74" s="19" t="str">
        <f t="shared" si="25"/>
        <v/>
      </c>
      <c r="O74" s="19" t="str">
        <f t="shared" si="26"/>
        <v/>
      </c>
      <c r="P74" s="19" t="str">
        <f t="shared" si="27"/>
        <v/>
      </c>
      <c r="Q74" s="19" t="str">
        <f t="shared" si="28"/>
        <v/>
      </c>
      <c r="R74" s="19" t="str">
        <f t="shared" si="29"/>
        <v/>
      </c>
      <c r="S74" s="17" t="str">
        <f>IF(B74="","",IFERROR(INDEX(Trabajadores!$G$5:$G$204,MATCH(B74,Trabajadores!$A$5:$A$204,0)),""))</f>
        <v/>
      </c>
      <c r="T74" s="17" t="str">
        <f>IF(OR(OR(A74="",D74="",E74=""),S74=""),"",ROUND(S74*(N(L74)*Parámetros!$B$8+N(M74)*(1+Parámetros!$B$9)+N(N74)*(1+Parámetros!$B$10)+N(O74)*(1+AG74)+N(P74)*(1+AG74+Parámetros!$B$8)+N(Q74)*(1+AG74+Parámetros!$B$9)+N(R74)*(1+AG74+Parámetros!$B$10)),0))</f>
        <v/>
      </c>
      <c r="U74" s="5" t="str">
        <f>IF(OR(A74="",D74="",E74=""),"",IF(N(M74)+N(N74)+N(Q74)+N(R74)&gt;Parámetros!$B$12,"Supera el límite de horas extras diarias",IF(C74="Cédula no registrada","Registre la cédula en «Trabajadores»","")))</f>
        <v/>
      </c>
      <c r="X74" s="20">
        <f t="shared" si="30"/>
        <v>0</v>
      </c>
      <c r="Y74" s="20">
        <f t="shared" si="31"/>
        <v>0</v>
      </c>
      <c r="Z74" s="20">
        <f t="shared" si="32"/>
        <v>0</v>
      </c>
      <c r="AA74" s="20">
        <f t="shared" si="33"/>
        <v>0</v>
      </c>
      <c r="AB74" s="20">
        <f t="shared" si="34"/>
        <v>0</v>
      </c>
      <c r="AC74" s="20">
        <f t="shared" si="35"/>
        <v>0</v>
      </c>
      <c r="AD74" s="20">
        <f>IF(A74="",21/24,MOD(VLOOKUP(A74,Parámetros!$A$24:$B$25,2,TRUE()),1))</f>
        <v>0.875</v>
      </c>
      <c r="AE74" s="5">
        <f>IF(A74="",0,IF(OR(WEEKDAY(A74,2)=7,COUNTIF(Festivos!$A$5:$A$451,A74)&gt;0),1,0))</f>
        <v>0</v>
      </c>
      <c r="AF74" s="5">
        <f>IF(A74="",0,IF(OR(WEEKDAY(A74+1,2)=7,COUNTIF(Festivos!$A$5:$A$451,A74+1)&gt;0),1,0))</f>
        <v>0</v>
      </c>
      <c r="AG74" s="9">
        <f>IF(A74="",0,VLOOKUP(A74,Parámetros!$A$18:$B$21,2,TRUE()))</f>
        <v>0</v>
      </c>
      <c r="AH74" s="20">
        <f t="shared" si="36"/>
        <v>0</v>
      </c>
      <c r="AI74" s="20">
        <f>MAX(0,MIN(AB74,Parámetros!$B$11)-MAX(X74,0))+MAX(0,MIN(AB74,1+Parámetros!$B$11)-MAX(X74,AD74))+MAX(0,MIN(AB74,2)-MAX(X74,1+AD74))</f>
        <v>0</v>
      </c>
      <c r="AJ74" s="20">
        <f t="shared" si="37"/>
        <v>0</v>
      </c>
      <c r="AK74" s="20">
        <f>AE74*(MAX(0,MIN(AB74,Parámetros!$B$11)-MAX(X74,0))+MAX(0,MIN(AB74,1)-MAX(X74,AD74)))+AF74*(MAX(0,MIN(AB74,1+Parámetros!$B$11)-MAX(X74,1))+MAX(0,MIN(AB74,2)-MAX(X74,1+AD74)))</f>
        <v>0</v>
      </c>
      <c r="AL74" s="20">
        <f t="shared" si="38"/>
        <v>0</v>
      </c>
      <c r="AM74" s="20">
        <f>MAX(0,MIN(AC74,Parámetros!$B$11)-MAX(AB74,0))+MAX(0,MIN(AC74,1+Parámetros!$B$11)-MAX(AB74,AD74))+MAX(0,MIN(AC74,2)-MAX(AB74,1+AD74))</f>
        <v>0</v>
      </c>
      <c r="AN74" s="20">
        <f t="shared" si="39"/>
        <v>0</v>
      </c>
      <c r="AO74" s="20">
        <f>AE74*(MAX(0,MIN(AC74,Parámetros!$B$11)-MAX(AB74,0))+MAX(0,MIN(AC74,1)-MAX(AB74,AD74)))+AF74*(MAX(0,MIN(AC74,1+Parámetros!$B$11)-MAX(AB74,1))+MAX(0,MIN(AC74,2)-MAX(AB74,1+AD74)))</f>
        <v>0</v>
      </c>
    </row>
    <row r="75" spans="1:41" x14ac:dyDescent="0.25">
      <c r="A75" s="15"/>
      <c r="B75" s="8"/>
      <c r="C75" s="5" t="str">
        <f>IF(B75="","",IFERROR(INDEX(Trabajadores!$B$5:$B$204,MATCH(B75,Trabajadores!$A$5:$A$204,0)),"Cédula no registrada"))</f>
        <v/>
      </c>
      <c r="D75" s="11"/>
      <c r="E75" s="11"/>
      <c r="F75" s="8"/>
      <c r="G75" s="18" t="str">
        <f>IF(A75="","",IFERROR(INDEX(Trabajadores!$E$5:$E$204,MATCH(B75,Trabajadores!$A$5:$A$204,0))/Parámetros!$B$6,0)+IF(IFERROR(INDEX(Trabajadores!$E$5:$E$204,MATCH(B75,Trabajadores!$A$5:$A$204,0)),"")="",Parámetros!$B$7,0))</f>
        <v/>
      </c>
      <c r="H75" s="5" t="str">
        <f t="shared" si="20"/>
        <v/>
      </c>
      <c r="I75" s="5" t="str">
        <f>IF(A75="","",IF(COUNTIF(Festivos!$A$5:$A$451,A75)&gt;0,"Festivo",IF(WEEKDAY(A75,2)=7,"Domingo",IF(AND(AF75=1,AC75&gt;1),IF(COUNTIF(Festivos!$A$5:$A$451,A75+1)&gt;0,"Festivo","Domingo")&amp;" desde las 00:00",""))))</f>
        <v/>
      </c>
      <c r="J75" s="19" t="str">
        <f t="shared" si="21"/>
        <v/>
      </c>
      <c r="K75" s="19" t="str">
        <f t="shared" si="22"/>
        <v/>
      </c>
      <c r="L75" s="19" t="str">
        <f t="shared" si="23"/>
        <v/>
      </c>
      <c r="M75" s="19" t="str">
        <f t="shared" si="24"/>
        <v/>
      </c>
      <c r="N75" s="19" t="str">
        <f t="shared" si="25"/>
        <v/>
      </c>
      <c r="O75" s="19" t="str">
        <f t="shared" si="26"/>
        <v/>
      </c>
      <c r="P75" s="19" t="str">
        <f t="shared" si="27"/>
        <v/>
      </c>
      <c r="Q75" s="19" t="str">
        <f t="shared" si="28"/>
        <v/>
      </c>
      <c r="R75" s="19" t="str">
        <f t="shared" si="29"/>
        <v/>
      </c>
      <c r="S75" s="17" t="str">
        <f>IF(B75="","",IFERROR(INDEX(Trabajadores!$G$5:$G$204,MATCH(B75,Trabajadores!$A$5:$A$204,0)),""))</f>
        <v/>
      </c>
      <c r="T75" s="17" t="str">
        <f>IF(OR(OR(A75="",D75="",E75=""),S75=""),"",ROUND(S75*(N(L75)*Parámetros!$B$8+N(M75)*(1+Parámetros!$B$9)+N(N75)*(1+Parámetros!$B$10)+N(O75)*(1+AG75)+N(P75)*(1+AG75+Parámetros!$B$8)+N(Q75)*(1+AG75+Parámetros!$B$9)+N(R75)*(1+AG75+Parámetros!$B$10)),0))</f>
        <v/>
      </c>
      <c r="U75" s="5" t="str">
        <f>IF(OR(A75="",D75="",E75=""),"",IF(N(M75)+N(N75)+N(Q75)+N(R75)&gt;Parámetros!$B$12,"Supera el límite de horas extras diarias",IF(C75="Cédula no registrada","Registre la cédula en «Trabajadores»","")))</f>
        <v/>
      </c>
      <c r="X75" s="20">
        <f t="shared" si="30"/>
        <v>0</v>
      </c>
      <c r="Y75" s="20">
        <f t="shared" si="31"/>
        <v>0</v>
      </c>
      <c r="Z75" s="20">
        <f t="shared" si="32"/>
        <v>0</v>
      </c>
      <c r="AA75" s="20">
        <f t="shared" si="33"/>
        <v>0</v>
      </c>
      <c r="AB75" s="20">
        <f t="shared" si="34"/>
        <v>0</v>
      </c>
      <c r="AC75" s="20">
        <f t="shared" si="35"/>
        <v>0</v>
      </c>
      <c r="AD75" s="20">
        <f>IF(A75="",21/24,MOD(VLOOKUP(A75,Parámetros!$A$24:$B$25,2,TRUE()),1))</f>
        <v>0.875</v>
      </c>
      <c r="AE75" s="5">
        <f>IF(A75="",0,IF(OR(WEEKDAY(A75,2)=7,COUNTIF(Festivos!$A$5:$A$451,A75)&gt;0),1,0))</f>
        <v>0</v>
      </c>
      <c r="AF75" s="5">
        <f>IF(A75="",0,IF(OR(WEEKDAY(A75+1,2)=7,COUNTIF(Festivos!$A$5:$A$451,A75+1)&gt;0),1,0))</f>
        <v>0</v>
      </c>
      <c r="AG75" s="9">
        <f>IF(A75="",0,VLOOKUP(A75,Parámetros!$A$18:$B$21,2,TRUE()))</f>
        <v>0</v>
      </c>
      <c r="AH75" s="20">
        <f t="shared" si="36"/>
        <v>0</v>
      </c>
      <c r="AI75" s="20">
        <f>MAX(0,MIN(AB75,Parámetros!$B$11)-MAX(X75,0))+MAX(0,MIN(AB75,1+Parámetros!$B$11)-MAX(X75,AD75))+MAX(0,MIN(AB75,2)-MAX(X75,1+AD75))</f>
        <v>0</v>
      </c>
      <c r="AJ75" s="20">
        <f t="shared" si="37"/>
        <v>0</v>
      </c>
      <c r="AK75" s="20">
        <f>AE75*(MAX(0,MIN(AB75,Parámetros!$B$11)-MAX(X75,0))+MAX(0,MIN(AB75,1)-MAX(X75,AD75)))+AF75*(MAX(0,MIN(AB75,1+Parámetros!$B$11)-MAX(X75,1))+MAX(0,MIN(AB75,2)-MAX(X75,1+AD75)))</f>
        <v>0</v>
      </c>
      <c r="AL75" s="20">
        <f t="shared" si="38"/>
        <v>0</v>
      </c>
      <c r="AM75" s="20">
        <f>MAX(0,MIN(AC75,Parámetros!$B$11)-MAX(AB75,0))+MAX(0,MIN(AC75,1+Parámetros!$B$11)-MAX(AB75,AD75))+MAX(0,MIN(AC75,2)-MAX(AB75,1+AD75))</f>
        <v>0</v>
      </c>
      <c r="AN75" s="20">
        <f t="shared" si="39"/>
        <v>0</v>
      </c>
      <c r="AO75" s="20">
        <f>AE75*(MAX(0,MIN(AC75,Parámetros!$B$11)-MAX(AB75,0))+MAX(0,MIN(AC75,1)-MAX(AB75,AD75)))+AF75*(MAX(0,MIN(AC75,1+Parámetros!$B$11)-MAX(AB75,1))+MAX(0,MIN(AC75,2)-MAX(AB75,1+AD75)))</f>
        <v>0</v>
      </c>
    </row>
    <row r="76" spans="1:41" x14ac:dyDescent="0.25">
      <c r="A76" s="15"/>
      <c r="B76" s="8"/>
      <c r="C76" s="5" t="str">
        <f>IF(B76="","",IFERROR(INDEX(Trabajadores!$B$5:$B$204,MATCH(B76,Trabajadores!$A$5:$A$204,0)),"Cédula no registrada"))</f>
        <v/>
      </c>
      <c r="D76" s="11"/>
      <c r="E76" s="11"/>
      <c r="F76" s="8"/>
      <c r="G76" s="18" t="str">
        <f>IF(A76="","",IFERROR(INDEX(Trabajadores!$E$5:$E$204,MATCH(B76,Trabajadores!$A$5:$A$204,0))/Parámetros!$B$6,0)+IF(IFERROR(INDEX(Trabajadores!$E$5:$E$204,MATCH(B76,Trabajadores!$A$5:$A$204,0)),"")="",Parámetros!$B$7,0))</f>
        <v/>
      </c>
      <c r="H76" s="5" t="str">
        <f t="shared" si="20"/>
        <v/>
      </c>
      <c r="I76" s="5" t="str">
        <f>IF(A76="","",IF(COUNTIF(Festivos!$A$5:$A$451,A76)&gt;0,"Festivo",IF(WEEKDAY(A76,2)=7,"Domingo",IF(AND(AF76=1,AC76&gt;1),IF(COUNTIF(Festivos!$A$5:$A$451,A76+1)&gt;0,"Festivo","Domingo")&amp;" desde las 00:00",""))))</f>
        <v/>
      </c>
      <c r="J76" s="19" t="str">
        <f t="shared" si="21"/>
        <v/>
      </c>
      <c r="K76" s="19" t="str">
        <f t="shared" si="22"/>
        <v/>
      </c>
      <c r="L76" s="19" t="str">
        <f t="shared" si="23"/>
        <v/>
      </c>
      <c r="M76" s="19" t="str">
        <f t="shared" si="24"/>
        <v/>
      </c>
      <c r="N76" s="19" t="str">
        <f t="shared" si="25"/>
        <v/>
      </c>
      <c r="O76" s="19" t="str">
        <f t="shared" si="26"/>
        <v/>
      </c>
      <c r="P76" s="19" t="str">
        <f t="shared" si="27"/>
        <v/>
      </c>
      <c r="Q76" s="19" t="str">
        <f t="shared" si="28"/>
        <v/>
      </c>
      <c r="R76" s="19" t="str">
        <f t="shared" si="29"/>
        <v/>
      </c>
      <c r="S76" s="17" t="str">
        <f>IF(B76="","",IFERROR(INDEX(Trabajadores!$G$5:$G$204,MATCH(B76,Trabajadores!$A$5:$A$204,0)),""))</f>
        <v/>
      </c>
      <c r="T76" s="17" t="str">
        <f>IF(OR(OR(A76="",D76="",E76=""),S76=""),"",ROUND(S76*(N(L76)*Parámetros!$B$8+N(M76)*(1+Parámetros!$B$9)+N(N76)*(1+Parámetros!$B$10)+N(O76)*(1+AG76)+N(P76)*(1+AG76+Parámetros!$B$8)+N(Q76)*(1+AG76+Parámetros!$B$9)+N(R76)*(1+AG76+Parámetros!$B$10)),0))</f>
        <v/>
      </c>
      <c r="U76" s="5" t="str">
        <f>IF(OR(A76="",D76="",E76=""),"",IF(N(M76)+N(N76)+N(Q76)+N(R76)&gt;Parámetros!$B$12,"Supera el límite de horas extras diarias",IF(C76="Cédula no registrada","Registre la cédula en «Trabajadores»","")))</f>
        <v/>
      </c>
      <c r="X76" s="20">
        <f t="shared" si="30"/>
        <v>0</v>
      </c>
      <c r="Y76" s="20">
        <f t="shared" si="31"/>
        <v>0</v>
      </c>
      <c r="Z76" s="20">
        <f t="shared" si="32"/>
        <v>0</v>
      </c>
      <c r="AA76" s="20">
        <f t="shared" si="33"/>
        <v>0</v>
      </c>
      <c r="AB76" s="20">
        <f t="shared" si="34"/>
        <v>0</v>
      </c>
      <c r="AC76" s="20">
        <f t="shared" si="35"/>
        <v>0</v>
      </c>
      <c r="AD76" s="20">
        <f>IF(A76="",21/24,MOD(VLOOKUP(A76,Parámetros!$A$24:$B$25,2,TRUE()),1))</f>
        <v>0.875</v>
      </c>
      <c r="AE76" s="5">
        <f>IF(A76="",0,IF(OR(WEEKDAY(A76,2)=7,COUNTIF(Festivos!$A$5:$A$451,A76)&gt;0),1,0))</f>
        <v>0</v>
      </c>
      <c r="AF76" s="5">
        <f>IF(A76="",0,IF(OR(WEEKDAY(A76+1,2)=7,COUNTIF(Festivos!$A$5:$A$451,A76+1)&gt;0),1,0))</f>
        <v>0</v>
      </c>
      <c r="AG76" s="9">
        <f>IF(A76="",0,VLOOKUP(A76,Parámetros!$A$18:$B$21,2,TRUE()))</f>
        <v>0</v>
      </c>
      <c r="AH76" s="20">
        <f t="shared" si="36"/>
        <v>0</v>
      </c>
      <c r="AI76" s="20">
        <f>MAX(0,MIN(AB76,Parámetros!$B$11)-MAX(X76,0))+MAX(0,MIN(AB76,1+Parámetros!$B$11)-MAX(X76,AD76))+MAX(0,MIN(AB76,2)-MAX(X76,1+AD76))</f>
        <v>0</v>
      </c>
      <c r="AJ76" s="20">
        <f t="shared" si="37"/>
        <v>0</v>
      </c>
      <c r="AK76" s="20">
        <f>AE76*(MAX(0,MIN(AB76,Parámetros!$B$11)-MAX(X76,0))+MAX(0,MIN(AB76,1)-MAX(X76,AD76)))+AF76*(MAX(0,MIN(AB76,1+Parámetros!$B$11)-MAX(X76,1))+MAX(0,MIN(AB76,2)-MAX(X76,1+AD76)))</f>
        <v>0</v>
      </c>
      <c r="AL76" s="20">
        <f t="shared" si="38"/>
        <v>0</v>
      </c>
      <c r="AM76" s="20">
        <f>MAX(0,MIN(AC76,Parámetros!$B$11)-MAX(AB76,0))+MAX(0,MIN(AC76,1+Parámetros!$B$11)-MAX(AB76,AD76))+MAX(0,MIN(AC76,2)-MAX(AB76,1+AD76))</f>
        <v>0</v>
      </c>
      <c r="AN76" s="20">
        <f t="shared" si="39"/>
        <v>0</v>
      </c>
      <c r="AO76" s="20">
        <f>AE76*(MAX(0,MIN(AC76,Parámetros!$B$11)-MAX(AB76,0))+MAX(0,MIN(AC76,1)-MAX(AB76,AD76)))+AF76*(MAX(0,MIN(AC76,1+Parámetros!$B$11)-MAX(AB76,1))+MAX(0,MIN(AC76,2)-MAX(AB76,1+AD76)))</f>
        <v>0</v>
      </c>
    </row>
    <row r="77" spans="1:41" x14ac:dyDescent="0.25">
      <c r="A77" s="15"/>
      <c r="B77" s="8"/>
      <c r="C77" s="5" t="str">
        <f>IF(B77="","",IFERROR(INDEX(Trabajadores!$B$5:$B$204,MATCH(B77,Trabajadores!$A$5:$A$204,0)),"Cédula no registrada"))</f>
        <v/>
      </c>
      <c r="D77" s="11"/>
      <c r="E77" s="11"/>
      <c r="F77" s="8"/>
      <c r="G77" s="18" t="str">
        <f>IF(A77="","",IFERROR(INDEX(Trabajadores!$E$5:$E$204,MATCH(B77,Trabajadores!$A$5:$A$204,0))/Parámetros!$B$6,0)+IF(IFERROR(INDEX(Trabajadores!$E$5:$E$204,MATCH(B77,Trabajadores!$A$5:$A$204,0)),"")="",Parámetros!$B$7,0))</f>
        <v/>
      </c>
      <c r="H77" s="5" t="str">
        <f t="shared" si="20"/>
        <v/>
      </c>
      <c r="I77" s="5" t="str">
        <f>IF(A77="","",IF(COUNTIF(Festivos!$A$5:$A$451,A77)&gt;0,"Festivo",IF(WEEKDAY(A77,2)=7,"Domingo",IF(AND(AF77=1,AC77&gt;1),IF(COUNTIF(Festivos!$A$5:$A$451,A77+1)&gt;0,"Festivo","Domingo")&amp;" desde las 00:00",""))))</f>
        <v/>
      </c>
      <c r="J77" s="19" t="str">
        <f t="shared" si="21"/>
        <v/>
      </c>
      <c r="K77" s="19" t="str">
        <f t="shared" si="22"/>
        <v/>
      </c>
      <c r="L77" s="19" t="str">
        <f t="shared" si="23"/>
        <v/>
      </c>
      <c r="M77" s="19" t="str">
        <f t="shared" si="24"/>
        <v/>
      </c>
      <c r="N77" s="19" t="str">
        <f t="shared" si="25"/>
        <v/>
      </c>
      <c r="O77" s="19" t="str">
        <f t="shared" si="26"/>
        <v/>
      </c>
      <c r="P77" s="19" t="str">
        <f t="shared" si="27"/>
        <v/>
      </c>
      <c r="Q77" s="19" t="str">
        <f t="shared" si="28"/>
        <v/>
      </c>
      <c r="R77" s="19" t="str">
        <f t="shared" si="29"/>
        <v/>
      </c>
      <c r="S77" s="17" t="str">
        <f>IF(B77="","",IFERROR(INDEX(Trabajadores!$G$5:$G$204,MATCH(B77,Trabajadores!$A$5:$A$204,0)),""))</f>
        <v/>
      </c>
      <c r="T77" s="17" t="str">
        <f>IF(OR(OR(A77="",D77="",E77=""),S77=""),"",ROUND(S77*(N(L77)*Parámetros!$B$8+N(M77)*(1+Parámetros!$B$9)+N(N77)*(1+Parámetros!$B$10)+N(O77)*(1+AG77)+N(P77)*(1+AG77+Parámetros!$B$8)+N(Q77)*(1+AG77+Parámetros!$B$9)+N(R77)*(1+AG77+Parámetros!$B$10)),0))</f>
        <v/>
      </c>
      <c r="U77" s="5" t="str">
        <f>IF(OR(A77="",D77="",E77=""),"",IF(N(M77)+N(N77)+N(Q77)+N(R77)&gt;Parámetros!$B$12,"Supera el límite de horas extras diarias",IF(C77="Cédula no registrada","Registre la cédula en «Trabajadores»","")))</f>
        <v/>
      </c>
      <c r="X77" s="20">
        <f t="shared" si="30"/>
        <v>0</v>
      </c>
      <c r="Y77" s="20">
        <f t="shared" si="31"/>
        <v>0</v>
      </c>
      <c r="Z77" s="20">
        <f t="shared" si="32"/>
        <v>0</v>
      </c>
      <c r="AA77" s="20">
        <f t="shared" si="33"/>
        <v>0</v>
      </c>
      <c r="AB77" s="20">
        <f t="shared" si="34"/>
        <v>0</v>
      </c>
      <c r="AC77" s="20">
        <f t="shared" si="35"/>
        <v>0</v>
      </c>
      <c r="AD77" s="20">
        <f>IF(A77="",21/24,MOD(VLOOKUP(A77,Parámetros!$A$24:$B$25,2,TRUE()),1))</f>
        <v>0.875</v>
      </c>
      <c r="AE77" s="5">
        <f>IF(A77="",0,IF(OR(WEEKDAY(A77,2)=7,COUNTIF(Festivos!$A$5:$A$451,A77)&gt;0),1,0))</f>
        <v>0</v>
      </c>
      <c r="AF77" s="5">
        <f>IF(A77="",0,IF(OR(WEEKDAY(A77+1,2)=7,COUNTIF(Festivos!$A$5:$A$451,A77+1)&gt;0),1,0))</f>
        <v>0</v>
      </c>
      <c r="AG77" s="9">
        <f>IF(A77="",0,VLOOKUP(A77,Parámetros!$A$18:$B$21,2,TRUE()))</f>
        <v>0</v>
      </c>
      <c r="AH77" s="20">
        <f t="shared" si="36"/>
        <v>0</v>
      </c>
      <c r="AI77" s="20">
        <f>MAX(0,MIN(AB77,Parámetros!$B$11)-MAX(X77,0))+MAX(0,MIN(AB77,1+Parámetros!$B$11)-MAX(X77,AD77))+MAX(0,MIN(AB77,2)-MAX(X77,1+AD77))</f>
        <v>0</v>
      </c>
      <c r="AJ77" s="20">
        <f t="shared" si="37"/>
        <v>0</v>
      </c>
      <c r="AK77" s="20">
        <f>AE77*(MAX(0,MIN(AB77,Parámetros!$B$11)-MAX(X77,0))+MAX(0,MIN(AB77,1)-MAX(X77,AD77)))+AF77*(MAX(0,MIN(AB77,1+Parámetros!$B$11)-MAX(X77,1))+MAX(0,MIN(AB77,2)-MAX(X77,1+AD77)))</f>
        <v>0</v>
      </c>
      <c r="AL77" s="20">
        <f t="shared" si="38"/>
        <v>0</v>
      </c>
      <c r="AM77" s="20">
        <f>MAX(0,MIN(AC77,Parámetros!$B$11)-MAX(AB77,0))+MAX(0,MIN(AC77,1+Parámetros!$B$11)-MAX(AB77,AD77))+MAX(0,MIN(AC77,2)-MAX(AB77,1+AD77))</f>
        <v>0</v>
      </c>
      <c r="AN77" s="20">
        <f t="shared" si="39"/>
        <v>0</v>
      </c>
      <c r="AO77" s="20">
        <f>AE77*(MAX(0,MIN(AC77,Parámetros!$B$11)-MAX(AB77,0))+MAX(0,MIN(AC77,1)-MAX(AB77,AD77)))+AF77*(MAX(0,MIN(AC77,1+Parámetros!$B$11)-MAX(AB77,1))+MAX(0,MIN(AC77,2)-MAX(AB77,1+AD77)))</f>
        <v>0</v>
      </c>
    </row>
    <row r="78" spans="1:41" x14ac:dyDescent="0.25">
      <c r="A78" s="15"/>
      <c r="B78" s="8"/>
      <c r="C78" s="5" t="str">
        <f>IF(B78="","",IFERROR(INDEX(Trabajadores!$B$5:$B$204,MATCH(B78,Trabajadores!$A$5:$A$204,0)),"Cédula no registrada"))</f>
        <v/>
      </c>
      <c r="D78" s="11"/>
      <c r="E78" s="11"/>
      <c r="F78" s="8"/>
      <c r="G78" s="18" t="str">
        <f>IF(A78="","",IFERROR(INDEX(Trabajadores!$E$5:$E$204,MATCH(B78,Trabajadores!$A$5:$A$204,0))/Parámetros!$B$6,0)+IF(IFERROR(INDEX(Trabajadores!$E$5:$E$204,MATCH(B78,Trabajadores!$A$5:$A$204,0)),"")="",Parámetros!$B$7,0))</f>
        <v/>
      </c>
      <c r="H78" s="5" t="str">
        <f t="shared" si="20"/>
        <v/>
      </c>
      <c r="I78" s="5" t="str">
        <f>IF(A78="","",IF(COUNTIF(Festivos!$A$5:$A$451,A78)&gt;0,"Festivo",IF(WEEKDAY(A78,2)=7,"Domingo",IF(AND(AF78=1,AC78&gt;1),IF(COUNTIF(Festivos!$A$5:$A$451,A78+1)&gt;0,"Festivo","Domingo")&amp;" desde las 00:00",""))))</f>
        <v/>
      </c>
      <c r="J78" s="19" t="str">
        <f t="shared" si="21"/>
        <v/>
      </c>
      <c r="K78" s="19" t="str">
        <f t="shared" si="22"/>
        <v/>
      </c>
      <c r="L78" s="19" t="str">
        <f t="shared" si="23"/>
        <v/>
      </c>
      <c r="M78" s="19" t="str">
        <f t="shared" si="24"/>
        <v/>
      </c>
      <c r="N78" s="19" t="str">
        <f t="shared" si="25"/>
        <v/>
      </c>
      <c r="O78" s="19" t="str">
        <f t="shared" si="26"/>
        <v/>
      </c>
      <c r="P78" s="19" t="str">
        <f t="shared" si="27"/>
        <v/>
      </c>
      <c r="Q78" s="19" t="str">
        <f t="shared" si="28"/>
        <v/>
      </c>
      <c r="R78" s="19" t="str">
        <f t="shared" si="29"/>
        <v/>
      </c>
      <c r="S78" s="17" t="str">
        <f>IF(B78="","",IFERROR(INDEX(Trabajadores!$G$5:$G$204,MATCH(B78,Trabajadores!$A$5:$A$204,0)),""))</f>
        <v/>
      </c>
      <c r="T78" s="17" t="str">
        <f>IF(OR(OR(A78="",D78="",E78=""),S78=""),"",ROUND(S78*(N(L78)*Parámetros!$B$8+N(M78)*(1+Parámetros!$B$9)+N(N78)*(1+Parámetros!$B$10)+N(O78)*(1+AG78)+N(P78)*(1+AG78+Parámetros!$B$8)+N(Q78)*(1+AG78+Parámetros!$B$9)+N(R78)*(1+AG78+Parámetros!$B$10)),0))</f>
        <v/>
      </c>
      <c r="U78" s="5" t="str">
        <f>IF(OR(A78="",D78="",E78=""),"",IF(N(M78)+N(N78)+N(Q78)+N(R78)&gt;Parámetros!$B$12,"Supera el límite de horas extras diarias",IF(C78="Cédula no registrada","Registre la cédula en «Trabajadores»","")))</f>
        <v/>
      </c>
      <c r="X78" s="20">
        <f t="shared" si="30"/>
        <v>0</v>
      </c>
      <c r="Y78" s="20">
        <f t="shared" si="31"/>
        <v>0</v>
      </c>
      <c r="Z78" s="20">
        <f t="shared" si="32"/>
        <v>0</v>
      </c>
      <c r="AA78" s="20">
        <f t="shared" si="33"/>
        <v>0</v>
      </c>
      <c r="AB78" s="20">
        <f t="shared" si="34"/>
        <v>0</v>
      </c>
      <c r="AC78" s="20">
        <f t="shared" si="35"/>
        <v>0</v>
      </c>
      <c r="AD78" s="20">
        <f>IF(A78="",21/24,MOD(VLOOKUP(A78,Parámetros!$A$24:$B$25,2,TRUE()),1))</f>
        <v>0.875</v>
      </c>
      <c r="AE78" s="5">
        <f>IF(A78="",0,IF(OR(WEEKDAY(A78,2)=7,COUNTIF(Festivos!$A$5:$A$451,A78)&gt;0),1,0))</f>
        <v>0</v>
      </c>
      <c r="AF78" s="5">
        <f>IF(A78="",0,IF(OR(WEEKDAY(A78+1,2)=7,COUNTIF(Festivos!$A$5:$A$451,A78+1)&gt;0),1,0))</f>
        <v>0</v>
      </c>
      <c r="AG78" s="9">
        <f>IF(A78="",0,VLOOKUP(A78,Parámetros!$A$18:$B$21,2,TRUE()))</f>
        <v>0</v>
      </c>
      <c r="AH78" s="20">
        <f t="shared" si="36"/>
        <v>0</v>
      </c>
      <c r="AI78" s="20">
        <f>MAX(0,MIN(AB78,Parámetros!$B$11)-MAX(X78,0))+MAX(0,MIN(AB78,1+Parámetros!$B$11)-MAX(X78,AD78))+MAX(0,MIN(AB78,2)-MAX(X78,1+AD78))</f>
        <v>0</v>
      </c>
      <c r="AJ78" s="20">
        <f t="shared" si="37"/>
        <v>0</v>
      </c>
      <c r="AK78" s="20">
        <f>AE78*(MAX(0,MIN(AB78,Parámetros!$B$11)-MAX(X78,0))+MAX(0,MIN(AB78,1)-MAX(X78,AD78)))+AF78*(MAX(0,MIN(AB78,1+Parámetros!$B$11)-MAX(X78,1))+MAX(0,MIN(AB78,2)-MAX(X78,1+AD78)))</f>
        <v>0</v>
      </c>
      <c r="AL78" s="20">
        <f t="shared" si="38"/>
        <v>0</v>
      </c>
      <c r="AM78" s="20">
        <f>MAX(0,MIN(AC78,Parámetros!$B$11)-MAX(AB78,0))+MAX(0,MIN(AC78,1+Parámetros!$B$11)-MAX(AB78,AD78))+MAX(0,MIN(AC78,2)-MAX(AB78,1+AD78))</f>
        <v>0</v>
      </c>
      <c r="AN78" s="20">
        <f t="shared" si="39"/>
        <v>0</v>
      </c>
      <c r="AO78" s="20">
        <f>AE78*(MAX(0,MIN(AC78,Parámetros!$B$11)-MAX(AB78,0))+MAX(0,MIN(AC78,1)-MAX(AB78,AD78)))+AF78*(MAX(0,MIN(AC78,1+Parámetros!$B$11)-MAX(AB78,1))+MAX(0,MIN(AC78,2)-MAX(AB78,1+AD78)))</f>
        <v>0</v>
      </c>
    </row>
    <row r="79" spans="1:41" x14ac:dyDescent="0.25">
      <c r="A79" s="15"/>
      <c r="B79" s="8"/>
      <c r="C79" s="5" t="str">
        <f>IF(B79="","",IFERROR(INDEX(Trabajadores!$B$5:$B$204,MATCH(B79,Trabajadores!$A$5:$A$204,0)),"Cédula no registrada"))</f>
        <v/>
      </c>
      <c r="D79" s="11"/>
      <c r="E79" s="11"/>
      <c r="F79" s="8"/>
      <c r="G79" s="18" t="str">
        <f>IF(A79="","",IFERROR(INDEX(Trabajadores!$E$5:$E$204,MATCH(B79,Trabajadores!$A$5:$A$204,0))/Parámetros!$B$6,0)+IF(IFERROR(INDEX(Trabajadores!$E$5:$E$204,MATCH(B79,Trabajadores!$A$5:$A$204,0)),"")="",Parámetros!$B$7,0))</f>
        <v/>
      </c>
      <c r="H79" s="5" t="str">
        <f t="shared" si="20"/>
        <v/>
      </c>
      <c r="I79" s="5" t="str">
        <f>IF(A79="","",IF(COUNTIF(Festivos!$A$5:$A$451,A79)&gt;0,"Festivo",IF(WEEKDAY(A79,2)=7,"Domingo",IF(AND(AF79=1,AC79&gt;1),IF(COUNTIF(Festivos!$A$5:$A$451,A79+1)&gt;0,"Festivo","Domingo")&amp;" desde las 00:00",""))))</f>
        <v/>
      </c>
      <c r="J79" s="19" t="str">
        <f t="shared" si="21"/>
        <v/>
      </c>
      <c r="K79" s="19" t="str">
        <f t="shared" si="22"/>
        <v/>
      </c>
      <c r="L79" s="19" t="str">
        <f t="shared" si="23"/>
        <v/>
      </c>
      <c r="M79" s="19" t="str">
        <f t="shared" si="24"/>
        <v/>
      </c>
      <c r="N79" s="19" t="str">
        <f t="shared" si="25"/>
        <v/>
      </c>
      <c r="O79" s="19" t="str">
        <f t="shared" si="26"/>
        <v/>
      </c>
      <c r="P79" s="19" t="str">
        <f t="shared" si="27"/>
        <v/>
      </c>
      <c r="Q79" s="19" t="str">
        <f t="shared" si="28"/>
        <v/>
      </c>
      <c r="R79" s="19" t="str">
        <f t="shared" si="29"/>
        <v/>
      </c>
      <c r="S79" s="17" t="str">
        <f>IF(B79="","",IFERROR(INDEX(Trabajadores!$G$5:$G$204,MATCH(B79,Trabajadores!$A$5:$A$204,0)),""))</f>
        <v/>
      </c>
      <c r="T79" s="17" t="str">
        <f>IF(OR(OR(A79="",D79="",E79=""),S79=""),"",ROUND(S79*(N(L79)*Parámetros!$B$8+N(M79)*(1+Parámetros!$B$9)+N(N79)*(1+Parámetros!$B$10)+N(O79)*(1+AG79)+N(P79)*(1+AG79+Parámetros!$B$8)+N(Q79)*(1+AG79+Parámetros!$B$9)+N(R79)*(1+AG79+Parámetros!$B$10)),0))</f>
        <v/>
      </c>
      <c r="U79" s="5" t="str">
        <f>IF(OR(A79="",D79="",E79=""),"",IF(N(M79)+N(N79)+N(Q79)+N(R79)&gt;Parámetros!$B$12,"Supera el límite de horas extras diarias",IF(C79="Cédula no registrada","Registre la cédula en «Trabajadores»","")))</f>
        <v/>
      </c>
      <c r="X79" s="20">
        <f t="shared" si="30"/>
        <v>0</v>
      </c>
      <c r="Y79" s="20">
        <f t="shared" si="31"/>
        <v>0</v>
      </c>
      <c r="Z79" s="20">
        <f t="shared" si="32"/>
        <v>0</v>
      </c>
      <c r="AA79" s="20">
        <f t="shared" si="33"/>
        <v>0</v>
      </c>
      <c r="AB79" s="20">
        <f t="shared" si="34"/>
        <v>0</v>
      </c>
      <c r="AC79" s="20">
        <f t="shared" si="35"/>
        <v>0</v>
      </c>
      <c r="AD79" s="20">
        <f>IF(A79="",21/24,MOD(VLOOKUP(A79,Parámetros!$A$24:$B$25,2,TRUE()),1))</f>
        <v>0.875</v>
      </c>
      <c r="AE79" s="5">
        <f>IF(A79="",0,IF(OR(WEEKDAY(A79,2)=7,COUNTIF(Festivos!$A$5:$A$451,A79)&gt;0),1,0))</f>
        <v>0</v>
      </c>
      <c r="AF79" s="5">
        <f>IF(A79="",0,IF(OR(WEEKDAY(A79+1,2)=7,COUNTIF(Festivos!$A$5:$A$451,A79+1)&gt;0),1,0))</f>
        <v>0</v>
      </c>
      <c r="AG79" s="9">
        <f>IF(A79="",0,VLOOKUP(A79,Parámetros!$A$18:$B$21,2,TRUE()))</f>
        <v>0</v>
      </c>
      <c r="AH79" s="20">
        <f t="shared" si="36"/>
        <v>0</v>
      </c>
      <c r="AI79" s="20">
        <f>MAX(0,MIN(AB79,Parámetros!$B$11)-MAX(X79,0))+MAX(0,MIN(AB79,1+Parámetros!$B$11)-MAX(X79,AD79))+MAX(0,MIN(AB79,2)-MAX(X79,1+AD79))</f>
        <v>0</v>
      </c>
      <c r="AJ79" s="20">
        <f t="shared" si="37"/>
        <v>0</v>
      </c>
      <c r="AK79" s="20">
        <f>AE79*(MAX(0,MIN(AB79,Parámetros!$B$11)-MAX(X79,0))+MAX(0,MIN(AB79,1)-MAX(X79,AD79)))+AF79*(MAX(0,MIN(AB79,1+Parámetros!$B$11)-MAX(X79,1))+MAX(0,MIN(AB79,2)-MAX(X79,1+AD79)))</f>
        <v>0</v>
      </c>
      <c r="AL79" s="20">
        <f t="shared" si="38"/>
        <v>0</v>
      </c>
      <c r="AM79" s="20">
        <f>MAX(0,MIN(AC79,Parámetros!$B$11)-MAX(AB79,0))+MAX(0,MIN(AC79,1+Parámetros!$B$11)-MAX(AB79,AD79))+MAX(0,MIN(AC79,2)-MAX(AB79,1+AD79))</f>
        <v>0</v>
      </c>
      <c r="AN79" s="20">
        <f t="shared" si="39"/>
        <v>0</v>
      </c>
      <c r="AO79" s="20">
        <f>AE79*(MAX(0,MIN(AC79,Parámetros!$B$11)-MAX(AB79,0))+MAX(0,MIN(AC79,1)-MAX(AB79,AD79)))+AF79*(MAX(0,MIN(AC79,1+Parámetros!$B$11)-MAX(AB79,1))+MAX(0,MIN(AC79,2)-MAX(AB79,1+AD79)))</f>
        <v>0</v>
      </c>
    </row>
    <row r="80" spans="1:41" x14ac:dyDescent="0.25">
      <c r="A80" s="15"/>
      <c r="B80" s="8"/>
      <c r="C80" s="5" t="str">
        <f>IF(B80="","",IFERROR(INDEX(Trabajadores!$B$5:$B$204,MATCH(B80,Trabajadores!$A$5:$A$204,0)),"Cédula no registrada"))</f>
        <v/>
      </c>
      <c r="D80" s="11"/>
      <c r="E80" s="11"/>
      <c r="F80" s="8"/>
      <c r="G80" s="18" t="str">
        <f>IF(A80="","",IFERROR(INDEX(Trabajadores!$E$5:$E$204,MATCH(B80,Trabajadores!$A$5:$A$204,0))/Parámetros!$B$6,0)+IF(IFERROR(INDEX(Trabajadores!$E$5:$E$204,MATCH(B80,Trabajadores!$A$5:$A$204,0)),"")="",Parámetros!$B$7,0))</f>
        <v/>
      </c>
      <c r="H80" s="5" t="str">
        <f t="shared" si="20"/>
        <v/>
      </c>
      <c r="I80" s="5" t="str">
        <f>IF(A80="","",IF(COUNTIF(Festivos!$A$5:$A$451,A80)&gt;0,"Festivo",IF(WEEKDAY(A80,2)=7,"Domingo",IF(AND(AF80=1,AC80&gt;1),IF(COUNTIF(Festivos!$A$5:$A$451,A80+1)&gt;0,"Festivo","Domingo")&amp;" desde las 00:00",""))))</f>
        <v/>
      </c>
      <c r="J80" s="19" t="str">
        <f t="shared" si="21"/>
        <v/>
      </c>
      <c r="K80" s="19" t="str">
        <f t="shared" si="22"/>
        <v/>
      </c>
      <c r="L80" s="19" t="str">
        <f t="shared" si="23"/>
        <v/>
      </c>
      <c r="M80" s="19" t="str">
        <f t="shared" si="24"/>
        <v/>
      </c>
      <c r="N80" s="19" t="str">
        <f t="shared" si="25"/>
        <v/>
      </c>
      <c r="O80" s="19" t="str">
        <f t="shared" si="26"/>
        <v/>
      </c>
      <c r="P80" s="19" t="str">
        <f t="shared" si="27"/>
        <v/>
      </c>
      <c r="Q80" s="19" t="str">
        <f t="shared" si="28"/>
        <v/>
      </c>
      <c r="R80" s="19" t="str">
        <f t="shared" si="29"/>
        <v/>
      </c>
      <c r="S80" s="17" t="str">
        <f>IF(B80="","",IFERROR(INDEX(Trabajadores!$G$5:$G$204,MATCH(B80,Trabajadores!$A$5:$A$204,0)),""))</f>
        <v/>
      </c>
      <c r="T80" s="17" t="str">
        <f>IF(OR(OR(A80="",D80="",E80=""),S80=""),"",ROUND(S80*(N(L80)*Parámetros!$B$8+N(M80)*(1+Parámetros!$B$9)+N(N80)*(1+Parámetros!$B$10)+N(O80)*(1+AG80)+N(P80)*(1+AG80+Parámetros!$B$8)+N(Q80)*(1+AG80+Parámetros!$B$9)+N(R80)*(1+AG80+Parámetros!$B$10)),0))</f>
        <v/>
      </c>
      <c r="U80" s="5" t="str">
        <f>IF(OR(A80="",D80="",E80=""),"",IF(N(M80)+N(N80)+N(Q80)+N(R80)&gt;Parámetros!$B$12,"Supera el límite de horas extras diarias",IF(C80="Cédula no registrada","Registre la cédula en «Trabajadores»","")))</f>
        <v/>
      </c>
      <c r="X80" s="20">
        <f t="shared" si="30"/>
        <v>0</v>
      </c>
      <c r="Y80" s="20">
        <f t="shared" si="31"/>
        <v>0</v>
      </c>
      <c r="Z80" s="20">
        <f t="shared" si="32"/>
        <v>0</v>
      </c>
      <c r="AA80" s="20">
        <f t="shared" si="33"/>
        <v>0</v>
      </c>
      <c r="AB80" s="20">
        <f t="shared" si="34"/>
        <v>0</v>
      </c>
      <c r="AC80" s="20">
        <f t="shared" si="35"/>
        <v>0</v>
      </c>
      <c r="AD80" s="20">
        <f>IF(A80="",21/24,MOD(VLOOKUP(A80,Parámetros!$A$24:$B$25,2,TRUE()),1))</f>
        <v>0.875</v>
      </c>
      <c r="AE80" s="5">
        <f>IF(A80="",0,IF(OR(WEEKDAY(A80,2)=7,COUNTIF(Festivos!$A$5:$A$451,A80)&gt;0),1,0))</f>
        <v>0</v>
      </c>
      <c r="AF80" s="5">
        <f>IF(A80="",0,IF(OR(WEEKDAY(A80+1,2)=7,COUNTIF(Festivos!$A$5:$A$451,A80+1)&gt;0),1,0))</f>
        <v>0</v>
      </c>
      <c r="AG80" s="9">
        <f>IF(A80="",0,VLOOKUP(A80,Parámetros!$A$18:$B$21,2,TRUE()))</f>
        <v>0</v>
      </c>
      <c r="AH80" s="20">
        <f t="shared" si="36"/>
        <v>0</v>
      </c>
      <c r="AI80" s="20">
        <f>MAX(0,MIN(AB80,Parámetros!$B$11)-MAX(X80,0))+MAX(0,MIN(AB80,1+Parámetros!$B$11)-MAX(X80,AD80))+MAX(0,MIN(AB80,2)-MAX(X80,1+AD80))</f>
        <v>0</v>
      </c>
      <c r="AJ80" s="20">
        <f t="shared" si="37"/>
        <v>0</v>
      </c>
      <c r="AK80" s="20">
        <f>AE80*(MAX(0,MIN(AB80,Parámetros!$B$11)-MAX(X80,0))+MAX(0,MIN(AB80,1)-MAX(X80,AD80)))+AF80*(MAX(0,MIN(AB80,1+Parámetros!$B$11)-MAX(X80,1))+MAX(0,MIN(AB80,2)-MAX(X80,1+AD80)))</f>
        <v>0</v>
      </c>
      <c r="AL80" s="20">
        <f t="shared" si="38"/>
        <v>0</v>
      </c>
      <c r="AM80" s="20">
        <f>MAX(0,MIN(AC80,Parámetros!$B$11)-MAX(AB80,0))+MAX(0,MIN(AC80,1+Parámetros!$B$11)-MAX(AB80,AD80))+MAX(0,MIN(AC80,2)-MAX(AB80,1+AD80))</f>
        <v>0</v>
      </c>
      <c r="AN80" s="20">
        <f t="shared" si="39"/>
        <v>0</v>
      </c>
      <c r="AO80" s="20">
        <f>AE80*(MAX(0,MIN(AC80,Parámetros!$B$11)-MAX(AB80,0))+MAX(0,MIN(AC80,1)-MAX(AB80,AD80)))+AF80*(MAX(0,MIN(AC80,1+Parámetros!$B$11)-MAX(AB80,1))+MAX(0,MIN(AC80,2)-MAX(AB80,1+AD80)))</f>
        <v>0</v>
      </c>
    </row>
    <row r="81" spans="1:41" x14ac:dyDescent="0.25">
      <c r="A81" s="15"/>
      <c r="B81" s="8"/>
      <c r="C81" s="5" t="str">
        <f>IF(B81="","",IFERROR(INDEX(Trabajadores!$B$5:$B$204,MATCH(B81,Trabajadores!$A$5:$A$204,0)),"Cédula no registrada"))</f>
        <v/>
      </c>
      <c r="D81" s="11"/>
      <c r="E81" s="11"/>
      <c r="F81" s="8"/>
      <c r="G81" s="18" t="str">
        <f>IF(A81="","",IFERROR(INDEX(Trabajadores!$E$5:$E$204,MATCH(B81,Trabajadores!$A$5:$A$204,0))/Parámetros!$B$6,0)+IF(IFERROR(INDEX(Trabajadores!$E$5:$E$204,MATCH(B81,Trabajadores!$A$5:$A$204,0)),"")="",Parámetros!$B$7,0))</f>
        <v/>
      </c>
      <c r="H81" s="5" t="str">
        <f t="shared" si="20"/>
        <v/>
      </c>
      <c r="I81" s="5" t="str">
        <f>IF(A81="","",IF(COUNTIF(Festivos!$A$5:$A$451,A81)&gt;0,"Festivo",IF(WEEKDAY(A81,2)=7,"Domingo",IF(AND(AF81=1,AC81&gt;1),IF(COUNTIF(Festivos!$A$5:$A$451,A81+1)&gt;0,"Festivo","Domingo")&amp;" desde las 00:00",""))))</f>
        <v/>
      </c>
      <c r="J81" s="19" t="str">
        <f t="shared" si="21"/>
        <v/>
      </c>
      <c r="K81" s="19" t="str">
        <f t="shared" si="22"/>
        <v/>
      </c>
      <c r="L81" s="19" t="str">
        <f t="shared" si="23"/>
        <v/>
      </c>
      <c r="M81" s="19" t="str">
        <f t="shared" si="24"/>
        <v/>
      </c>
      <c r="N81" s="19" t="str">
        <f t="shared" si="25"/>
        <v/>
      </c>
      <c r="O81" s="19" t="str">
        <f t="shared" si="26"/>
        <v/>
      </c>
      <c r="P81" s="19" t="str">
        <f t="shared" si="27"/>
        <v/>
      </c>
      <c r="Q81" s="19" t="str">
        <f t="shared" si="28"/>
        <v/>
      </c>
      <c r="R81" s="19" t="str">
        <f t="shared" si="29"/>
        <v/>
      </c>
      <c r="S81" s="17" t="str">
        <f>IF(B81="","",IFERROR(INDEX(Trabajadores!$G$5:$G$204,MATCH(B81,Trabajadores!$A$5:$A$204,0)),""))</f>
        <v/>
      </c>
      <c r="T81" s="17" t="str">
        <f>IF(OR(OR(A81="",D81="",E81=""),S81=""),"",ROUND(S81*(N(L81)*Parámetros!$B$8+N(M81)*(1+Parámetros!$B$9)+N(N81)*(1+Parámetros!$B$10)+N(O81)*(1+AG81)+N(P81)*(1+AG81+Parámetros!$B$8)+N(Q81)*(1+AG81+Parámetros!$B$9)+N(R81)*(1+AG81+Parámetros!$B$10)),0))</f>
        <v/>
      </c>
      <c r="U81" s="5" t="str">
        <f>IF(OR(A81="",D81="",E81=""),"",IF(N(M81)+N(N81)+N(Q81)+N(R81)&gt;Parámetros!$B$12,"Supera el límite de horas extras diarias",IF(C81="Cédula no registrada","Registre la cédula en «Trabajadores»","")))</f>
        <v/>
      </c>
      <c r="X81" s="20">
        <f t="shared" si="30"/>
        <v>0</v>
      </c>
      <c r="Y81" s="20">
        <f t="shared" si="31"/>
        <v>0</v>
      </c>
      <c r="Z81" s="20">
        <f t="shared" si="32"/>
        <v>0</v>
      </c>
      <c r="AA81" s="20">
        <f t="shared" si="33"/>
        <v>0</v>
      </c>
      <c r="AB81" s="20">
        <f t="shared" si="34"/>
        <v>0</v>
      </c>
      <c r="AC81" s="20">
        <f t="shared" si="35"/>
        <v>0</v>
      </c>
      <c r="AD81" s="20">
        <f>IF(A81="",21/24,MOD(VLOOKUP(A81,Parámetros!$A$24:$B$25,2,TRUE()),1))</f>
        <v>0.875</v>
      </c>
      <c r="AE81" s="5">
        <f>IF(A81="",0,IF(OR(WEEKDAY(A81,2)=7,COUNTIF(Festivos!$A$5:$A$451,A81)&gt;0),1,0))</f>
        <v>0</v>
      </c>
      <c r="AF81" s="5">
        <f>IF(A81="",0,IF(OR(WEEKDAY(A81+1,2)=7,COUNTIF(Festivos!$A$5:$A$451,A81+1)&gt;0),1,0))</f>
        <v>0</v>
      </c>
      <c r="AG81" s="9">
        <f>IF(A81="",0,VLOOKUP(A81,Parámetros!$A$18:$B$21,2,TRUE()))</f>
        <v>0</v>
      </c>
      <c r="AH81" s="20">
        <f t="shared" si="36"/>
        <v>0</v>
      </c>
      <c r="AI81" s="20">
        <f>MAX(0,MIN(AB81,Parámetros!$B$11)-MAX(X81,0))+MAX(0,MIN(AB81,1+Parámetros!$B$11)-MAX(X81,AD81))+MAX(0,MIN(AB81,2)-MAX(X81,1+AD81))</f>
        <v>0</v>
      </c>
      <c r="AJ81" s="20">
        <f t="shared" si="37"/>
        <v>0</v>
      </c>
      <c r="AK81" s="20">
        <f>AE81*(MAX(0,MIN(AB81,Parámetros!$B$11)-MAX(X81,0))+MAX(0,MIN(AB81,1)-MAX(X81,AD81)))+AF81*(MAX(0,MIN(AB81,1+Parámetros!$B$11)-MAX(X81,1))+MAX(0,MIN(AB81,2)-MAX(X81,1+AD81)))</f>
        <v>0</v>
      </c>
      <c r="AL81" s="20">
        <f t="shared" si="38"/>
        <v>0</v>
      </c>
      <c r="AM81" s="20">
        <f>MAX(0,MIN(AC81,Parámetros!$B$11)-MAX(AB81,0))+MAX(0,MIN(AC81,1+Parámetros!$B$11)-MAX(AB81,AD81))+MAX(0,MIN(AC81,2)-MAX(AB81,1+AD81))</f>
        <v>0</v>
      </c>
      <c r="AN81" s="20">
        <f t="shared" si="39"/>
        <v>0</v>
      </c>
      <c r="AO81" s="20">
        <f>AE81*(MAX(0,MIN(AC81,Parámetros!$B$11)-MAX(AB81,0))+MAX(0,MIN(AC81,1)-MAX(AB81,AD81)))+AF81*(MAX(0,MIN(AC81,1+Parámetros!$B$11)-MAX(AB81,1))+MAX(0,MIN(AC81,2)-MAX(AB81,1+AD81)))</f>
        <v>0</v>
      </c>
    </row>
    <row r="82" spans="1:41" x14ac:dyDescent="0.25">
      <c r="A82" s="15"/>
      <c r="B82" s="8"/>
      <c r="C82" s="5" t="str">
        <f>IF(B82="","",IFERROR(INDEX(Trabajadores!$B$5:$B$204,MATCH(B82,Trabajadores!$A$5:$A$204,0)),"Cédula no registrada"))</f>
        <v/>
      </c>
      <c r="D82" s="11"/>
      <c r="E82" s="11"/>
      <c r="F82" s="8"/>
      <c r="G82" s="18" t="str">
        <f>IF(A82="","",IFERROR(INDEX(Trabajadores!$E$5:$E$204,MATCH(B82,Trabajadores!$A$5:$A$204,0))/Parámetros!$B$6,0)+IF(IFERROR(INDEX(Trabajadores!$E$5:$E$204,MATCH(B82,Trabajadores!$A$5:$A$204,0)),"")="",Parámetros!$B$7,0))</f>
        <v/>
      </c>
      <c r="H82" s="5" t="str">
        <f t="shared" si="20"/>
        <v/>
      </c>
      <c r="I82" s="5" t="str">
        <f>IF(A82="","",IF(COUNTIF(Festivos!$A$5:$A$451,A82)&gt;0,"Festivo",IF(WEEKDAY(A82,2)=7,"Domingo",IF(AND(AF82=1,AC82&gt;1),IF(COUNTIF(Festivos!$A$5:$A$451,A82+1)&gt;0,"Festivo","Domingo")&amp;" desde las 00:00",""))))</f>
        <v/>
      </c>
      <c r="J82" s="19" t="str">
        <f t="shared" si="21"/>
        <v/>
      </c>
      <c r="K82" s="19" t="str">
        <f t="shared" si="22"/>
        <v/>
      </c>
      <c r="L82" s="19" t="str">
        <f t="shared" si="23"/>
        <v/>
      </c>
      <c r="M82" s="19" t="str">
        <f t="shared" si="24"/>
        <v/>
      </c>
      <c r="N82" s="19" t="str">
        <f t="shared" si="25"/>
        <v/>
      </c>
      <c r="O82" s="19" t="str">
        <f t="shared" si="26"/>
        <v/>
      </c>
      <c r="P82" s="19" t="str">
        <f t="shared" si="27"/>
        <v/>
      </c>
      <c r="Q82" s="19" t="str">
        <f t="shared" si="28"/>
        <v/>
      </c>
      <c r="R82" s="19" t="str">
        <f t="shared" si="29"/>
        <v/>
      </c>
      <c r="S82" s="17" t="str">
        <f>IF(B82="","",IFERROR(INDEX(Trabajadores!$G$5:$G$204,MATCH(B82,Trabajadores!$A$5:$A$204,0)),""))</f>
        <v/>
      </c>
      <c r="T82" s="17" t="str">
        <f>IF(OR(OR(A82="",D82="",E82=""),S82=""),"",ROUND(S82*(N(L82)*Parámetros!$B$8+N(M82)*(1+Parámetros!$B$9)+N(N82)*(1+Parámetros!$B$10)+N(O82)*(1+AG82)+N(P82)*(1+AG82+Parámetros!$B$8)+N(Q82)*(1+AG82+Parámetros!$B$9)+N(R82)*(1+AG82+Parámetros!$B$10)),0))</f>
        <v/>
      </c>
      <c r="U82" s="5" t="str">
        <f>IF(OR(A82="",D82="",E82=""),"",IF(N(M82)+N(N82)+N(Q82)+N(R82)&gt;Parámetros!$B$12,"Supera el límite de horas extras diarias",IF(C82="Cédula no registrada","Registre la cédula en «Trabajadores»","")))</f>
        <v/>
      </c>
      <c r="X82" s="20">
        <f t="shared" si="30"/>
        <v>0</v>
      </c>
      <c r="Y82" s="20">
        <f t="shared" si="31"/>
        <v>0</v>
      </c>
      <c r="Z82" s="20">
        <f t="shared" si="32"/>
        <v>0</v>
      </c>
      <c r="AA82" s="20">
        <f t="shared" si="33"/>
        <v>0</v>
      </c>
      <c r="AB82" s="20">
        <f t="shared" si="34"/>
        <v>0</v>
      </c>
      <c r="AC82" s="20">
        <f t="shared" si="35"/>
        <v>0</v>
      </c>
      <c r="AD82" s="20">
        <f>IF(A82="",21/24,MOD(VLOOKUP(A82,Parámetros!$A$24:$B$25,2,TRUE()),1))</f>
        <v>0.875</v>
      </c>
      <c r="AE82" s="5">
        <f>IF(A82="",0,IF(OR(WEEKDAY(A82,2)=7,COUNTIF(Festivos!$A$5:$A$451,A82)&gt;0),1,0))</f>
        <v>0</v>
      </c>
      <c r="AF82" s="5">
        <f>IF(A82="",0,IF(OR(WEEKDAY(A82+1,2)=7,COUNTIF(Festivos!$A$5:$A$451,A82+1)&gt;0),1,0))</f>
        <v>0</v>
      </c>
      <c r="AG82" s="9">
        <f>IF(A82="",0,VLOOKUP(A82,Parámetros!$A$18:$B$21,2,TRUE()))</f>
        <v>0</v>
      </c>
      <c r="AH82" s="20">
        <f t="shared" si="36"/>
        <v>0</v>
      </c>
      <c r="AI82" s="20">
        <f>MAX(0,MIN(AB82,Parámetros!$B$11)-MAX(X82,0))+MAX(0,MIN(AB82,1+Parámetros!$B$11)-MAX(X82,AD82))+MAX(0,MIN(AB82,2)-MAX(X82,1+AD82))</f>
        <v>0</v>
      </c>
      <c r="AJ82" s="20">
        <f t="shared" si="37"/>
        <v>0</v>
      </c>
      <c r="AK82" s="20">
        <f>AE82*(MAX(0,MIN(AB82,Parámetros!$B$11)-MAX(X82,0))+MAX(0,MIN(AB82,1)-MAX(X82,AD82)))+AF82*(MAX(0,MIN(AB82,1+Parámetros!$B$11)-MAX(X82,1))+MAX(0,MIN(AB82,2)-MAX(X82,1+AD82)))</f>
        <v>0</v>
      </c>
      <c r="AL82" s="20">
        <f t="shared" si="38"/>
        <v>0</v>
      </c>
      <c r="AM82" s="20">
        <f>MAX(0,MIN(AC82,Parámetros!$B$11)-MAX(AB82,0))+MAX(0,MIN(AC82,1+Parámetros!$B$11)-MAX(AB82,AD82))+MAX(0,MIN(AC82,2)-MAX(AB82,1+AD82))</f>
        <v>0</v>
      </c>
      <c r="AN82" s="20">
        <f t="shared" si="39"/>
        <v>0</v>
      </c>
      <c r="AO82" s="20">
        <f>AE82*(MAX(0,MIN(AC82,Parámetros!$B$11)-MAX(AB82,0))+MAX(0,MIN(AC82,1)-MAX(AB82,AD82)))+AF82*(MAX(0,MIN(AC82,1+Parámetros!$B$11)-MAX(AB82,1))+MAX(0,MIN(AC82,2)-MAX(AB82,1+AD82)))</f>
        <v>0</v>
      </c>
    </row>
    <row r="83" spans="1:41" x14ac:dyDescent="0.25">
      <c r="A83" s="15"/>
      <c r="B83" s="8"/>
      <c r="C83" s="5" t="str">
        <f>IF(B83="","",IFERROR(INDEX(Trabajadores!$B$5:$B$204,MATCH(B83,Trabajadores!$A$5:$A$204,0)),"Cédula no registrada"))</f>
        <v/>
      </c>
      <c r="D83" s="11"/>
      <c r="E83" s="11"/>
      <c r="F83" s="8"/>
      <c r="G83" s="18" t="str">
        <f>IF(A83="","",IFERROR(INDEX(Trabajadores!$E$5:$E$204,MATCH(B83,Trabajadores!$A$5:$A$204,0))/Parámetros!$B$6,0)+IF(IFERROR(INDEX(Trabajadores!$E$5:$E$204,MATCH(B83,Trabajadores!$A$5:$A$204,0)),"")="",Parámetros!$B$7,0))</f>
        <v/>
      </c>
      <c r="H83" s="5" t="str">
        <f t="shared" si="20"/>
        <v/>
      </c>
      <c r="I83" s="5" t="str">
        <f>IF(A83="","",IF(COUNTIF(Festivos!$A$5:$A$451,A83)&gt;0,"Festivo",IF(WEEKDAY(A83,2)=7,"Domingo",IF(AND(AF83=1,AC83&gt;1),IF(COUNTIF(Festivos!$A$5:$A$451,A83+1)&gt;0,"Festivo","Domingo")&amp;" desde las 00:00",""))))</f>
        <v/>
      </c>
      <c r="J83" s="19" t="str">
        <f t="shared" si="21"/>
        <v/>
      </c>
      <c r="K83" s="19" t="str">
        <f t="shared" si="22"/>
        <v/>
      </c>
      <c r="L83" s="19" t="str">
        <f t="shared" si="23"/>
        <v/>
      </c>
      <c r="M83" s="19" t="str">
        <f t="shared" si="24"/>
        <v/>
      </c>
      <c r="N83" s="19" t="str">
        <f t="shared" si="25"/>
        <v/>
      </c>
      <c r="O83" s="19" t="str">
        <f t="shared" si="26"/>
        <v/>
      </c>
      <c r="P83" s="19" t="str">
        <f t="shared" si="27"/>
        <v/>
      </c>
      <c r="Q83" s="19" t="str">
        <f t="shared" si="28"/>
        <v/>
      </c>
      <c r="R83" s="19" t="str">
        <f t="shared" si="29"/>
        <v/>
      </c>
      <c r="S83" s="17" t="str">
        <f>IF(B83="","",IFERROR(INDEX(Trabajadores!$G$5:$G$204,MATCH(B83,Trabajadores!$A$5:$A$204,0)),""))</f>
        <v/>
      </c>
      <c r="T83" s="17" t="str">
        <f>IF(OR(OR(A83="",D83="",E83=""),S83=""),"",ROUND(S83*(N(L83)*Parámetros!$B$8+N(M83)*(1+Parámetros!$B$9)+N(N83)*(1+Parámetros!$B$10)+N(O83)*(1+AG83)+N(P83)*(1+AG83+Parámetros!$B$8)+N(Q83)*(1+AG83+Parámetros!$B$9)+N(R83)*(1+AG83+Parámetros!$B$10)),0))</f>
        <v/>
      </c>
      <c r="U83" s="5" t="str">
        <f>IF(OR(A83="",D83="",E83=""),"",IF(N(M83)+N(N83)+N(Q83)+N(R83)&gt;Parámetros!$B$12,"Supera el límite de horas extras diarias",IF(C83="Cédula no registrada","Registre la cédula en «Trabajadores»","")))</f>
        <v/>
      </c>
      <c r="X83" s="20">
        <f t="shared" si="30"/>
        <v>0</v>
      </c>
      <c r="Y83" s="20">
        <f t="shared" si="31"/>
        <v>0</v>
      </c>
      <c r="Z83" s="20">
        <f t="shared" si="32"/>
        <v>0</v>
      </c>
      <c r="AA83" s="20">
        <f t="shared" si="33"/>
        <v>0</v>
      </c>
      <c r="AB83" s="20">
        <f t="shared" si="34"/>
        <v>0</v>
      </c>
      <c r="AC83" s="20">
        <f t="shared" si="35"/>
        <v>0</v>
      </c>
      <c r="AD83" s="20">
        <f>IF(A83="",21/24,MOD(VLOOKUP(A83,Parámetros!$A$24:$B$25,2,TRUE()),1))</f>
        <v>0.875</v>
      </c>
      <c r="AE83" s="5">
        <f>IF(A83="",0,IF(OR(WEEKDAY(A83,2)=7,COUNTIF(Festivos!$A$5:$A$451,A83)&gt;0),1,0))</f>
        <v>0</v>
      </c>
      <c r="AF83" s="5">
        <f>IF(A83="",0,IF(OR(WEEKDAY(A83+1,2)=7,COUNTIF(Festivos!$A$5:$A$451,A83+1)&gt;0),1,0))</f>
        <v>0</v>
      </c>
      <c r="AG83" s="9">
        <f>IF(A83="",0,VLOOKUP(A83,Parámetros!$A$18:$B$21,2,TRUE()))</f>
        <v>0</v>
      </c>
      <c r="AH83" s="20">
        <f t="shared" si="36"/>
        <v>0</v>
      </c>
      <c r="AI83" s="20">
        <f>MAX(0,MIN(AB83,Parámetros!$B$11)-MAX(X83,0))+MAX(0,MIN(AB83,1+Parámetros!$B$11)-MAX(X83,AD83))+MAX(0,MIN(AB83,2)-MAX(X83,1+AD83))</f>
        <v>0</v>
      </c>
      <c r="AJ83" s="20">
        <f t="shared" si="37"/>
        <v>0</v>
      </c>
      <c r="AK83" s="20">
        <f>AE83*(MAX(0,MIN(AB83,Parámetros!$B$11)-MAX(X83,0))+MAX(0,MIN(AB83,1)-MAX(X83,AD83)))+AF83*(MAX(0,MIN(AB83,1+Parámetros!$B$11)-MAX(X83,1))+MAX(0,MIN(AB83,2)-MAX(X83,1+AD83)))</f>
        <v>0</v>
      </c>
      <c r="AL83" s="20">
        <f t="shared" si="38"/>
        <v>0</v>
      </c>
      <c r="AM83" s="20">
        <f>MAX(0,MIN(AC83,Parámetros!$B$11)-MAX(AB83,0))+MAX(0,MIN(AC83,1+Parámetros!$B$11)-MAX(AB83,AD83))+MAX(0,MIN(AC83,2)-MAX(AB83,1+AD83))</f>
        <v>0</v>
      </c>
      <c r="AN83" s="20">
        <f t="shared" si="39"/>
        <v>0</v>
      </c>
      <c r="AO83" s="20">
        <f>AE83*(MAX(0,MIN(AC83,Parámetros!$B$11)-MAX(AB83,0))+MAX(0,MIN(AC83,1)-MAX(AB83,AD83)))+AF83*(MAX(0,MIN(AC83,1+Parámetros!$B$11)-MAX(AB83,1))+MAX(0,MIN(AC83,2)-MAX(AB83,1+AD83)))</f>
        <v>0</v>
      </c>
    </row>
    <row r="84" spans="1:41" x14ac:dyDescent="0.25">
      <c r="A84" s="15"/>
      <c r="B84" s="8"/>
      <c r="C84" s="5" t="str">
        <f>IF(B84="","",IFERROR(INDEX(Trabajadores!$B$5:$B$204,MATCH(B84,Trabajadores!$A$5:$A$204,0)),"Cédula no registrada"))</f>
        <v/>
      </c>
      <c r="D84" s="11"/>
      <c r="E84" s="11"/>
      <c r="F84" s="8"/>
      <c r="G84" s="18" t="str">
        <f>IF(A84="","",IFERROR(INDEX(Trabajadores!$E$5:$E$204,MATCH(B84,Trabajadores!$A$5:$A$204,0))/Parámetros!$B$6,0)+IF(IFERROR(INDEX(Trabajadores!$E$5:$E$204,MATCH(B84,Trabajadores!$A$5:$A$204,0)),"")="",Parámetros!$B$7,0))</f>
        <v/>
      </c>
      <c r="H84" s="5" t="str">
        <f t="shared" si="20"/>
        <v/>
      </c>
      <c r="I84" s="5" t="str">
        <f>IF(A84="","",IF(COUNTIF(Festivos!$A$5:$A$451,A84)&gt;0,"Festivo",IF(WEEKDAY(A84,2)=7,"Domingo",IF(AND(AF84=1,AC84&gt;1),IF(COUNTIF(Festivos!$A$5:$A$451,A84+1)&gt;0,"Festivo","Domingo")&amp;" desde las 00:00",""))))</f>
        <v/>
      </c>
      <c r="J84" s="19" t="str">
        <f t="shared" si="21"/>
        <v/>
      </c>
      <c r="K84" s="19" t="str">
        <f t="shared" si="22"/>
        <v/>
      </c>
      <c r="L84" s="19" t="str">
        <f t="shared" si="23"/>
        <v/>
      </c>
      <c r="M84" s="19" t="str">
        <f t="shared" si="24"/>
        <v/>
      </c>
      <c r="N84" s="19" t="str">
        <f t="shared" si="25"/>
        <v/>
      </c>
      <c r="O84" s="19" t="str">
        <f t="shared" si="26"/>
        <v/>
      </c>
      <c r="P84" s="19" t="str">
        <f t="shared" si="27"/>
        <v/>
      </c>
      <c r="Q84" s="19" t="str">
        <f t="shared" si="28"/>
        <v/>
      </c>
      <c r="R84" s="19" t="str">
        <f t="shared" si="29"/>
        <v/>
      </c>
      <c r="S84" s="17" t="str">
        <f>IF(B84="","",IFERROR(INDEX(Trabajadores!$G$5:$G$204,MATCH(B84,Trabajadores!$A$5:$A$204,0)),""))</f>
        <v/>
      </c>
      <c r="T84" s="17" t="str">
        <f>IF(OR(OR(A84="",D84="",E84=""),S84=""),"",ROUND(S84*(N(L84)*Parámetros!$B$8+N(M84)*(1+Parámetros!$B$9)+N(N84)*(1+Parámetros!$B$10)+N(O84)*(1+AG84)+N(P84)*(1+AG84+Parámetros!$B$8)+N(Q84)*(1+AG84+Parámetros!$B$9)+N(R84)*(1+AG84+Parámetros!$B$10)),0))</f>
        <v/>
      </c>
      <c r="U84" s="5" t="str">
        <f>IF(OR(A84="",D84="",E84=""),"",IF(N(M84)+N(N84)+N(Q84)+N(R84)&gt;Parámetros!$B$12,"Supera el límite de horas extras diarias",IF(C84="Cédula no registrada","Registre la cédula en «Trabajadores»","")))</f>
        <v/>
      </c>
      <c r="X84" s="20">
        <f t="shared" si="30"/>
        <v>0</v>
      </c>
      <c r="Y84" s="20">
        <f t="shared" si="31"/>
        <v>0</v>
      </c>
      <c r="Z84" s="20">
        <f t="shared" si="32"/>
        <v>0</v>
      </c>
      <c r="AA84" s="20">
        <f t="shared" si="33"/>
        <v>0</v>
      </c>
      <c r="AB84" s="20">
        <f t="shared" si="34"/>
        <v>0</v>
      </c>
      <c r="AC84" s="20">
        <f t="shared" si="35"/>
        <v>0</v>
      </c>
      <c r="AD84" s="20">
        <f>IF(A84="",21/24,MOD(VLOOKUP(A84,Parámetros!$A$24:$B$25,2,TRUE()),1))</f>
        <v>0.875</v>
      </c>
      <c r="AE84" s="5">
        <f>IF(A84="",0,IF(OR(WEEKDAY(A84,2)=7,COUNTIF(Festivos!$A$5:$A$451,A84)&gt;0),1,0))</f>
        <v>0</v>
      </c>
      <c r="AF84" s="5">
        <f>IF(A84="",0,IF(OR(WEEKDAY(A84+1,2)=7,COUNTIF(Festivos!$A$5:$A$451,A84+1)&gt;0),1,0))</f>
        <v>0</v>
      </c>
      <c r="AG84" s="9">
        <f>IF(A84="",0,VLOOKUP(A84,Parámetros!$A$18:$B$21,2,TRUE()))</f>
        <v>0</v>
      </c>
      <c r="AH84" s="20">
        <f t="shared" si="36"/>
        <v>0</v>
      </c>
      <c r="AI84" s="20">
        <f>MAX(0,MIN(AB84,Parámetros!$B$11)-MAX(X84,0))+MAX(0,MIN(AB84,1+Parámetros!$B$11)-MAX(X84,AD84))+MAX(0,MIN(AB84,2)-MAX(X84,1+AD84))</f>
        <v>0</v>
      </c>
      <c r="AJ84" s="20">
        <f t="shared" si="37"/>
        <v>0</v>
      </c>
      <c r="AK84" s="20">
        <f>AE84*(MAX(0,MIN(AB84,Parámetros!$B$11)-MAX(X84,0))+MAX(0,MIN(AB84,1)-MAX(X84,AD84)))+AF84*(MAX(0,MIN(AB84,1+Parámetros!$B$11)-MAX(X84,1))+MAX(0,MIN(AB84,2)-MAX(X84,1+AD84)))</f>
        <v>0</v>
      </c>
      <c r="AL84" s="20">
        <f t="shared" si="38"/>
        <v>0</v>
      </c>
      <c r="AM84" s="20">
        <f>MAX(0,MIN(AC84,Parámetros!$B$11)-MAX(AB84,0))+MAX(0,MIN(AC84,1+Parámetros!$B$11)-MAX(AB84,AD84))+MAX(0,MIN(AC84,2)-MAX(AB84,1+AD84))</f>
        <v>0</v>
      </c>
      <c r="AN84" s="20">
        <f t="shared" si="39"/>
        <v>0</v>
      </c>
      <c r="AO84" s="20">
        <f>AE84*(MAX(0,MIN(AC84,Parámetros!$B$11)-MAX(AB84,0))+MAX(0,MIN(AC84,1)-MAX(AB84,AD84)))+AF84*(MAX(0,MIN(AC84,1+Parámetros!$B$11)-MAX(AB84,1))+MAX(0,MIN(AC84,2)-MAX(AB84,1+AD84)))</f>
        <v>0</v>
      </c>
    </row>
    <row r="85" spans="1:41" x14ac:dyDescent="0.25">
      <c r="A85" s="15"/>
      <c r="B85" s="8"/>
      <c r="C85" s="5" t="str">
        <f>IF(B85="","",IFERROR(INDEX(Trabajadores!$B$5:$B$204,MATCH(B85,Trabajadores!$A$5:$A$204,0)),"Cédula no registrada"))</f>
        <v/>
      </c>
      <c r="D85" s="11"/>
      <c r="E85" s="11"/>
      <c r="F85" s="8"/>
      <c r="G85" s="18" t="str">
        <f>IF(A85="","",IFERROR(INDEX(Trabajadores!$E$5:$E$204,MATCH(B85,Trabajadores!$A$5:$A$204,0))/Parámetros!$B$6,0)+IF(IFERROR(INDEX(Trabajadores!$E$5:$E$204,MATCH(B85,Trabajadores!$A$5:$A$204,0)),"")="",Parámetros!$B$7,0))</f>
        <v/>
      </c>
      <c r="H85" s="5" t="str">
        <f t="shared" si="20"/>
        <v/>
      </c>
      <c r="I85" s="5" t="str">
        <f>IF(A85="","",IF(COUNTIF(Festivos!$A$5:$A$451,A85)&gt;0,"Festivo",IF(WEEKDAY(A85,2)=7,"Domingo",IF(AND(AF85=1,AC85&gt;1),IF(COUNTIF(Festivos!$A$5:$A$451,A85+1)&gt;0,"Festivo","Domingo")&amp;" desde las 00:00",""))))</f>
        <v/>
      </c>
      <c r="J85" s="19" t="str">
        <f t="shared" si="21"/>
        <v/>
      </c>
      <c r="K85" s="19" t="str">
        <f t="shared" si="22"/>
        <v/>
      </c>
      <c r="L85" s="19" t="str">
        <f t="shared" si="23"/>
        <v/>
      </c>
      <c r="M85" s="19" t="str">
        <f t="shared" si="24"/>
        <v/>
      </c>
      <c r="N85" s="19" t="str">
        <f t="shared" si="25"/>
        <v/>
      </c>
      <c r="O85" s="19" t="str">
        <f t="shared" si="26"/>
        <v/>
      </c>
      <c r="P85" s="19" t="str">
        <f t="shared" si="27"/>
        <v/>
      </c>
      <c r="Q85" s="19" t="str">
        <f t="shared" si="28"/>
        <v/>
      </c>
      <c r="R85" s="19" t="str">
        <f t="shared" si="29"/>
        <v/>
      </c>
      <c r="S85" s="17" t="str">
        <f>IF(B85="","",IFERROR(INDEX(Trabajadores!$G$5:$G$204,MATCH(B85,Trabajadores!$A$5:$A$204,0)),""))</f>
        <v/>
      </c>
      <c r="T85" s="17" t="str">
        <f>IF(OR(OR(A85="",D85="",E85=""),S85=""),"",ROUND(S85*(N(L85)*Parámetros!$B$8+N(M85)*(1+Parámetros!$B$9)+N(N85)*(1+Parámetros!$B$10)+N(O85)*(1+AG85)+N(P85)*(1+AG85+Parámetros!$B$8)+N(Q85)*(1+AG85+Parámetros!$B$9)+N(R85)*(1+AG85+Parámetros!$B$10)),0))</f>
        <v/>
      </c>
      <c r="U85" s="5" t="str">
        <f>IF(OR(A85="",D85="",E85=""),"",IF(N(M85)+N(N85)+N(Q85)+N(R85)&gt;Parámetros!$B$12,"Supera el límite de horas extras diarias",IF(C85="Cédula no registrada","Registre la cédula en «Trabajadores»","")))</f>
        <v/>
      </c>
      <c r="X85" s="20">
        <f t="shared" si="30"/>
        <v>0</v>
      </c>
      <c r="Y85" s="20">
        <f t="shared" si="31"/>
        <v>0</v>
      </c>
      <c r="Z85" s="20">
        <f t="shared" si="32"/>
        <v>0</v>
      </c>
      <c r="AA85" s="20">
        <f t="shared" si="33"/>
        <v>0</v>
      </c>
      <c r="AB85" s="20">
        <f t="shared" si="34"/>
        <v>0</v>
      </c>
      <c r="AC85" s="20">
        <f t="shared" si="35"/>
        <v>0</v>
      </c>
      <c r="AD85" s="20">
        <f>IF(A85="",21/24,MOD(VLOOKUP(A85,Parámetros!$A$24:$B$25,2,TRUE()),1))</f>
        <v>0.875</v>
      </c>
      <c r="AE85" s="5">
        <f>IF(A85="",0,IF(OR(WEEKDAY(A85,2)=7,COUNTIF(Festivos!$A$5:$A$451,A85)&gt;0),1,0))</f>
        <v>0</v>
      </c>
      <c r="AF85" s="5">
        <f>IF(A85="",0,IF(OR(WEEKDAY(A85+1,2)=7,COUNTIF(Festivos!$A$5:$A$451,A85+1)&gt;0),1,0))</f>
        <v>0</v>
      </c>
      <c r="AG85" s="9">
        <f>IF(A85="",0,VLOOKUP(A85,Parámetros!$A$18:$B$21,2,TRUE()))</f>
        <v>0</v>
      </c>
      <c r="AH85" s="20">
        <f t="shared" si="36"/>
        <v>0</v>
      </c>
      <c r="AI85" s="20">
        <f>MAX(0,MIN(AB85,Parámetros!$B$11)-MAX(X85,0))+MAX(0,MIN(AB85,1+Parámetros!$B$11)-MAX(X85,AD85))+MAX(0,MIN(AB85,2)-MAX(X85,1+AD85))</f>
        <v>0</v>
      </c>
      <c r="AJ85" s="20">
        <f t="shared" si="37"/>
        <v>0</v>
      </c>
      <c r="AK85" s="20">
        <f>AE85*(MAX(0,MIN(AB85,Parámetros!$B$11)-MAX(X85,0))+MAX(0,MIN(AB85,1)-MAX(X85,AD85)))+AF85*(MAX(0,MIN(AB85,1+Parámetros!$B$11)-MAX(X85,1))+MAX(0,MIN(AB85,2)-MAX(X85,1+AD85)))</f>
        <v>0</v>
      </c>
      <c r="AL85" s="20">
        <f t="shared" si="38"/>
        <v>0</v>
      </c>
      <c r="AM85" s="20">
        <f>MAX(0,MIN(AC85,Parámetros!$B$11)-MAX(AB85,0))+MAX(0,MIN(AC85,1+Parámetros!$B$11)-MAX(AB85,AD85))+MAX(0,MIN(AC85,2)-MAX(AB85,1+AD85))</f>
        <v>0</v>
      </c>
      <c r="AN85" s="20">
        <f t="shared" si="39"/>
        <v>0</v>
      </c>
      <c r="AO85" s="20">
        <f>AE85*(MAX(0,MIN(AC85,Parámetros!$B$11)-MAX(AB85,0))+MAX(0,MIN(AC85,1)-MAX(AB85,AD85)))+AF85*(MAX(0,MIN(AC85,1+Parámetros!$B$11)-MAX(AB85,1))+MAX(0,MIN(AC85,2)-MAX(AB85,1+AD85)))</f>
        <v>0</v>
      </c>
    </row>
    <row r="86" spans="1:41" x14ac:dyDescent="0.25">
      <c r="A86" s="15"/>
      <c r="B86" s="8"/>
      <c r="C86" s="5" t="str">
        <f>IF(B86="","",IFERROR(INDEX(Trabajadores!$B$5:$B$204,MATCH(B86,Trabajadores!$A$5:$A$204,0)),"Cédula no registrada"))</f>
        <v/>
      </c>
      <c r="D86" s="11"/>
      <c r="E86" s="11"/>
      <c r="F86" s="8"/>
      <c r="G86" s="18" t="str">
        <f>IF(A86="","",IFERROR(INDEX(Trabajadores!$E$5:$E$204,MATCH(B86,Trabajadores!$A$5:$A$204,0))/Parámetros!$B$6,0)+IF(IFERROR(INDEX(Trabajadores!$E$5:$E$204,MATCH(B86,Trabajadores!$A$5:$A$204,0)),"")="",Parámetros!$B$7,0))</f>
        <v/>
      </c>
      <c r="H86" s="5" t="str">
        <f t="shared" si="20"/>
        <v/>
      </c>
      <c r="I86" s="5" t="str">
        <f>IF(A86="","",IF(COUNTIF(Festivos!$A$5:$A$451,A86)&gt;0,"Festivo",IF(WEEKDAY(A86,2)=7,"Domingo",IF(AND(AF86=1,AC86&gt;1),IF(COUNTIF(Festivos!$A$5:$A$451,A86+1)&gt;0,"Festivo","Domingo")&amp;" desde las 00:00",""))))</f>
        <v/>
      </c>
      <c r="J86" s="19" t="str">
        <f t="shared" si="21"/>
        <v/>
      </c>
      <c r="K86" s="19" t="str">
        <f t="shared" si="22"/>
        <v/>
      </c>
      <c r="L86" s="19" t="str">
        <f t="shared" si="23"/>
        <v/>
      </c>
      <c r="M86" s="19" t="str">
        <f t="shared" si="24"/>
        <v/>
      </c>
      <c r="N86" s="19" t="str">
        <f t="shared" si="25"/>
        <v/>
      </c>
      <c r="O86" s="19" t="str">
        <f t="shared" si="26"/>
        <v/>
      </c>
      <c r="P86" s="19" t="str">
        <f t="shared" si="27"/>
        <v/>
      </c>
      <c r="Q86" s="19" t="str">
        <f t="shared" si="28"/>
        <v/>
      </c>
      <c r="R86" s="19" t="str">
        <f t="shared" si="29"/>
        <v/>
      </c>
      <c r="S86" s="17" t="str">
        <f>IF(B86="","",IFERROR(INDEX(Trabajadores!$G$5:$G$204,MATCH(B86,Trabajadores!$A$5:$A$204,0)),""))</f>
        <v/>
      </c>
      <c r="T86" s="17" t="str">
        <f>IF(OR(OR(A86="",D86="",E86=""),S86=""),"",ROUND(S86*(N(L86)*Parámetros!$B$8+N(M86)*(1+Parámetros!$B$9)+N(N86)*(1+Parámetros!$B$10)+N(O86)*(1+AG86)+N(P86)*(1+AG86+Parámetros!$B$8)+N(Q86)*(1+AG86+Parámetros!$B$9)+N(R86)*(1+AG86+Parámetros!$B$10)),0))</f>
        <v/>
      </c>
      <c r="U86" s="5" t="str">
        <f>IF(OR(A86="",D86="",E86=""),"",IF(N(M86)+N(N86)+N(Q86)+N(R86)&gt;Parámetros!$B$12,"Supera el límite de horas extras diarias",IF(C86="Cédula no registrada","Registre la cédula en «Trabajadores»","")))</f>
        <v/>
      </c>
      <c r="X86" s="20">
        <f t="shared" si="30"/>
        <v>0</v>
      </c>
      <c r="Y86" s="20">
        <f t="shared" si="31"/>
        <v>0</v>
      </c>
      <c r="Z86" s="20">
        <f t="shared" si="32"/>
        <v>0</v>
      </c>
      <c r="AA86" s="20">
        <f t="shared" si="33"/>
        <v>0</v>
      </c>
      <c r="AB86" s="20">
        <f t="shared" si="34"/>
        <v>0</v>
      </c>
      <c r="AC86" s="20">
        <f t="shared" si="35"/>
        <v>0</v>
      </c>
      <c r="AD86" s="20">
        <f>IF(A86="",21/24,MOD(VLOOKUP(A86,Parámetros!$A$24:$B$25,2,TRUE()),1))</f>
        <v>0.875</v>
      </c>
      <c r="AE86" s="5">
        <f>IF(A86="",0,IF(OR(WEEKDAY(A86,2)=7,COUNTIF(Festivos!$A$5:$A$451,A86)&gt;0),1,0))</f>
        <v>0</v>
      </c>
      <c r="AF86" s="5">
        <f>IF(A86="",0,IF(OR(WEEKDAY(A86+1,2)=7,COUNTIF(Festivos!$A$5:$A$451,A86+1)&gt;0),1,0))</f>
        <v>0</v>
      </c>
      <c r="AG86" s="9">
        <f>IF(A86="",0,VLOOKUP(A86,Parámetros!$A$18:$B$21,2,TRUE()))</f>
        <v>0</v>
      </c>
      <c r="AH86" s="20">
        <f t="shared" si="36"/>
        <v>0</v>
      </c>
      <c r="AI86" s="20">
        <f>MAX(0,MIN(AB86,Parámetros!$B$11)-MAX(X86,0))+MAX(0,MIN(AB86,1+Parámetros!$B$11)-MAX(X86,AD86))+MAX(0,MIN(AB86,2)-MAX(X86,1+AD86))</f>
        <v>0</v>
      </c>
      <c r="AJ86" s="20">
        <f t="shared" si="37"/>
        <v>0</v>
      </c>
      <c r="AK86" s="20">
        <f>AE86*(MAX(0,MIN(AB86,Parámetros!$B$11)-MAX(X86,0))+MAX(0,MIN(AB86,1)-MAX(X86,AD86)))+AF86*(MAX(0,MIN(AB86,1+Parámetros!$B$11)-MAX(X86,1))+MAX(0,MIN(AB86,2)-MAX(X86,1+AD86)))</f>
        <v>0</v>
      </c>
      <c r="AL86" s="20">
        <f t="shared" si="38"/>
        <v>0</v>
      </c>
      <c r="AM86" s="20">
        <f>MAX(0,MIN(AC86,Parámetros!$B$11)-MAX(AB86,0))+MAX(0,MIN(AC86,1+Parámetros!$B$11)-MAX(AB86,AD86))+MAX(0,MIN(AC86,2)-MAX(AB86,1+AD86))</f>
        <v>0</v>
      </c>
      <c r="AN86" s="20">
        <f t="shared" si="39"/>
        <v>0</v>
      </c>
      <c r="AO86" s="20">
        <f>AE86*(MAX(0,MIN(AC86,Parámetros!$B$11)-MAX(AB86,0))+MAX(0,MIN(AC86,1)-MAX(AB86,AD86)))+AF86*(MAX(0,MIN(AC86,1+Parámetros!$B$11)-MAX(AB86,1))+MAX(0,MIN(AC86,2)-MAX(AB86,1+AD86)))</f>
        <v>0</v>
      </c>
    </row>
    <row r="87" spans="1:41" x14ac:dyDescent="0.25">
      <c r="A87" s="15"/>
      <c r="B87" s="8"/>
      <c r="C87" s="5" t="str">
        <f>IF(B87="","",IFERROR(INDEX(Trabajadores!$B$5:$B$204,MATCH(B87,Trabajadores!$A$5:$A$204,0)),"Cédula no registrada"))</f>
        <v/>
      </c>
      <c r="D87" s="11"/>
      <c r="E87" s="11"/>
      <c r="F87" s="8"/>
      <c r="G87" s="18" t="str">
        <f>IF(A87="","",IFERROR(INDEX(Trabajadores!$E$5:$E$204,MATCH(B87,Trabajadores!$A$5:$A$204,0))/Parámetros!$B$6,0)+IF(IFERROR(INDEX(Trabajadores!$E$5:$E$204,MATCH(B87,Trabajadores!$A$5:$A$204,0)),"")="",Parámetros!$B$7,0))</f>
        <v/>
      </c>
      <c r="H87" s="5" t="str">
        <f t="shared" si="20"/>
        <v/>
      </c>
      <c r="I87" s="5" t="str">
        <f>IF(A87="","",IF(COUNTIF(Festivos!$A$5:$A$451,A87)&gt;0,"Festivo",IF(WEEKDAY(A87,2)=7,"Domingo",IF(AND(AF87=1,AC87&gt;1),IF(COUNTIF(Festivos!$A$5:$A$451,A87+1)&gt;0,"Festivo","Domingo")&amp;" desde las 00:00",""))))</f>
        <v/>
      </c>
      <c r="J87" s="19" t="str">
        <f t="shared" si="21"/>
        <v/>
      </c>
      <c r="K87" s="19" t="str">
        <f t="shared" si="22"/>
        <v/>
      </c>
      <c r="L87" s="19" t="str">
        <f t="shared" si="23"/>
        <v/>
      </c>
      <c r="M87" s="19" t="str">
        <f t="shared" si="24"/>
        <v/>
      </c>
      <c r="N87" s="19" t="str">
        <f t="shared" si="25"/>
        <v/>
      </c>
      <c r="O87" s="19" t="str">
        <f t="shared" si="26"/>
        <v/>
      </c>
      <c r="P87" s="19" t="str">
        <f t="shared" si="27"/>
        <v/>
      </c>
      <c r="Q87" s="19" t="str">
        <f t="shared" si="28"/>
        <v/>
      </c>
      <c r="R87" s="19" t="str">
        <f t="shared" si="29"/>
        <v/>
      </c>
      <c r="S87" s="17" t="str">
        <f>IF(B87="","",IFERROR(INDEX(Trabajadores!$G$5:$G$204,MATCH(B87,Trabajadores!$A$5:$A$204,0)),""))</f>
        <v/>
      </c>
      <c r="T87" s="17" t="str">
        <f>IF(OR(OR(A87="",D87="",E87=""),S87=""),"",ROUND(S87*(N(L87)*Parámetros!$B$8+N(M87)*(1+Parámetros!$B$9)+N(N87)*(1+Parámetros!$B$10)+N(O87)*(1+AG87)+N(P87)*(1+AG87+Parámetros!$B$8)+N(Q87)*(1+AG87+Parámetros!$B$9)+N(R87)*(1+AG87+Parámetros!$B$10)),0))</f>
        <v/>
      </c>
      <c r="U87" s="5" t="str">
        <f>IF(OR(A87="",D87="",E87=""),"",IF(N(M87)+N(N87)+N(Q87)+N(R87)&gt;Parámetros!$B$12,"Supera el límite de horas extras diarias",IF(C87="Cédula no registrada","Registre la cédula en «Trabajadores»","")))</f>
        <v/>
      </c>
      <c r="X87" s="20">
        <f t="shared" si="30"/>
        <v>0</v>
      </c>
      <c r="Y87" s="20">
        <f t="shared" si="31"/>
        <v>0</v>
      </c>
      <c r="Z87" s="20">
        <f t="shared" si="32"/>
        <v>0</v>
      </c>
      <c r="AA87" s="20">
        <f t="shared" si="33"/>
        <v>0</v>
      </c>
      <c r="AB87" s="20">
        <f t="shared" si="34"/>
        <v>0</v>
      </c>
      <c r="AC87" s="20">
        <f t="shared" si="35"/>
        <v>0</v>
      </c>
      <c r="AD87" s="20">
        <f>IF(A87="",21/24,MOD(VLOOKUP(A87,Parámetros!$A$24:$B$25,2,TRUE()),1))</f>
        <v>0.875</v>
      </c>
      <c r="AE87" s="5">
        <f>IF(A87="",0,IF(OR(WEEKDAY(A87,2)=7,COUNTIF(Festivos!$A$5:$A$451,A87)&gt;0),1,0))</f>
        <v>0</v>
      </c>
      <c r="AF87" s="5">
        <f>IF(A87="",0,IF(OR(WEEKDAY(A87+1,2)=7,COUNTIF(Festivos!$A$5:$A$451,A87+1)&gt;0),1,0))</f>
        <v>0</v>
      </c>
      <c r="AG87" s="9">
        <f>IF(A87="",0,VLOOKUP(A87,Parámetros!$A$18:$B$21,2,TRUE()))</f>
        <v>0</v>
      </c>
      <c r="AH87" s="20">
        <f t="shared" si="36"/>
        <v>0</v>
      </c>
      <c r="AI87" s="20">
        <f>MAX(0,MIN(AB87,Parámetros!$B$11)-MAX(X87,0))+MAX(0,MIN(AB87,1+Parámetros!$B$11)-MAX(X87,AD87))+MAX(0,MIN(AB87,2)-MAX(X87,1+AD87))</f>
        <v>0</v>
      </c>
      <c r="AJ87" s="20">
        <f t="shared" si="37"/>
        <v>0</v>
      </c>
      <c r="AK87" s="20">
        <f>AE87*(MAX(0,MIN(AB87,Parámetros!$B$11)-MAX(X87,0))+MAX(0,MIN(AB87,1)-MAX(X87,AD87)))+AF87*(MAX(0,MIN(AB87,1+Parámetros!$B$11)-MAX(X87,1))+MAX(0,MIN(AB87,2)-MAX(X87,1+AD87)))</f>
        <v>0</v>
      </c>
      <c r="AL87" s="20">
        <f t="shared" si="38"/>
        <v>0</v>
      </c>
      <c r="AM87" s="20">
        <f>MAX(0,MIN(AC87,Parámetros!$B$11)-MAX(AB87,0))+MAX(0,MIN(AC87,1+Parámetros!$B$11)-MAX(AB87,AD87))+MAX(0,MIN(AC87,2)-MAX(AB87,1+AD87))</f>
        <v>0</v>
      </c>
      <c r="AN87" s="20">
        <f t="shared" si="39"/>
        <v>0</v>
      </c>
      <c r="AO87" s="20">
        <f>AE87*(MAX(0,MIN(AC87,Parámetros!$B$11)-MAX(AB87,0))+MAX(0,MIN(AC87,1)-MAX(AB87,AD87)))+AF87*(MAX(0,MIN(AC87,1+Parámetros!$B$11)-MAX(AB87,1))+MAX(0,MIN(AC87,2)-MAX(AB87,1+AD87)))</f>
        <v>0</v>
      </c>
    </row>
    <row r="88" spans="1:41" x14ac:dyDescent="0.25">
      <c r="A88" s="15"/>
      <c r="B88" s="8"/>
      <c r="C88" s="5" t="str">
        <f>IF(B88="","",IFERROR(INDEX(Trabajadores!$B$5:$B$204,MATCH(B88,Trabajadores!$A$5:$A$204,0)),"Cédula no registrada"))</f>
        <v/>
      </c>
      <c r="D88" s="11"/>
      <c r="E88" s="11"/>
      <c r="F88" s="8"/>
      <c r="G88" s="18" t="str">
        <f>IF(A88="","",IFERROR(INDEX(Trabajadores!$E$5:$E$204,MATCH(B88,Trabajadores!$A$5:$A$204,0))/Parámetros!$B$6,0)+IF(IFERROR(INDEX(Trabajadores!$E$5:$E$204,MATCH(B88,Trabajadores!$A$5:$A$204,0)),"")="",Parámetros!$B$7,0))</f>
        <v/>
      </c>
      <c r="H88" s="5" t="str">
        <f t="shared" si="20"/>
        <v/>
      </c>
      <c r="I88" s="5" t="str">
        <f>IF(A88="","",IF(COUNTIF(Festivos!$A$5:$A$451,A88)&gt;0,"Festivo",IF(WEEKDAY(A88,2)=7,"Domingo",IF(AND(AF88=1,AC88&gt;1),IF(COUNTIF(Festivos!$A$5:$A$451,A88+1)&gt;0,"Festivo","Domingo")&amp;" desde las 00:00",""))))</f>
        <v/>
      </c>
      <c r="J88" s="19" t="str">
        <f t="shared" si="21"/>
        <v/>
      </c>
      <c r="K88" s="19" t="str">
        <f t="shared" si="22"/>
        <v/>
      </c>
      <c r="L88" s="19" t="str">
        <f t="shared" si="23"/>
        <v/>
      </c>
      <c r="M88" s="19" t="str">
        <f t="shared" si="24"/>
        <v/>
      </c>
      <c r="N88" s="19" t="str">
        <f t="shared" si="25"/>
        <v/>
      </c>
      <c r="O88" s="19" t="str">
        <f t="shared" si="26"/>
        <v/>
      </c>
      <c r="P88" s="19" t="str">
        <f t="shared" si="27"/>
        <v/>
      </c>
      <c r="Q88" s="19" t="str">
        <f t="shared" si="28"/>
        <v/>
      </c>
      <c r="R88" s="19" t="str">
        <f t="shared" si="29"/>
        <v/>
      </c>
      <c r="S88" s="17" t="str">
        <f>IF(B88="","",IFERROR(INDEX(Trabajadores!$G$5:$G$204,MATCH(B88,Trabajadores!$A$5:$A$204,0)),""))</f>
        <v/>
      </c>
      <c r="T88" s="17" t="str">
        <f>IF(OR(OR(A88="",D88="",E88=""),S88=""),"",ROUND(S88*(N(L88)*Parámetros!$B$8+N(M88)*(1+Parámetros!$B$9)+N(N88)*(1+Parámetros!$B$10)+N(O88)*(1+AG88)+N(P88)*(1+AG88+Parámetros!$B$8)+N(Q88)*(1+AG88+Parámetros!$B$9)+N(R88)*(1+AG88+Parámetros!$B$10)),0))</f>
        <v/>
      </c>
      <c r="U88" s="5" t="str">
        <f>IF(OR(A88="",D88="",E88=""),"",IF(N(M88)+N(N88)+N(Q88)+N(R88)&gt;Parámetros!$B$12,"Supera el límite de horas extras diarias",IF(C88="Cédula no registrada","Registre la cédula en «Trabajadores»","")))</f>
        <v/>
      </c>
      <c r="X88" s="20">
        <f t="shared" si="30"/>
        <v>0</v>
      </c>
      <c r="Y88" s="20">
        <f t="shared" si="31"/>
        <v>0</v>
      </c>
      <c r="Z88" s="20">
        <f t="shared" si="32"/>
        <v>0</v>
      </c>
      <c r="AA88" s="20">
        <f t="shared" si="33"/>
        <v>0</v>
      </c>
      <c r="AB88" s="20">
        <f t="shared" si="34"/>
        <v>0</v>
      </c>
      <c r="AC88" s="20">
        <f t="shared" si="35"/>
        <v>0</v>
      </c>
      <c r="AD88" s="20">
        <f>IF(A88="",21/24,MOD(VLOOKUP(A88,Parámetros!$A$24:$B$25,2,TRUE()),1))</f>
        <v>0.875</v>
      </c>
      <c r="AE88" s="5">
        <f>IF(A88="",0,IF(OR(WEEKDAY(A88,2)=7,COUNTIF(Festivos!$A$5:$A$451,A88)&gt;0),1,0))</f>
        <v>0</v>
      </c>
      <c r="AF88" s="5">
        <f>IF(A88="",0,IF(OR(WEEKDAY(A88+1,2)=7,COUNTIF(Festivos!$A$5:$A$451,A88+1)&gt;0),1,0))</f>
        <v>0</v>
      </c>
      <c r="AG88" s="9">
        <f>IF(A88="",0,VLOOKUP(A88,Parámetros!$A$18:$B$21,2,TRUE()))</f>
        <v>0</v>
      </c>
      <c r="AH88" s="20">
        <f t="shared" si="36"/>
        <v>0</v>
      </c>
      <c r="AI88" s="20">
        <f>MAX(0,MIN(AB88,Parámetros!$B$11)-MAX(X88,0))+MAX(0,MIN(AB88,1+Parámetros!$B$11)-MAX(X88,AD88))+MAX(0,MIN(AB88,2)-MAX(X88,1+AD88))</f>
        <v>0</v>
      </c>
      <c r="AJ88" s="20">
        <f t="shared" si="37"/>
        <v>0</v>
      </c>
      <c r="AK88" s="20">
        <f>AE88*(MAX(0,MIN(AB88,Parámetros!$B$11)-MAX(X88,0))+MAX(0,MIN(AB88,1)-MAX(X88,AD88)))+AF88*(MAX(0,MIN(AB88,1+Parámetros!$B$11)-MAX(X88,1))+MAX(0,MIN(AB88,2)-MAX(X88,1+AD88)))</f>
        <v>0</v>
      </c>
      <c r="AL88" s="20">
        <f t="shared" si="38"/>
        <v>0</v>
      </c>
      <c r="AM88" s="20">
        <f>MAX(0,MIN(AC88,Parámetros!$B$11)-MAX(AB88,0))+MAX(0,MIN(AC88,1+Parámetros!$B$11)-MAX(AB88,AD88))+MAX(0,MIN(AC88,2)-MAX(AB88,1+AD88))</f>
        <v>0</v>
      </c>
      <c r="AN88" s="20">
        <f t="shared" si="39"/>
        <v>0</v>
      </c>
      <c r="AO88" s="20">
        <f>AE88*(MAX(0,MIN(AC88,Parámetros!$B$11)-MAX(AB88,0))+MAX(0,MIN(AC88,1)-MAX(AB88,AD88)))+AF88*(MAX(0,MIN(AC88,1+Parámetros!$B$11)-MAX(AB88,1))+MAX(0,MIN(AC88,2)-MAX(AB88,1+AD88)))</f>
        <v>0</v>
      </c>
    </row>
    <row r="89" spans="1:41" x14ac:dyDescent="0.25">
      <c r="A89" s="15"/>
      <c r="B89" s="8"/>
      <c r="C89" s="5" t="str">
        <f>IF(B89="","",IFERROR(INDEX(Trabajadores!$B$5:$B$204,MATCH(B89,Trabajadores!$A$5:$A$204,0)),"Cédula no registrada"))</f>
        <v/>
      </c>
      <c r="D89" s="11"/>
      <c r="E89" s="11"/>
      <c r="F89" s="8"/>
      <c r="G89" s="18" t="str">
        <f>IF(A89="","",IFERROR(INDEX(Trabajadores!$E$5:$E$204,MATCH(B89,Trabajadores!$A$5:$A$204,0))/Parámetros!$B$6,0)+IF(IFERROR(INDEX(Trabajadores!$E$5:$E$204,MATCH(B89,Trabajadores!$A$5:$A$204,0)),"")="",Parámetros!$B$7,0))</f>
        <v/>
      </c>
      <c r="H89" s="5" t="str">
        <f t="shared" si="20"/>
        <v/>
      </c>
      <c r="I89" s="5" t="str">
        <f>IF(A89="","",IF(COUNTIF(Festivos!$A$5:$A$451,A89)&gt;0,"Festivo",IF(WEEKDAY(A89,2)=7,"Domingo",IF(AND(AF89=1,AC89&gt;1),IF(COUNTIF(Festivos!$A$5:$A$451,A89+1)&gt;0,"Festivo","Domingo")&amp;" desde las 00:00",""))))</f>
        <v/>
      </c>
      <c r="J89" s="19" t="str">
        <f t="shared" si="21"/>
        <v/>
      </c>
      <c r="K89" s="19" t="str">
        <f t="shared" si="22"/>
        <v/>
      </c>
      <c r="L89" s="19" t="str">
        <f t="shared" si="23"/>
        <v/>
      </c>
      <c r="M89" s="19" t="str">
        <f t="shared" si="24"/>
        <v/>
      </c>
      <c r="N89" s="19" t="str">
        <f t="shared" si="25"/>
        <v/>
      </c>
      <c r="O89" s="19" t="str">
        <f t="shared" si="26"/>
        <v/>
      </c>
      <c r="P89" s="19" t="str">
        <f t="shared" si="27"/>
        <v/>
      </c>
      <c r="Q89" s="19" t="str">
        <f t="shared" si="28"/>
        <v/>
      </c>
      <c r="R89" s="19" t="str">
        <f t="shared" si="29"/>
        <v/>
      </c>
      <c r="S89" s="17" t="str">
        <f>IF(B89="","",IFERROR(INDEX(Trabajadores!$G$5:$G$204,MATCH(B89,Trabajadores!$A$5:$A$204,0)),""))</f>
        <v/>
      </c>
      <c r="T89" s="17" t="str">
        <f>IF(OR(OR(A89="",D89="",E89=""),S89=""),"",ROUND(S89*(N(L89)*Parámetros!$B$8+N(M89)*(1+Parámetros!$B$9)+N(N89)*(1+Parámetros!$B$10)+N(O89)*(1+AG89)+N(P89)*(1+AG89+Parámetros!$B$8)+N(Q89)*(1+AG89+Parámetros!$B$9)+N(R89)*(1+AG89+Parámetros!$B$10)),0))</f>
        <v/>
      </c>
      <c r="U89" s="5" t="str">
        <f>IF(OR(A89="",D89="",E89=""),"",IF(N(M89)+N(N89)+N(Q89)+N(R89)&gt;Parámetros!$B$12,"Supera el límite de horas extras diarias",IF(C89="Cédula no registrada","Registre la cédula en «Trabajadores»","")))</f>
        <v/>
      </c>
      <c r="X89" s="20">
        <f t="shared" si="30"/>
        <v>0</v>
      </c>
      <c r="Y89" s="20">
        <f t="shared" si="31"/>
        <v>0</v>
      </c>
      <c r="Z89" s="20">
        <f t="shared" si="32"/>
        <v>0</v>
      </c>
      <c r="AA89" s="20">
        <f t="shared" si="33"/>
        <v>0</v>
      </c>
      <c r="AB89" s="20">
        <f t="shared" si="34"/>
        <v>0</v>
      </c>
      <c r="AC89" s="20">
        <f t="shared" si="35"/>
        <v>0</v>
      </c>
      <c r="AD89" s="20">
        <f>IF(A89="",21/24,MOD(VLOOKUP(A89,Parámetros!$A$24:$B$25,2,TRUE()),1))</f>
        <v>0.875</v>
      </c>
      <c r="AE89" s="5">
        <f>IF(A89="",0,IF(OR(WEEKDAY(A89,2)=7,COUNTIF(Festivos!$A$5:$A$451,A89)&gt;0),1,0))</f>
        <v>0</v>
      </c>
      <c r="AF89" s="5">
        <f>IF(A89="",0,IF(OR(WEEKDAY(A89+1,2)=7,COUNTIF(Festivos!$A$5:$A$451,A89+1)&gt;0),1,0))</f>
        <v>0</v>
      </c>
      <c r="AG89" s="9">
        <f>IF(A89="",0,VLOOKUP(A89,Parámetros!$A$18:$B$21,2,TRUE()))</f>
        <v>0</v>
      </c>
      <c r="AH89" s="20">
        <f t="shared" si="36"/>
        <v>0</v>
      </c>
      <c r="AI89" s="20">
        <f>MAX(0,MIN(AB89,Parámetros!$B$11)-MAX(X89,0))+MAX(0,MIN(AB89,1+Parámetros!$B$11)-MAX(X89,AD89))+MAX(0,MIN(AB89,2)-MAX(X89,1+AD89))</f>
        <v>0</v>
      </c>
      <c r="AJ89" s="20">
        <f t="shared" si="37"/>
        <v>0</v>
      </c>
      <c r="AK89" s="20">
        <f>AE89*(MAX(0,MIN(AB89,Parámetros!$B$11)-MAX(X89,0))+MAX(0,MIN(AB89,1)-MAX(X89,AD89)))+AF89*(MAX(0,MIN(AB89,1+Parámetros!$B$11)-MAX(X89,1))+MAX(0,MIN(AB89,2)-MAX(X89,1+AD89)))</f>
        <v>0</v>
      </c>
      <c r="AL89" s="20">
        <f t="shared" si="38"/>
        <v>0</v>
      </c>
      <c r="AM89" s="20">
        <f>MAX(0,MIN(AC89,Parámetros!$B$11)-MAX(AB89,0))+MAX(0,MIN(AC89,1+Parámetros!$B$11)-MAX(AB89,AD89))+MAX(0,MIN(AC89,2)-MAX(AB89,1+AD89))</f>
        <v>0</v>
      </c>
      <c r="AN89" s="20">
        <f t="shared" si="39"/>
        <v>0</v>
      </c>
      <c r="AO89" s="20">
        <f>AE89*(MAX(0,MIN(AC89,Parámetros!$B$11)-MAX(AB89,0))+MAX(0,MIN(AC89,1)-MAX(AB89,AD89)))+AF89*(MAX(0,MIN(AC89,1+Parámetros!$B$11)-MAX(AB89,1))+MAX(0,MIN(AC89,2)-MAX(AB89,1+AD89)))</f>
        <v>0</v>
      </c>
    </row>
    <row r="90" spans="1:41" x14ac:dyDescent="0.25">
      <c r="A90" s="15"/>
      <c r="B90" s="8"/>
      <c r="C90" s="5" t="str">
        <f>IF(B90="","",IFERROR(INDEX(Trabajadores!$B$5:$B$204,MATCH(B90,Trabajadores!$A$5:$A$204,0)),"Cédula no registrada"))</f>
        <v/>
      </c>
      <c r="D90" s="11"/>
      <c r="E90" s="11"/>
      <c r="F90" s="8"/>
      <c r="G90" s="18" t="str">
        <f>IF(A90="","",IFERROR(INDEX(Trabajadores!$E$5:$E$204,MATCH(B90,Trabajadores!$A$5:$A$204,0))/Parámetros!$B$6,0)+IF(IFERROR(INDEX(Trabajadores!$E$5:$E$204,MATCH(B90,Trabajadores!$A$5:$A$204,0)),"")="",Parámetros!$B$7,0))</f>
        <v/>
      </c>
      <c r="H90" s="5" t="str">
        <f t="shared" si="20"/>
        <v/>
      </c>
      <c r="I90" s="5" t="str">
        <f>IF(A90="","",IF(COUNTIF(Festivos!$A$5:$A$451,A90)&gt;0,"Festivo",IF(WEEKDAY(A90,2)=7,"Domingo",IF(AND(AF90=1,AC90&gt;1),IF(COUNTIF(Festivos!$A$5:$A$451,A90+1)&gt;0,"Festivo","Domingo")&amp;" desde las 00:00",""))))</f>
        <v/>
      </c>
      <c r="J90" s="19" t="str">
        <f t="shared" si="21"/>
        <v/>
      </c>
      <c r="K90" s="19" t="str">
        <f t="shared" si="22"/>
        <v/>
      </c>
      <c r="L90" s="19" t="str">
        <f t="shared" si="23"/>
        <v/>
      </c>
      <c r="M90" s="19" t="str">
        <f t="shared" si="24"/>
        <v/>
      </c>
      <c r="N90" s="19" t="str">
        <f t="shared" si="25"/>
        <v/>
      </c>
      <c r="O90" s="19" t="str">
        <f t="shared" si="26"/>
        <v/>
      </c>
      <c r="P90" s="19" t="str">
        <f t="shared" si="27"/>
        <v/>
      </c>
      <c r="Q90" s="19" t="str">
        <f t="shared" si="28"/>
        <v/>
      </c>
      <c r="R90" s="19" t="str">
        <f t="shared" si="29"/>
        <v/>
      </c>
      <c r="S90" s="17" t="str">
        <f>IF(B90="","",IFERROR(INDEX(Trabajadores!$G$5:$G$204,MATCH(B90,Trabajadores!$A$5:$A$204,0)),""))</f>
        <v/>
      </c>
      <c r="T90" s="17" t="str">
        <f>IF(OR(OR(A90="",D90="",E90=""),S90=""),"",ROUND(S90*(N(L90)*Parámetros!$B$8+N(M90)*(1+Parámetros!$B$9)+N(N90)*(1+Parámetros!$B$10)+N(O90)*(1+AG90)+N(P90)*(1+AG90+Parámetros!$B$8)+N(Q90)*(1+AG90+Parámetros!$B$9)+N(R90)*(1+AG90+Parámetros!$B$10)),0))</f>
        <v/>
      </c>
      <c r="U90" s="5" t="str">
        <f>IF(OR(A90="",D90="",E90=""),"",IF(N(M90)+N(N90)+N(Q90)+N(R90)&gt;Parámetros!$B$12,"Supera el límite de horas extras diarias",IF(C90="Cédula no registrada","Registre la cédula en «Trabajadores»","")))</f>
        <v/>
      </c>
      <c r="X90" s="20">
        <f t="shared" si="30"/>
        <v>0</v>
      </c>
      <c r="Y90" s="20">
        <f t="shared" si="31"/>
        <v>0</v>
      </c>
      <c r="Z90" s="20">
        <f t="shared" si="32"/>
        <v>0</v>
      </c>
      <c r="AA90" s="20">
        <f t="shared" si="33"/>
        <v>0</v>
      </c>
      <c r="AB90" s="20">
        <f t="shared" si="34"/>
        <v>0</v>
      </c>
      <c r="AC90" s="20">
        <f t="shared" si="35"/>
        <v>0</v>
      </c>
      <c r="AD90" s="20">
        <f>IF(A90="",21/24,MOD(VLOOKUP(A90,Parámetros!$A$24:$B$25,2,TRUE()),1))</f>
        <v>0.875</v>
      </c>
      <c r="AE90" s="5">
        <f>IF(A90="",0,IF(OR(WEEKDAY(A90,2)=7,COUNTIF(Festivos!$A$5:$A$451,A90)&gt;0),1,0))</f>
        <v>0</v>
      </c>
      <c r="AF90" s="5">
        <f>IF(A90="",0,IF(OR(WEEKDAY(A90+1,2)=7,COUNTIF(Festivos!$A$5:$A$451,A90+1)&gt;0),1,0))</f>
        <v>0</v>
      </c>
      <c r="AG90" s="9">
        <f>IF(A90="",0,VLOOKUP(A90,Parámetros!$A$18:$B$21,2,TRUE()))</f>
        <v>0</v>
      </c>
      <c r="AH90" s="20">
        <f t="shared" si="36"/>
        <v>0</v>
      </c>
      <c r="AI90" s="20">
        <f>MAX(0,MIN(AB90,Parámetros!$B$11)-MAX(X90,0))+MAX(0,MIN(AB90,1+Parámetros!$B$11)-MAX(X90,AD90))+MAX(0,MIN(AB90,2)-MAX(X90,1+AD90))</f>
        <v>0</v>
      </c>
      <c r="AJ90" s="20">
        <f t="shared" si="37"/>
        <v>0</v>
      </c>
      <c r="AK90" s="20">
        <f>AE90*(MAX(0,MIN(AB90,Parámetros!$B$11)-MAX(X90,0))+MAX(0,MIN(AB90,1)-MAX(X90,AD90)))+AF90*(MAX(0,MIN(AB90,1+Parámetros!$B$11)-MAX(X90,1))+MAX(0,MIN(AB90,2)-MAX(X90,1+AD90)))</f>
        <v>0</v>
      </c>
      <c r="AL90" s="20">
        <f t="shared" si="38"/>
        <v>0</v>
      </c>
      <c r="AM90" s="20">
        <f>MAX(0,MIN(AC90,Parámetros!$B$11)-MAX(AB90,0))+MAX(0,MIN(AC90,1+Parámetros!$B$11)-MAX(AB90,AD90))+MAX(0,MIN(AC90,2)-MAX(AB90,1+AD90))</f>
        <v>0</v>
      </c>
      <c r="AN90" s="20">
        <f t="shared" si="39"/>
        <v>0</v>
      </c>
      <c r="AO90" s="20">
        <f>AE90*(MAX(0,MIN(AC90,Parámetros!$B$11)-MAX(AB90,0))+MAX(0,MIN(AC90,1)-MAX(AB90,AD90)))+AF90*(MAX(0,MIN(AC90,1+Parámetros!$B$11)-MAX(AB90,1))+MAX(0,MIN(AC90,2)-MAX(AB90,1+AD90)))</f>
        <v>0</v>
      </c>
    </row>
    <row r="91" spans="1:41" x14ac:dyDescent="0.25">
      <c r="A91" s="15"/>
      <c r="B91" s="8"/>
      <c r="C91" s="5" t="str">
        <f>IF(B91="","",IFERROR(INDEX(Trabajadores!$B$5:$B$204,MATCH(B91,Trabajadores!$A$5:$A$204,0)),"Cédula no registrada"))</f>
        <v/>
      </c>
      <c r="D91" s="11"/>
      <c r="E91" s="11"/>
      <c r="F91" s="8"/>
      <c r="G91" s="18" t="str">
        <f>IF(A91="","",IFERROR(INDEX(Trabajadores!$E$5:$E$204,MATCH(B91,Trabajadores!$A$5:$A$204,0))/Parámetros!$B$6,0)+IF(IFERROR(INDEX(Trabajadores!$E$5:$E$204,MATCH(B91,Trabajadores!$A$5:$A$204,0)),"")="",Parámetros!$B$7,0))</f>
        <v/>
      </c>
      <c r="H91" s="5" t="str">
        <f t="shared" si="20"/>
        <v/>
      </c>
      <c r="I91" s="5" t="str">
        <f>IF(A91="","",IF(COUNTIF(Festivos!$A$5:$A$451,A91)&gt;0,"Festivo",IF(WEEKDAY(A91,2)=7,"Domingo",IF(AND(AF91=1,AC91&gt;1),IF(COUNTIF(Festivos!$A$5:$A$451,A91+1)&gt;0,"Festivo","Domingo")&amp;" desde las 00:00",""))))</f>
        <v/>
      </c>
      <c r="J91" s="19" t="str">
        <f t="shared" si="21"/>
        <v/>
      </c>
      <c r="K91" s="19" t="str">
        <f t="shared" si="22"/>
        <v/>
      </c>
      <c r="L91" s="19" t="str">
        <f t="shared" si="23"/>
        <v/>
      </c>
      <c r="M91" s="19" t="str">
        <f t="shared" si="24"/>
        <v/>
      </c>
      <c r="N91" s="19" t="str">
        <f t="shared" si="25"/>
        <v/>
      </c>
      <c r="O91" s="19" t="str">
        <f t="shared" si="26"/>
        <v/>
      </c>
      <c r="P91" s="19" t="str">
        <f t="shared" si="27"/>
        <v/>
      </c>
      <c r="Q91" s="19" t="str">
        <f t="shared" si="28"/>
        <v/>
      </c>
      <c r="R91" s="19" t="str">
        <f t="shared" si="29"/>
        <v/>
      </c>
      <c r="S91" s="17" t="str">
        <f>IF(B91="","",IFERROR(INDEX(Trabajadores!$G$5:$G$204,MATCH(B91,Trabajadores!$A$5:$A$204,0)),""))</f>
        <v/>
      </c>
      <c r="T91" s="17" t="str">
        <f>IF(OR(OR(A91="",D91="",E91=""),S91=""),"",ROUND(S91*(N(L91)*Parámetros!$B$8+N(M91)*(1+Parámetros!$B$9)+N(N91)*(1+Parámetros!$B$10)+N(O91)*(1+AG91)+N(P91)*(1+AG91+Parámetros!$B$8)+N(Q91)*(1+AG91+Parámetros!$B$9)+N(R91)*(1+AG91+Parámetros!$B$10)),0))</f>
        <v/>
      </c>
      <c r="U91" s="5" t="str">
        <f>IF(OR(A91="",D91="",E91=""),"",IF(N(M91)+N(N91)+N(Q91)+N(R91)&gt;Parámetros!$B$12,"Supera el límite de horas extras diarias",IF(C91="Cédula no registrada","Registre la cédula en «Trabajadores»","")))</f>
        <v/>
      </c>
      <c r="X91" s="20">
        <f t="shared" si="30"/>
        <v>0</v>
      </c>
      <c r="Y91" s="20">
        <f t="shared" si="31"/>
        <v>0</v>
      </c>
      <c r="Z91" s="20">
        <f t="shared" si="32"/>
        <v>0</v>
      </c>
      <c r="AA91" s="20">
        <f t="shared" si="33"/>
        <v>0</v>
      </c>
      <c r="AB91" s="20">
        <f t="shared" si="34"/>
        <v>0</v>
      </c>
      <c r="AC91" s="20">
        <f t="shared" si="35"/>
        <v>0</v>
      </c>
      <c r="AD91" s="20">
        <f>IF(A91="",21/24,MOD(VLOOKUP(A91,Parámetros!$A$24:$B$25,2,TRUE()),1))</f>
        <v>0.875</v>
      </c>
      <c r="AE91" s="5">
        <f>IF(A91="",0,IF(OR(WEEKDAY(A91,2)=7,COUNTIF(Festivos!$A$5:$A$451,A91)&gt;0),1,0))</f>
        <v>0</v>
      </c>
      <c r="AF91" s="5">
        <f>IF(A91="",0,IF(OR(WEEKDAY(A91+1,2)=7,COUNTIF(Festivos!$A$5:$A$451,A91+1)&gt;0),1,0))</f>
        <v>0</v>
      </c>
      <c r="AG91" s="9">
        <f>IF(A91="",0,VLOOKUP(A91,Parámetros!$A$18:$B$21,2,TRUE()))</f>
        <v>0</v>
      </c>
      <c r="AH91" s="20">
        <f t="shared" si="36"/>
        <v>0</v>
      </c>
      <c r="AI91" s="20">
        <f>MAX(0,MIN(AB91,Parámetros!$B$11)-MAX(X91,0))+MAX(0,MIN(AB91,1+Parámetros!$B$11)-MAX(X91,AD91))+MAX(0,MIN(AB91,2)-MAX(X91,1+AD91))</f>
        <v>0</v>
      </c>
      <c r="AJ91" s="20">
        <f t="shared" si="37"/>
        <v>0</v>
      </c>
      <c r="AK91" s="20">
        <f>AE91*(MAX(0,MIN(AB91,Parámetros!$B$11)-MAX(X91,0))+MAX(0,MIN(AB91,1)-MAX(X91,AD91)))+AF91*(MAX(0,MIN(AB91,1+Parámetros!$B$11)-MAX(X91,1))+MAX(0,MIN(AB91,2)-MAX(X91,1+AD91)))</f>
        <v>0</v>
      </c>
      <c r="AL91" s="20">
        <f t="shared" si="38"/>
        <v>0</v>
      </c>
      <c r="AM91" s="20">
        <f>MAX(0,MIN(AC91,Parámetros!$B$11)-MAX(AB91,0))+MAX(0,MIN(AC91,1+Parámetros!$B$11)-MAX(AB91,AD91))+MAX(0,MIN(AC91,2)-MAX(AB91,1+AD91))</f>
        <v>0</v>
      </c>
      <c r="AN91" s="20">
        <f t="shared" si="39"/>
        <v>0</v>
      </c>
      <c r="AO91" s="20">
        <f>AE91*(MAX(0,MIN(AC91,Parámetros!$B$11)-MAX(AB91,0))+MAX(0,MIN(AC91,1)-MAX(AB91,AD91)))+AF91*(MAX(0,MIN(AC91,1+Parámetros!$B$11)-MAX(AB91,1))+MAX(0,MIN(AC91,2)-MAX(AB91,1+AD91)))</f>
        <v>0</v>
      </c>
    </row>
    <row r="92" spans="1:41" x14ac:dyDescent="0.25">
      <c r="A92" s="15"/>
      <c r="B92" s="8"/>
      <c r="C92" s="5" t="str">
        <f>IF(B92="","",IFERROR(INDEX(Trabajadores!$B$5:$B$204,MATCH(B92,Trabajadores!$A$5:$A$204,0)),"Cédula no registrada"))</f>
        <v/>
      </c>
      <c r="D92" s="11"/>
      <c r="E92" s="11"/>
      <c r="F92" s="8"/>
      <c r="G92" s="18" t="str">
        <f>IF(A92="","",IFERROR(INDEX(Trabajadores!$E$5:$E$204,MATCH(B92,Trabajadores!$A$5:$A$204,0))/Parámetros!$B$6,0)+IF(IFERROR(INDEX(Trabajadores!$E$5:$E$204,MATCH(B92,Trabajadores!$A$5:$A$204,0)),"")="",Parámetros!$B$7,0))</f>
        <v/>
      </c>
      <c r="H92" s="5" t="str">
        <f t="shared" si="20"/>
        <v/>
      </c>
      <c r="I92" s="5" t="str">
        <f>IF(A92="","",IF(COUNTIF(Festivos!$A$5:$A$451,A92)&gt;0,"Festivo",IF(WEEKDAY(A92,2)=7,"Domingo",IF(AND(AF92=1,AC92&gt;1),IF(COUNTIF(Festivos!$A$5:$A$451,A92+1)&gt;0,"Festivo","Domingo")&amp;" desde las 00:00",""))))</f>
        <v/>
      </c>
      <c r="J92" s="19" t="str">
        <f t="shared" si="21"/>
        <v/>
      </c>
      <c r="K92" s="19" t="str">
        <f t="shared" si="22"/>
        <v/>
      </c>
      <c r="L92" s="19" t="str">
        <f t="shared" si="23"/>
        <v/>
      </c>
      <c r="M92" s="19" t="str">
        <f t="shared" si="24"/>
        <v/>
      </c>
      <c r="N92" s="19" t="str">
        <f t="shared" si="25"/>
        <v/>
      </c>
      <c r="O92" s="19" t="str">
        <f t="shared" si="26"/>
        <v/>
      </c>
      <c r="P92" s="19" t="str">
        <f t="shared" si="27"/>
        <v/>
      </c>
      <c r="Q92" s="19" t="str">
        <f t="shared" si="28"/>
        <v/>
      </c>
      <c r="R92" s="19" t="str">
        <f t="shared" si="29"/>
        <v/>
      </c>
      <c r="S92" s="17" t="str">
        <f>IF(B92="","",IFERROR(INDEX(Trabajadores!$G$5:$G$204,MATCH(B92,Trabajadores!$A$5:$A$204,0)),""))</f>
        <v/>
      </c>
      <c r="T92" s="17" t="str">
        <f>IF(OR(OR(A92="",D92="",E92=""),S92=""),"",ROUND(S92*(N(L92)*Parámetros!$B$8+N(M92)*(1+Parámetros!$B$9)+N(N92)*(1+Parámetros!$B$10)+N(O92)*(1+AG92)+N(P92)*(1+AG92+Parámetros!$B$8)+N(Q92)*(1+AG92+Parámetros!$B$9)+N(R92)*(1+AG92+Parámetros!$B$10)),0))</f>
        <v/>
      </c>
      <c r="U92" s="5" t="str">
        <f>IF(OR(A92="",D92="",E92=""),"",IF(N(M92)+N(N92)+N(Q92)+N(R92)&gt;Parámetros!$B$12,"Supera el límite de horas extras diarias",IF(C92="Cédula no registrada","Registre la cédula en «Trabajadores»","")))</f>
        <v/>
      </c>
      <c r="X92" s="20">
        <f t="shared" si="30"/>
        <v>0</v>
      </c>
      <c r="Y92" s="20">
        <f t="shared" si="31"/>
        <v>0</v>
      </c>
      <c r="Z92" s="20">
        <f t="shared" si="32"/>
        <v>0</v>
      </c>
      <c r="AA92" s="20">
        <f t="shared" si="33"/>
        <v>0</v>
      </c>
      <c r="AB92" s="20">
        <f t="shared" si="34"/>
        <v>0</v>
      </c>
      <c r="AC92" s="20">
        <f t="shared" si="35"/>
        <v>0</v>
      </c>
      <c r="AD92" s="20">
        <f>IF(A92="",21/24,MOD(VLOOKUP(A92,Parámetros!$A$24:$B$25,2,TRUE()),1))</f>
        <v>0.875</v>
      </c>
      <c r="AE92" s="5">
        <f>IF(A92="",0,IF(OR(WEEKDAY(A92,2)=7,COUNTIF(Festivos!$A$5:$A$451,A92)&gt;0),1,0))</f>
        <v>0</v>
      </c>
      <c r="AF92" s="5">
        <f>IF(A92="",0,IF(OR(WEEKDAY(A92+1,2)=7,COUNTIF(Festivos!$A$5:$A$451,A92+1)&gt;0),1,0))</f>
        <v>0</v>
      </c>
      <c r="AG92" s="9">
        <f>IF(A92="",0,VLOOKUP(A92,Parámetros!$A$18:$B$21,2,TRUE()))</f>
        <v>0</v>
      </c>
      <c r="AH92" s="20">
        <f t="shared" si="36"/>
        <v>0</v>
      </c>
      <c r="AI92" s="20">
        <f>MAX(0,MIN(AB92,Parámetros!$B$11)-MAX(X92,0))+MAX(0,MIN(AB92,1+Parámetros!$B$11)-MAX(X92,AD92))+MAX(0,MIN(AB92,2)-MAX(X92,1+AD92))</f>
        <v>0</v>
      </c>
      <c r="AJ92" s="20">
        <f t="shared" si="37"/>
        <v>0</v>
      </c>
      <c r="AK92" s="20">
        <f>AE92*(MAX(0,MIN(AB92,Parámetros!$B$11)-MAX(X92,0))+MAX(0,MIN(AB92,1)-MAX(X92,AD92)))+AF92*(MAX(0,MIN(AB92,1+Parámetros!$B$11)-MAX(X92,1))+MAX(0,MIN(AB92,2)-MAX(X92,1+AD92)))</f>
        <v>0</v>
      </c>
      <c r="AL92" s="20">
        <f t="shared" si="38"/>
        <v>0</v>
      </c>
      <c r="AM92" s="20">
        <f>MAX(0,MIN(AC92,Parámetros!$B$11)-MAX(AB92,0))+MAX(0,MIN(AC92,1+Parámetros!$B$11)-MAX(AB92,AD92))+MAX(0,MIN(AC92,2)-MAX(AB92,1+AD92))</f>
        <v>0</v>
      </c>
      <c r="AN92" s="20">
        <f t="shared" si="39"/>
        <v>0</v>
      </c>
      <c r="AO92" s="20">
        <f>AE92*(MAX(0,MIN(AC92,Parámetros!$B$11)-MAX(AB92,0))+MAX(0,MIN(AC92,1)-MAX(AB92,AD92)))+AF92*(MAX(0,MIN(AC92,1+Parámetros!$B$11)-MAX(AB92,1))+MAX(0,MIN(AC92,2)-MAX(AB92,1+AD92)))</f>
        <v>0</v>
      </c>
    </row>
    <row r="93" spans="1:41" x14ac:dyDescent="0.25">
      <c r="A93" s="15"/>
      <c r="B93" s="8"/>
      <c r="C93" s="5" t="str">
        <f>IF(B93="","",IFERROR(INDEX(Trabajadores!$B$5:$B$204,MATCH(B93,Trabajadores!$A$5:$A$204,0)),"Cédula no registrada"))</f>
        <v/>
      </c>
      <c r="D93" s="11"/>
      <c r="E93" s="11"/>
      <c r="F93" s="8"/>
      <c r="G93" s="18" t="str">
        <f>IF(A93="","",IFERROR(INDEX(Trabajadores!$E$5:$E$204,MATCH(B93,Trabajadores!$A$5:$A$204,0))/Parámetros!$B$6,0)+IF(IFERROR(INDEX(Trabajadores!$E$5:$E$204,MATCH(B93,Trabajadores!$A$5:$A$204,0)),"")="",Parámetros!$B$7,0))</f>
        <v/>
      </c>
      <c r="H93" s="5" t="str">
        <f t="shared" si="20"/>
        <v/>
      </c>
      <c r="I93" s="5" t="str">
        <f>IF(A93="","",IF(COUNTIF(Festivos!$A$5:$A$451,A93)&gt;0,"Festivo",IF(WEEKDAY(A93,2)=7,"Domingo",IF(AND(AF93=1,AC93&gt;1),IF(COUNTIF(Festivos!$A$5:$A$451,A93+1)&gt;0,"Festivo","Domingo")&amp;" desde las 00:00",""))))</f>
        <v/>
      </c>
      <c r="J93" s="19" t="str">
        <f t="shared" si="21"/>
        <v/>
      </c>
      <c r="K93" s="19" t="str">
        <f t="shared" si="22"/>
        <v/>
      </c>
      <c r="L93" s="19" t="str">
        <f t="shared" si="23"/>
        <v/>
      </c>
      <c r="M93" s="19" t="str">
        <f t="shared" si="24"/>
        <v/>
      </c>
      <c r="N93" s="19" t="str">
        <f t="shared" si="25"/>
        <v/>
      </c>
      <c r="O93" s="19" t="str">
        <f t="shared" si="26"/>
        <v/>
      </c>
      <c r="P93" s="19" t="str">
        <f t="shared" si="27"/>
        <v/>
      </c>
      <c r="Q93" s="19" t="str">
        <f t="shared" si="28"/>
        <v/>
      </c>
      <c r="R93" s="19" t="str">
        <f t="shared" si="29"/>
        <v/>
      </c>
      <c r="S93" s="17" t="str">
        <f>IF(B93="","",IFERROR(INDEX(Trabajadores!$G$5:$G$204,MATCH(B93,Trabajadores!$A$5:$A$204,0)),""))</f>
        <v/>
      </c>
      <c r="T93" s="17" t="str">
        <f>IF(OR(OR(A93="",D93="",E93=""),S93=""),"",ROUND(S93*(N(L93)*Parámetros!$B$8+N(M93)*(1+Parámetros!$B$9)+N(N93)*(1+Parámetros!$B$10)+N(O93)*(1+AG93)+N(P93)*(1+AG93+Parámetros!$B$8)+N(Q93)*(1+AG93+Parámetros!$B$9)+N(R93)*(1+AG93+Parámetros!$B$10)),0))</f>
        <v/>
      </c>
      <c r="U93" s="5" t="str">
        <f>IF(OR(A93="",D93="",E93=""),"",IF(N(M93)+N(N93)+N(Q93)+N(R93)&gt;Parámetros!$B$12,"Supera el límite de horas extras diarias",IF(C93="Cédula no registrada","Registre la cédula en «Trabajadores»","")))</f>
        <v/>
      </c>
      <c r="X93" s="20">
        <f t="shared" si="30"/>
        <v>0</v>
      </c>
      <c r="Y93" s="20">
        <f t="shared" si="31"/>
        <v>0</v>
      </c>
      <c r="Z93" s="20">
        <f t="shared" si="32"/>
        <v>0</v>
      </c>
      <c r="AA93" s="20">
        <f t="shared" si="33"/>
        <v>0</v>
      </c>
      <c r="AB93" s="20">
        <f t="shared" si="34"/>
        <v>0</v>
      </c>
      <c r="AC93" s="20">
        <f t="shared" si="35"/>
        <v>0</v>
      </c>
      <c r="AD93" s="20">
        <f>IF(A93="",21/24,MOD(VLOOKUP(A93,Parámetros!$A$24:$B$25,2,TRUE()),1))</f>
        <v>0.875</v>
      </c>
      <c r="AE93" s="5">
        <f>IF(A93="",0,IF(OR(WEEKDAY(A93,2)=7,COUNTIF(Festivos!$A$5:$A$451,A93)&gt;0),1,0))</f>
        <v>0</v>
      </c>
      <c r="AF93" s="5">
        <f>IF(A93="",0,IF(OR(WEEKDAY(A93+1,2)=7,COUNTIF(Festivos!$A$5:$A$451,A93+1)&gt;0),1,0))</f>
        <v>0</v>
      </c>
      <c r="AG93" s="9">
        <f>IF(A93="",0,VLOOKUP(A93,Parámetros!$A$18:$B$21,2,TRUE()))</f>
        <v>0</v>
      </c>
      <c r="AH93" s="20">
        <f t="shared" si="36"/>
        <v>0</v>
      </c>
      <c r="AI93" s="20">
        <f>MAX(0,MIN(AB93,Parámetros!$B$11)-MAX(X93,0))+MAX(0,MIN(AB93,1+Parámetros!$B$11)-MAX(X93,AD93))+MAX(0,MIN(AB93,2)-MAX(X93,1+AD93))</f>
        <v>0</v>
      </c>
      <c r="AJ93" s="20">
        <f t="shared" si="37"/>
        <v>0</v>
      </c>
      <c r="AK93" s="20">
        <f>AE93*(MAX(0,MIN(AB93,Parámetros!$B$11)-MAX(X93,0))+MAX(0,MIN(AB93,1)-MAX(X93,AD93)))+AF93*(MAX(0,MIN(AB93,1+Parámetros!$B$11)-MAX(X93,1))+MAX(0,MIN(AB93,2)-MAX(X93,1+AD93)))</f>
        <v>0</v>
      </c>
      <c r="AL93" s="20">
        <f t="shared" si="38"/>
        <v>0</v>
      </c>
      <c r="AM93" s="20">
        <f>MAX(0,MIN(AC93,Parámetros!$B$11)-MAX(AB93,0))+MAX(0,MIN(AC93,1+Parámetros!$B$11)-MAX(AB93,AD93))+MAX(0,MIN(AC93,2)-MAX(AB93,1+AD93))</f>
        <v>0</v>
      </c>
      <c r="AN93" s="20">
        <f t="shared" si="39"/>
        <v>0</v>
      </c>
      <c r="AO93" s="20">
        <f>AE93*(MAX(0,MIN(AC93,Parámetros!$B$11)-MAX(AB93,0))+MAX(0,MIN(AC93,1)-MAX(AB93,AD93)))+AF93*(MAX(0,MIN(AC93,1+Parámetros!$B$11)-MAX(AB93,1))+MAX(0,MIN(AC93,2)-MAX(AB93,1+AD93)))</f>
        <v>0</v>
      </c>
    </row>
    <row r="94" spans="1:41" x14ac:dyDescent="0.25">
      <c r="A94" s="15"/>
      <c r="B94" s="8"/>
      <c r="C94" s="5" t="str">
        <f>IF(B94="","",IFERROR(INDEX(Trabajadores!$B$5:$B$204,MATCH(B94,Trabajadores!$A$5:$A$204,0)),"Cédula no registrada"))</f>
        <v/>
      </c>
      <c r="D94" s="11"/>
      <c r="E94" s="11"/>
      <c r="F94" s="8"/>
      <c r="G94" s="18" t="str">
        <f>IF(A94="","",IFERROR(INDEX(Trabajadores!$E$5:$E$204,MATCH(B94,Trabajadores!$A$5:$A$204,0))/Parámetros!$B$6,0)+IF(IFERROR(INDEX(Trabajadores!$E$5:$E$204,MATCH(B94,Trabajadores!$A$5:$A$204,0)),"")="",Parámetros!$B$7,0))</f>
        <v/>
      </c>
      <c r="H94" s="5" t="str">
        <f t="shared" si="20"/>
        <v/>
      </c>
      <c r="I94" s="5" t="str">
        <f>IF(A94="","",IF(COUNTIF(Festivos!$A$5:$A$451,A94)&gt;0,"Festivo",IF(WEEKDAY(A94,2)=7,"Domingo",IF(AND(AF94=1,AC94&gt;1),IF(COUNTIF(Festivos!$A$5:$A$451,A94+1)&gt;0,"Festivo","Domingo")&amp;" desde las 00:00",""))))</f>
        <v/>
      </c>
      <c r="J94" s="19" t="str">
        <f t="shared" si="21"/>
        <v/>
      </c>
      <c r="K94" s="19" t="str">
        <f t="shared" si="22"/>
        <v/>
      </c>
      <c r="L94" s="19" t="str">
        <f t="shared" si="23"/>
        <v/>
      </c>
      <c r="M94" s="19" t="str">
        <f t="shared" si="24"/>
        <v/>
      </c>
      <c r="N94" s="19" t="str">
        <f t="shared" si="25"/>
        <v/>
      </c>
      <c r="O94" s="19" t="str">
        <f t="shared" si="26"/>
        <v/>
      </c>
      <c r="P94" s="19" t="str">
        <f t="shared" si="27"/>
        <v/>
      </c>
      <c r="Q94" s="19" t="str">
        <f t="shared" si="28"/>
        <v/>
      </c>
      <c r="R94" s="19" t="str">
        <f t="shared" si="29"/>
        <v/>
      </c>
      <c r="S94" s="17" t="str">
        <f>IF(B94="","",IFERROR(INDEX(Trabajadores!$G$5:$G$204,MATCH(B94,Trabajadores!$A$5:$A$204,0)),""))</f>
        <v/>
      </c>
      <c r="T94" s="17" t="str">
        <f>IF(OR(OR(A94="",D94="",E94=""),S94=""),"",ROUND(S94*(N(L94)*Parámetros!$B$8+N(M94)*(1+Parámetros!$B$9)+N(N94)*(1+Parámetros!$B$10)+N(O94)*(1+AG94)+N(P94)*(1+AG94+Parámetros!$B$8)+N(Q94)*(1+AG94+Parámetros!$B$9)+N(R94)*(1+AG94+Parámetros!$B$10)),0))</f>
        <v/>
      </c>
      <c r="U94" s="5" t="str">
        <f>IF(OR(A94="",D94="",E94=""),"",IF(N(M94)+N(N94)+N(Q94)+N(R94)&gt;Parámetros!$B$12,"Supera el límite de horas extras diarias",IF(C94="Cédula no registrada","Registre la cédula en «Trabajadores»","")))</f>
        <v/>
      </c>
      <c r="X94" s="20">
        <f t="shared" si="30"/>
        <v>0</v>
      </c>
      <c r="Y94" s="20">
        <f t="shared" si="31"/>
        <v>0</v>
      </c>
      <c r="Z94" s="20">
        <f t="shared" si="32"/>
        <v>0</v>
      </c>
      <c r="AA94" s="20">
        <f t="shared" si="33"/>
        <v>0</v>
      </c>
      <c r="AB94" s="20">
        <f t="shared" si="34"/>
        <v>0</v>
      </c>
      <c r="AC94" s="20">
        <f t="shared" si="35"/>
        <v>0</v>
      </c>
      <c r="AD94" s="20">
        <f>IF(A94="",21/24,MOD(VLOOKUP(A94,Parámetros!$A$24:$B$25,2,TRUE()),1))</f>
        <v>0.875</v>
      </c>
      <c r="AE94" s="5">
        <f>IF(A94="",0,IF(OR(WEEKDAY(A94,2)=7,COUNTIF(Festivos!$A$5:$A$451,A94)&gt;0),1,0))</f>
        <v>0</v>
      </c>
      <c r="AF94" s="5">
        <f>IF(A94="",0,IF(OR(WEEKDAY(A94+1,2)=7,COUNTIF(Festivos!$A$5:$A$451,A94+1)&gt;0),1,0))</f>
        <v>0</v>
      </c>
      <c r="AG94" s="9">
        <f>IF(A94="",0,VLOOKUP(A94,Parámetros!$A$18:$B$21,2,TRUE()))</f>
        <v>0</v>
      </c>
      <c r="AH94" s="20">
        <f t="shared" si="36"/>
        <v>0</v>
      </c>
      <c r="AI94" s="20">
        <f>MAX(0,MIN(AB94,Parámetros!$B$11)-MAX(X94,0))+MAX(0,MIN(AB94,1+Parámetros!$B$11)-MAX(X94,AD94))+MAX(0,MIN(AB94,2)-MAX(X94,1+AD94))</f>
        <v>0</v>
      </c>
      <c r="AJ94" s="20">
        <f t="shared" si="37"/>
        <v>0</v>
      </c>
      <c r="AK94" s="20">
        <f>AE94*(MAX(0,MIN(AB94,Parámetros!$B$11)-MAX(X94,0))+MAX(0,MIN(AB94,1)-MAX(X94,AD94)))+AF94*(MAX(0,MIN(AB94,1+Parámetros!$B$11)-MAX(X94,1))+MAX(0,MIN(AB94,2)-MAX(X94,1+AD94)))</f>
        <v>0</v>
      </c>
      <c r="AL94" s="20">
        <f t="shared" si="38"/>
        <v>0</v>
      </c>
      <c r="AM94" s="20">
        <f>MAX(0,MIN(AC94,Parámetros!$B$11)-MAX(AB94,0))+MAX(0,MIN(AC94,1+Parámetros!$B$11)-MAX(AB94,AD94))+MAX(0,MIN(AC94,2)-MAX(AB94,1+AD94))</f>
        <v>0</v>
      </c>
      <c r="AN94" s="20">
        <f t="shared" si="39"/>
        <v>0</v>
      </c>
      <c r="AO94" s="20">
        <f>AE94*(MAX(0,MIN(AC94,Parámetros!$B$11)-MAX(AB94,0))+MAX(0,MIN(AC94,1)-MAX(AB94,AD94)))+AF94*(MAX(0,MIN(AC94,1+Parámetros!$B$11)-MAX(AB94,1))+MAX(0,MIN(AC94,2)-MAX(AB94,1+AD94)))</f>
        <v>0</v>
      </c>
    </row>
    <row r="95" spans="1:41" x14ac:dyDescent="0.25">
      <c r="A95" s="15"/>
      <c r="B95" s="8"/>
      <c r="C95" s="5" t="str">
        <f>IF(B95="","",IFERROR(INDEX(Trabajadores!$B$5:$B$204,MATCH(B95,Trabajadores!$A$5:$A$204,0)),"Cédula no registrada"))</f>
        <v/>
      </c>
      <c r="D95" s="11"/>
      <c r="E95" s="11"/>
      <c r="F95" s="8"/>
      <c r="G95" s="18" t="str">
        <f>IF(A95="","",IFERROR(INDEX(Trabajadores!$E$5:$E$204,MATCH(B95,Trabajadores!$A$5:$A$204,0))/Parámetros!$B$6,0)+IF(IFERROR(INDEX(Trabajadores!$E$5:$E$204,MATCH(B95,Trabajadores!$A$5:$A$204,0)),"")="",Parámetros!$B$7,0))</f>
        <v/>
      </c>
      <c r="H95" s="5" t="str">
        <f t="shared" si="20"/>
        <v/>
      </c>
      <c r="I95" s="5" t="str">
        <f>IF(A95="","",IF(COUNTIF(Festivos!$A$5:$A$451,A95)&gt;0,"Festivo",IF(WEEKDAY(A95,2)=7,"Domingo",IF(AND(AF95=1,AC95&gt;1),IF(COUNTIF(Festivos!$A$5:$A$451,A95+1)&gt;0,"Festivo","Domingo")&amp;" desde las 00:00",""))))</f>
        <v/>
      </c>
      <c r="J95" s="19" t="str">
        <f t="shared" si="21"/>
        <v/>
      </c>
      <c r="K95" s="19" t="str">
        <f t="shared" si="22"/>
        <v/>
      </c>
      <c r="L95" s="19" t="str">
        <f t="shared" si="23"/>
        <v/>
      </c>
      <c r="M95" s="19" t="str">
        <f t="shared" si="24"/>
        <v/>
      </c>
      <c r="N95" s="19" t="str">
        <f t="shared" si="25"/>
        <v/>
      </c>
      <c r="O95" s="19" t="str">
        <f t="shared" si="26"/>
        <v/>
      </c>
      <c r="P95" s="19" t="str">
        <f t="shared" si="27"/>
        <v/>
      </c>
      <c r="Q95" s="19" t="str">
        <f t="shared" si="28"/>
        <v/>
      </c>
      <c r="R95" s="19" t="str">
        <f t="shared" si="29"/>
        <v/>
      </c>
      <c r="S95" s="17" t="str">
        <f>IF(B95="","",IFERROR(INDEX(Trabajadores!$G$5:$G$204,MATCH(B95,Trabajadores!$A$5:$A$204,0)),""))</f>
        <v/>
      </c>
      <c r="T95" s="17" t="str">
        <f>IF(OR(OR(A95="",D95="",E95=""),S95=""),"",ROUND(S95*(N(L95)*Parámetros!$B$8+N(M95)*(1+Parámetros!$B$9)+N(N95)*(1+Parámetros!$B$10)+N(O95)*(1+AG95)+N(P95)*(1+AG95+Parámetros!$B$8)+N(Q95)*(1+AG95+Parámetros!$B$9)+N(R95)*(1+AG95+Parámetros!$B$10)),0))</f>
        <v/>
      </c>
      <c r="U95" s="5" t="str">
        <f>IF(OR(A95="",D95="",E95=""),"",IF(N(M95)+N(N95)+N(Q95)+N(R95)&gt;Parámetros!$B$12,"Supera el límite de horas extras diarias",IF(C95="Cédula no registrada","Registre la cédula en «Trabajadores»","")))</f>
        <v/>
      </c>
      <c r="X95" s="20">
        <f t="shared" si="30"/>
        <v>0</v>
      </c>
      <c r="Y95" s="20">
        <f t="shared" si="31"/>
        <v>0</v>
      </c>
      <c r="Z95" s="20">
        <f t="shared" si="32"/>
        <v>0</v>
      </c>
      <c r="AA95" s="20">
        <f t="shared" si="33"/>
        <v>0</v>
      </c>
      <c r="AB95" s="20">
        <f t="shared" si="34"/>
        <v>0</v>
      </c>
      <c r="AC95" s="20">
        <f t="shared" si="35"/>
        <v>0</v>
      </c>
      <c r="AD95" s="20">
        <f>IF(A95="",21/24,MOD(VLOOKUP(A95,Parámetros!$A$24:$B$25,2,TRUE()),1))</f>
        <v>0.875</v>
      </c>
      <c r="AE95" s="5">
        <f>IF(A95="",0,IF(OR(WEEKDAY(A95,2)=7,COUNTIF(Festivos!$A$5:$A$451,A95)&gt;0),1,0))</f>
        <v>0</v>
      </c>
      <c r="AF95" s="5">
        <f>IF(A95="",0,IF(OR(WEEKDAY(A95+1,2)=7,COUNTIF(Festivos!$A$5:$A$451,A95+1)&gt;0),1,0))</f>
        <v>0</v>
      </c>
      <c r="AG95" s="9">
        <f>IF(A95="",0,VLOOKUP(A95,Parámetros!$A$18:$B$21,2,TRUE()))</f>
        <v>0</v>
      </c>
      <c r="AH95" s="20">
        <f t="shared" si="36"/>
        <v>0</v>
      </c>
      <c r="AI95" s="20">
        <f>MAX(0,MIN(AB95,Parámetros!$B$11)-MAX(X95,0))+MAX(0,MIN(AB95,1+Parámetros!$B$11)-MAX(X95,AD95))+MAX(0,MIN(AB95,2)-MAX(X95,1+AD95))</f>
        <v>0</v>
      </c>
      <c r="AJ95" s="20">
        <f t="shared" si="37"/>
        <v>0</v>
      </c>
      <c r="AK95" s="20">
        <f>AE95*(MAX(0,MIN(AB95,Parámetros!$B$11)-MAX(X95,0))+MAX(0,MIN(AB95,1)-MAX(X95,AD95)))+AF95*(MAX(0,MIN(AB95,1+Parámetros!$B$11)-MAX(X95,1))+MAX(0,MIN(AB95,2)-MAX(X95,1+AD95)))</f>
        <v>0</v>
      </c>
      <c r="AL95" s="20">
        <f t="shared" si="38"/>
        <v>0</v>
      </c>
      <c r="AM95" s="20">
        <f>MAX(0,MIN(AC95,Parámetros!$B$11)-MAX(AB95,0))+MAX(0,MIN(AC95,1+Parámetros!$B$11)-MAX(AB95,AD95))+MAX(0,MIN(AC95,2)-MAX(AB95,1+AD95))</f>
        <v>0</v>
      </c>
      <c r="AN95" s="20">
        <f t="shared" si="39"/>
        <v>0</v>
      </c>
      <c r="AO95" s="20">
        <f>AE95*(MAX(0,MIN(AC95,Parámetros!$B$11)-MAX(AB95,0))+MAX(0,MIN(AC95,1)-MAX(AB95,AD95)))+AF95*(MAX(0,MIN(AC95,1+Parámetros!$B$11)-MAX(AB95,1))+MAX(0,MIN(AC95,2)-MAX(AB95,1+AD95)))</f>
        <v>0</v>
      </c>
    </row>
    <row r="96" spans="1:41" x14ac:dyDescent="0.25">
      <c r="A96" s="15"/>
      <c r="B96" s="8"/>
      <c r="C96" s="5" t="str">
        <f>IF(B96="","",IFERROR(INDEX(Trabajadores!$B$5:$B$204,MATCH(B96,Trabajadores!$A$5:$A$204,0)),"Cédula no registrada"))</f>
        <v/>
      </c>
      <c r="D96" s="11"/>
      <c r="E96" s="11"/>
      <c r="F96" s="8"/>
      <c r="G96" s="18" t="str">
        <f>IF(A96="","",IFERROR(INDEX(Trabajadores!$E$5:$E$204,MATCH(B96,Trabajadores!$A$5:$A$204,0))/Parámetros!$B$6,0)+IF(IFERROR(INDEX(Trabajadores!$E$5:$E$204,MATCH(B96,Trabajadores!$A$5:$A$204,0)),"")="",Parámetros!$B$7,0))</f>
        <v/>
      </c>
      <c r="H96" s="5" t="str">
        <f t="shared" si="20"/>
        <v/>
      </c>
      <c r="I96" s="5" t="str">
        <f>IF(A96="","",IF(COUNTIF(Festivos!$A$5:$A$451,A96)&gt;0,"Festivo",IF(WEEKDAY(A96,2)=7,"Domingo",IF(AND(AF96=1,AC96&gt;1),IF(COUNTIF(Festivos!$A$5:$A$451,A96+1)&gt;0,"Festivo","Domingo")&amp;" desde las 00:00",""))))</f>
        <v/>
      </c>
      <c r="J96" s="19" t="str">
        <f t="shared" si="21"/>
        <v/>
      </c>
      <c r="K96" s="19" t="str">
        <f t="shared" si="22"/>
        <v/>
      </c>
      <c r="L96" s="19" t="str">
        <f t="shared" si="23"/>
        <v/>
      </c>
      <c r="M96" s="19" t="str">
        <f t="shared" si="24"/>
        <v/>
      </c>
      <c r="N96" s="19" t="str">
        <f t="shared" si="25"/>
        <v/>
      </c>
      <c r="O96" s="19" t="str">
        <f t="shared" si="26"/>
        <v/>
      </c>
      <c r="P96" s="19" t="str">
        <f t="shared" si="27"/>
        <v/>
      </c>
      <c r="Q96" s="19" t="str">
        <f t="shared" si="28"/>
        <v/>
      </c>
      <c r="R96" s="19" t="str">
        <f t="shared" si="29"/>
        <v/>
      </c>
      <c r="S96" s="17" t="str">
        <f>IF(B96="","",IFERROR(INDEX(Trabajadores!$G$5:$G$204,MATCH(B96,Trabajadores!$A$5:$A$204,0)),""))</f>
        <v/>
      </c>
      <c r="T96" s="17" t="str">
        <f>IF(OR(OR(A96="",D96="",E96=""),S96=""),"",ROUND(S96*(N(L96)*Parámetros!$B$8+N(M96)*(1+Parámetros!$B$9)+N(N96)*(1+Parámetros!$B$10)+N(O96)*(1+AG96)+N(P96)*(1+AG96+Parámetros!$B$8)+N(Q96)*(1+AG96+Parámetros!$B$9)+N(R96)*(1+AG96+Parámetros!$B$10)),0))</f>
        <v/>
      </c>
      <c r="U96" s="5" t="str">
        <f>IF(OR(A96="",D96="",E96=""),"",IF(N(M96)+N(N96)+N(Q96)+N(R96)&gt;Parámetros!$B$12,"Supera el límite de horas extras diarias",IF(C96="Cédula no registrada","Registre la cédula en «Trabajadores»","")))</f>
        <v/>
      </c>
      <c r="X96" s="20">
        <f t="shared" si="30"/>
        <v>0</v>
      </c>
      <c r="Y96" s="20">
        <f t="shared" si="31"/>
        <v>0</v>
      </c>
      <c r="Z96" s="20">
        <f t="shared" si="32"/>
        <v>0</v>
      </c>
      <c r="AA96" s="20">
        <f t="shared" si="33"/>
        <v>0</v>
      </c>
      <c r="AB96" s="20">
        <f t="shared" si="34"/>
        <v>0</v>
      </c>
      <c r="AC96" s="20">
        <f t="shared" si="35"/>
        <v>0</v>
      </c>
      <c r="AD96" s="20">
        <f>IF(A96="",21/24,MOD(VLOOKUP(A96,Parámetros!$A$24:$B$25,2,TRUE()),1))</f>
        <v>0.875</v>
      </c>
      <c r="AE96" s="5">
        <f>IF(A96="",0,IF(OR(WEEKDAY(A96,2)=7,COUNTIF(Festivos!$A$5:$A$451,A96)&gt;0),1,0))</f>
        <v>0</v>
      </c>
      <c r="AF96" s="5">
        <f>IF(A96="",0,IF(OR(WEEKDAY(A96+1,2)=7,COUNTIF(Festivos!$A$5:$A$451,A96+1)&gt;0),1,0))</f>
        <v>0</v>
      </c>
      <c r="AG96" s="9">
        <f>IF(A96="",0,VLOOKUP(A96,Parámetros!$A$18:$B$21,2,TRUE()))</f>
        <v>0</v>
      </c>
      <c r="AH96" s="20">
        <f t="shared" si="36"/>
        <v>0</v>
      </c>
      <c r="AI96" s="20">
        <f>MAX(0,MIN(AB96,Parámetros!$B$11)-MAX(X96,0))+MAX(0,MIN(AB96,1+Parámetros!$B$11)-MAX(X96,AD96))+MAX(0,MIN(AB96,2)-MAX(X96,1+AD96))</f>
        <v>0</v>
      </c>
      <c r="AJ96" s="20">
        <f t="shared" si="37"/>
        <v>0</v>
      </c>
      <c r="AK96" s="20">
        <f>AE96*(MAX(0,MIN(AB96,Parámetros!$B$11)-MAX(X96,0))+MAX(0,MIN(AB96,1)-MAX(X96,AD96)))+AF96*(MAX(0,MIN(AB96,1+Parámetros!$B$11)-MAX(X96,1))+MAX(0,MIN(AB96,2)-MAX(X96,1+AD96)))</f>
        <v>0</v>
      </c>
      <c r="AL96" s="20">
        <f t="shared" si="38"/>
        <v>0</v>
      </c>
      <c r="AM96" s="20">
        <f>MAX(0,MIN(AC96,Parámetros!$B$11)-MAX(AB96,0))+MAX(0,MIN(AC96,1+Parámetros!$B$11)-MAX(AB96,AD96))+MAX(0,MIN(AC96,2)-MAX(AB96,1+AD96))</f>
        <v>0</v>
      </c>
      <c r="AN96" s="20">
        <f t="shared" si="39"/>
        <v>0</v>
      </c>
      <c r="AO96" s="20">
        <f>AE96*(MAX(0,MIN(AC96,Parámetros!$B$11)-MAX(AB96,0))+MAX(0,MIN(AC96,1)-MAX(AB96,AD96)))+AF96*(MAX(0,MIN(AC96,1+Parámetros!$B$11)-MAX(AB96,1))+MAX(0,MIN(AC96,2)-MAX(AB96,1+AD96)))</f>
        <v>0</v>
      </c>
    </row>
    <row r="97" spans="1:41" x14ac:dyDescent="0.25">
      <c r="A97" s="15"/>
      <c r="B97" s="8"/>
      <c r="C97" s="5" t="str">
        <f>IF(B97="","",IFERROR(INDEX(Trabajadores!$B$5:$B$204,MATCH(B97,Trabajadores!$A$5:$A$204,0)),"Cédula no registrada"))</f>
        <v/>
      </c>
      <c r="D97" s="11"/>
      <c r="E97" s="11"/>
      <c r="F97" s="8"/>
      <c r="G97" s="18" t="str">
        <f>IF(A97="","",IFERROR(INDEX(Trabajadores!$E$5:$E$204,MATCH(B97,Trabajadores!$A$5:$A$204,0))/Parámetros!$B$6,0)+IF(IFERROR(INDEX(Trabajadores!$E$5:$E$204,MATCH(B97,Trabajadores!$A$5:$A$204,0)),"")="",Parámetros!$B$7,0))</f>
        <v/>
      </c>
      <c r="H97" s="5" t="str">
        <f t="shared" si="20"/>
        <v/>
      </c>
      <c r="I97" s="5" t="str">
        <f>IF(A97="","",IF(COUNTIF(Festivos!$A$5:$A$451,A97)&gt;0,"Festivo",IF(WEEKDAY(A97,2)=7,"Domingo",IF(AND(AF97=1,AC97&gt;1),IF(COUNTIF(Festivos!$A$5:$A$451,A97+1)&gt;0,"Festivo","Domingo")&amp;" desde las 00:00",""))))</f>
        <v/>
      </c>
      <c r="J97" s="19" t="str">
        <f t="shared" si="21"/>
        <v/>
      </c>
      <c r="K97" s="19" t="str">
        <f t="shared" si="22"/>
        <v/>
      </c>
      <c r="L97" s="19" t="str">
        <f t="shared" si="23"/>
        <v/>
      </c>
      <c r="M97" s="19" t="str">
        <f t="shared" si="24"/>
        <v/>
      </c>
      <c r="N97" s="19" t="str">
        <f t="shared" si="25"/>
        <v/>
      </c>
      <c r="O97" s="19" t="str">
        <f t="shared" si="26"/>
        <v/>
      </c>
      <c r="P97" s="19" t="str">
        <f t="shared" si="27"/>
        <v/>
      </c>
      <c r="Q97" s="19" t="str">
        <f t="shared" si="28"/>
        <v/>
      </c>
      <c r="R97" s="19" t="str">
        <f t="shared" si="29"/>
        <v/>
      </c>
      <c r="S97" s="17" t="str">
        <f>IF(B97="","",IFERROR(INDEX(Trabajadores!$G$5:$G$204,MATCH(B97,Trabajadores!$A$5:$A$204,0)),""))</f>
        <v/>
      </c>
      <c r="T97" s="17" t="str">
        <f>IF(OR(OR(A97="",D97="",E97=""),S97=""),"",ROUND(S97*(N(L97)*Parámetros!$B$8+N(M97)*(1+Parámetros!$B$9)+N(N97)*(1+Parámetros!$B$10)+N(O97)*(1+AG97)+N(P97)*(1+AG97+Parámetros!$B$8)+N(Q97)*(1+AG97+Parámetros!$B$9)+N(R97)*(1+AG97+Parámetros!$B$10)),0))</f>
        <v/>
      </c>
      <c r="U97" s="5" t="str">
        <f>IF(OR(A97="",D97="",E97=""),"",IF(N(M97)+N(N97)+N(Q97)+N(R97)&gt;Parámetros!$B$12,"Supera el límite de horas extras diarias",IF(C97="Cédula no registrada","Registre la cédula en «Trabajadores»","")))</f>
        <v/>
      </c>
      <c r="X97" s="20">
        <f t="shared" si="30"/>
        <v>0</v>
      </c>
      <c r="Y97" s="20">
        <f t="shared" si="31"/>
        <v>0</v>
      </c>
      <c r="Z97" s="20">
        <f t="shared" si="32"/>
        <v>0</v>
      </c>
      <c r="AA97" s="20">
        <f t="shared" si="33"/>
        <v>0</v>
      </c>
      <c r="AB97" s="20">
        <f t="shared" si="34"/>
        <v>0</v>
      </c>
      <c r="AC97" s="20">
        <f t="shared" si="35"/>
        <v>0</v>
      </c>
      <c r="AD97" s="20">
        <f>IF(A97="",21/24,MOD(VLOOKUP(A97,Parámetros!$A$24:$B$25,2,TRUE()),1))</f>
        <v>0.875</v>
      </c>
      <c r="AE97" s="5">
        <f>IF(A97="",0,IF(OR(WEEKDAY(A97,2)=7,COUNTIF(Festivos!$A$5:$A$451,A97)&gt;0),1,0))</f>
        <v>0</v>
      </c>
      <c r="AF97" s="5">
        <f>IF(A97="",0,IF(OR(WEEKDAY(A97+1,2)=7,COUNTIF(Festivos!$A$5:$A$451,A97+1)&gt;0),1,0))</f>
        <v>0</v>
      </c>
      <c r="AG97" s="9">
        <f>IF(A97="",0,VLOOKUP(A97,Parámetros!$A$18:$B$21,2,TRUE()))</f>
        <v>0</v>
      </c>
      <c r="AH97" s="20">
        <f t="shared" si="36"/>
        <v>0</v>
      </c>
      <c r="AI97" s="20">
        <f>MAX(0,MIN(AB97,Parámetros!$B$11)-MAX(X97,0))+MAX(0,MIN(AB97,1+Parámetros!$B$11)-MAX(X97,AD97))+MAX(0,MIN(AB97,2)-MAX(X97,1+AD97))</f>
        <v>0</v>
      </c>
      <c r="AJ97" s="20">
        <f t="shared" si="37"/>
        <v>0</v>
      </c>
      <c r="AK97" s="20">
        <f>AE97*(MAX(0,MIN(AB97,Parámetros!$B$11)-MAX(X97,0))+MAX(0,MIN(AB97,1)-MAX(X97,AD97)))+AF97*(MAX(0,MIN(AB97,1+Parámetros!$B$11)-MAX(X97,1))+MAX(0,MIN(AB97,2)-MAX(X97,1+AD97)))</f>
        <v>0</v>
      </c>
      <c r="AL97" s="20">
        <f t="shared" si="38"/>
        <v>0</v>
      </c>
      <c r="AM97" s="20">
        <f>MAX(0,MIN(AC97,Parámetros!$B$11)-MAX(AB97,0))+MAX(0,MIN(AC97,1+Parámetros!$B$11)-MAX(AB97,AD97))+MAX(0,MIN(AC97,2)-MAX(AB97,1+AD97))</f>
        <v>0</v>
      </c>
      <c r="AN97" s="20">
        <f t="shared" si="39"/>
        <v>0</v>
      </c>
      <c r="AO97" s="20">
        <f>AE97*(MAX(0,MIN(AC97,Parámetros!$B$11)-MAX(AB97,0))+MAX(0,MIN(AC97,1)-MAX(AB97,AD97)))+AF97*(MAX(0,MIN(AC97,1+Parámetros!$B$11)-MAX(AB97,1))+MAX(0,MIN(AC97,2)-MAX(AB97,1+AD97)))</f>
        <v>0</v>
      </c>
    </row>
    <row r="98" spans="1:41" x14ac:dyDescent="0.25">
      <c r="A98" s="15"/>
      <c r="B98" s="8"/>
      <c r="C98" s="5" t="str">
        <f>IF(B98="","",IFERROR(INDEX(Trabajadores!$B$5:$B$204,MATCH(B98,Trabajadores!$A$5:$A$204,0)),"Cédula no registrada"))</f>
        <v/>
      </c>
      <c r="D98" s="11"/>
      <c r="E98" s="11"/>
      <c r="F98" s="8"/>
      <c r="G98" s="18" t="str">
        <f>IF(A98="","",IFERROR(INDEX(Trabajadores!$E$5:$E$204,MATCH(B98,Trabajadores!$A$5:$A$204,0))/Parámetros!$B$6,0)+IF(IFERROR(INDEX(Trabajadores!$E$5:$E$204,MATCH(B98,Trabajadores!$A$5:$A$204,0)),"")="",Parámetros!$B$7,0))</f>
        <v/>
      </c>
      <c r="H98" s="5" t="str">
        <f t="shared" si="20"/>
        <v/>
      </c>
      <c r="I98" s="5" t="str">
        <f>IF(A98="","",IF(COUNTIF(Festivos!$A$5:$A$451,A98)&gt;0,"Festivo",IF(WEEKDAY(A98,2)=7,"Domingo",IF(AND(AF98=1,AC98&gt;1),IF(COUNTIF(Festivos!$A$5:$A$451,A98+1)&gt;0,"Festivo","Domingo")&amp;" desde las 00:00",""))))</f>
        <v/>
      </c>
      <c r="J98" s="19" t="str">
        <f t="shared" si="21"/>
        <v/>
      </c>
      <c r="K98" s="19" t="str">
        <f t="shared" si="22"/>
        <v/>
      </c>
      <c r="L98" s="19" t="str">
        <f t="shared" si="23"/>
        <v/>
      </c>
      <c r="M98" s="19" t="str">
        <f t="shared" si="24"/>
        <v/>
      </c>
      <c r="N98" s="19" t="str">
        <f t="shared" si="25"/>
        <v/>
      </c>
      <c r="O98" s="19" t="str">
        <f t="shared" si="26"/>
        <v/>
      </c>
      <c r="P98" s="19" t="str">
        <f t="shared" si="27"/>
        <v/>
      </c>
      <c r="Q98" s="19" t="str">
        <f t="shared" si="28"/>
        <v/>
      </c>
      <c r="R98" s="19" t="str">
        <f t="shared" si="29"/>
        <v/>
      </c>
      <c r="S98" s="17" t="str">
        <f>IF(B98="","",IFERROR(INDEX(Trabajadores!$G$5:$G$204,MATCH(B98,Trabajadores!$A$5:$A$204,0)),""))</f>
        <v/>
      </c>
      <c r="T98" s="17" t="str">
        <f>IF(OR(OR(A98="",D98="",E98=""),S98=""),"",ROUND(S98*(N(L98)*Parámetros!$B$8+N(M98)*(1+Parámetros!$B$9)+N(N98)*(1+Parámetros!$B$10)+N(O98)*(1+AG98)+N(P98)*(1+AG98+Parámetros!$B$8)+N(Q98)*(1+AG98+Parámetros!$B$9)+N(R98)*(1+AG98+Parámetros!$B$10)),0))</f>
        <v/>
      </c>
      <c r="U98" s="5" t="str">
        <f>IF(OR(A98="",D98="",E98=""),"",IF(N(M98)+N(N98)+N(Q98)+N(R98)&gt;Parámetros!$B$12,"Supera el límite de horas extras diarias",IF(C98="Cédula no registrada","Registre la cédula en «Trabajadores»","")))</f>
        <v/>
      </c>
      <c r="X98" s="20">
        <f t="shared" si="30"/>
        <v>0</v>
      </c>
      <c r="Y98" s="20">
        <f t="shared" si="31"/>
        <v>0</v>
      </c>
      <c r="Z98" s="20">
        <f t="shared" si="32"/>
        <v>0</v>
      </c>
      <c r="AA98" s="20">
        <f t="shared" si="33"/>
        <v>0</v>
      </c>
      <c r="AB98" s="20">
        <f t="shared" si="34"/>
        <v>0</v>
      </c>
      <c r="AC98" s="20">
        <f t="shared" si="35"/>
        <v>0</v>
      </c>
      <c r="AD98" s="20">
        <f>IF(A98="",21/24,MOD(VLOOKUP(A98,Parámetros!$A$24:$B$25,2,TRUE()),1))</f>
        <v>0.875</v>
      </c>
      <c r="AE98" s="5">
        <f>IF(A98="",0,IF(OR(WEEKDAY(A98,2)=7,COUNTIF(Festivos!$A$5:$A$451,A98)&gt;0),1,0))</f>
        <v>0</v>
      </c>
      <c r="AF98" s="5">
        <f>IF(A98="",0,IF(OR(WEEKDAY(A98+1,2)=7,COUNTIF(Festivos!$A$5:$A$451,A98+1)&gt;0),1,0))</f>
        <v>0</v>
      </c>
      <c r="AG98" s="9">
        <f>IF(A98="",0,VLOOKUP(A98,Parámetros!$A$18:$B$21,2,TRUE()))</f>
        <v>0</v>
      </c>
      <c r="AH98" s="20">
        <f t="shared" si="36"/>
        <v>0</v>
      </c>
      <c r="AI98" s="20">
        <f>MAX(0,MIN(AB98,Parámetros!$B$11)-MAX(X98,0))+MAX(0,MIN(AB98,1+Parámetros!$B$11)-MAX(X98,AD98))+MAX(0,MIN(AB98,2)-MAX(X98,1+AD98))</f>
        <v>0</v>
      </c>
      <c r="AJ98" s="20">
        <f t="shared" si="37"/>
        <v>0</v>
      </c>
      <c r="AK98" s="20">
        <f>AE98*(MAX(0,MIN(AB98,Parámetros!$B$11)-MAX(X98,0))+MAX(0,MIN(AB98,1)-MAX(X98,AD98)))+AF98*(MAX(0,MIN(AB98,1+Parámetros!$B$11)-MAX(X98,1))+MAX(0,MIN(AB98,2)-MAX(X98,1+AD98)))</f>
        <v>0</v>
      </c>
      <c r="AL98" s="20">
        <f t="shared" si="38"/>
        <v>0</v>
      </c>
      <c r="AM98" s="20">
        <f>MAX(0,MIN(AC98,Parámetros!$B$11)-MAX(AB98,0))+MAX(0,MIN(AC98,1+Parámetros!$B$11)-MAX(AB98,AD98))+MAX(0,MIN(AC98,2)-MAX(AB98,1+AD98))</f>
        <v>0</v>
      </c>
      <c r="AN98" s="20">
        <f t="shared" si="39"/>
        <v>0</v>
      </c>
      <c r="AO98" s="20">
        <f>AE98*(MAX(0,MIN(AC98,Parámetros!$B$11)-MAX(AB98,0))+MAX(0,MIN(AC98,1)-MAX(AB98,AD98)))+AF98*(MAX(0,MIN(AC98,1+Parámetros!$B$11)-MAX(AB98,1))+MAX(0,MIN(AC98,2)-MAX(AB98,1+AD98)))</f>
        <v>0</v>
      </c>
    </row>
    <row r="99" spans="1:41" x14ac:dyDescent="0.25">
      <c r="A99" s="15"/>
      <c r="B99" s="8"/>
      <c r="C99" s="5" t="str">
        <f>IF(B99="","",IFERROR(INDEX(Trabajadores!$B$5:$B$204,MATCH(B99,Trabajadores!$A$5:$A$204,0)),"Cédula no registrada"))</f>
        <v/>
      </c>
      <c r="D99" s="11"/>
      <c r="E99" s="11"/>
      <c r="F99" s="8"/>
      <c r="G99" s="18" t="str">
        <f>IF(A99="","",IFERROR(INDEX(Trabajadores!$E$5:$E$204,MATCH(B99,Trabajadores!$A$5:$A$204,0))/Parámetros!$B$6,0)+IF(IFERROR(INDEX(Trabajadores!$E$5:$E$204,MATCH(B99,Trabajadores!$A$5:$A$204,0)),"")="",Parámetros!$B$7,0))</f>
        <v/>
      </c>
      <c r="H99" s="5" t="str">
        <f t="shared" si="20"/>
        <v/>
      </c>
      <c r="I99" s="5" t="str">
        <f>IF(A99="","",IF(COUNTIF(Festivos!$A$5:$A$451,A99)&gt;0,"Festivo",IF(WEEKDAY(A99,2)=7,"Domingo",IF(AND(AF99=1,AC99&gt;1),IF(COUNTIF(Festivos!$A$5:$A$451,A99+1)&gt;0,"Festivo","Domingo")&amp;" desde las 00:00",""))))</f>
        <v/>
      </c>
      <c r="J99" s="19" t="str">
        <f t="shared" si="21"/>
        <v/>
      </c>
      <c r="K99" s="19" t="str">
        <f t="shared" si="22"/>
        <v/>
      </c>
      <c r="L99" s="19" t="str">
        <f t="shared" si="23"/>
        <v/>
      </c>
      <c r="M99" s="19" t="str">
        <f t="shared" si="24"/>
        <v/>
      </c>
      <c r="N99" s="19" t="str">
        <f t="shared" si="25"/>
        <v/>
      </c>
      <c r="O99" s="19" t="str">
        <f t="shared" si="26"/>
        <v/>
      </c>
      <c r="P99" s="19" t="str">
        <f t="shared" si="27"/>
        <v/>
      </c>
      <c r="Q99" s="19" t="str">
        <f t="shared" si="28"/>
        <v/>
      </c>
      <c r="R99" s="19" t="str">
        <f t="shared" si="29"/>
        <v/>
      </c>
      <c r="S99" s="17" t="str">
        <f>IF(B99="","",IFERROR(INDEX(Trabajadores!$G$5:$G$204,MATCH(B99,Trabajadores!$A$5:$A$204,0)),""))</f>
        <v/>
      </c>
      <c r="T99" s="17" t="str">
        <f>IF(OR(OR(A99="",D99="",E99=""),S99=""),"",ROUND(S99*(N(L99)*Parámetros!$B$8+N(M99)*(1+Parámetros!$B$9)+N(N99)*(1+Parámetros!$B$10)+N(O99)*(1+AG99)+N(P99)*(1+AG99+Parámetros!$B$8)+N(Q99)*(1+AG99+Parámetros!$B$9)+N(R99)*(1+AG99+Parámetros!$B$10)),0))</f>
        <v/>
      </c>
      <c r="U99" s="5" t="str">
        <f>IF(OR(A99="",D99="",E99=""),"",IF(N(M99)+N(N99)+N(Q99)+N(R99)&gt;Parámetros!$B$12,"Supera el límite de horas extras diarias",IF(C99="Cédula no registrada","Registre la cédula en «Trabajadores»","")))</f>
        <v/>
      </c>
      <c r="X99" s="20">
        <f t="shared" si="30"/>
        <v>0</v>
      </c>
      <c r="Y99" s="20">
        <f t="shared" si="31"/>
        <v>0</v>
      </c>
      <c r="Z99" s="20">
        <f t="shared" si="32"/>
        <v>0</v>
      </c>
      <c r="AA99" s="20">
        <f t="shared" si="33"/>
        <v>0</v>
      </c>
      <c r="AB99" s="20">
        <f t="shared" si="34"/>
        <v>0</v>
      </c>
      <c r="AC99" s="20">
        <f t="shared" si="35"/>
        <v>0</v>
      </c>
      <c r="AD99" s="20">
        <f>IF(A99="",21/24,MOD(VLOOKUP(A99,Parámetros!$A$24:$B$25,2,TRUE()),1))</f>
        <v>0.875</v>
      </c>
      <c r="AE99" s="5">
        <f>IF(A99="",0,IF(OR(WEEKDAY(A99,2)=7,COUNTIF(Festivos!$A$5:$A$451,A99)&gt;0),1,0))</f>
        <v>0</v>
      </c>
      <c r="AF99" s="5">
        <f>IF(A99="",0,IF(OR(WEEKDAY(A99+1,2)=7,COUNTIF(Festivos!$A$5:$A$451,A99+1)&gt;0),1,0))</f>
        <v>0</v>
      </c>
      <c r="AG99" s="9">
        <f>IF(A99="",0,VLOOKUP(A99,Parámetros!$A$18:$B$21,2,TRUE()))</f>
        <v>0</v>
      </c>
      <c r="AH99" s="20">
        <f t="shared" si="36"/>
        <v>0</v>
      </c>
      <c r="AI99" s="20">
        <f>MAX(0,MIN(AB99,Parámetros!$B$11)-MAX(X99,0))+MAX(0,MIN(AB99,1+Parámetros!$B$11)-MAX(X99,AD99))+MAX(0,MIN(AB99,2)-MAX(X99,1+AD99))</f>
        <v>0</v>
      </c>
      <c r="AJ99" s="20">
        <f t="shared" si="37"/>
        <v>0</v>
      </c>
      <c r="AK99" s="20">
        <f>AE99*(MAX(0,MIN(AB99,Parámetros!$B$11)-MAX(X99,0))+MAX(0,MIN(AB99,1)-MAX(X99,AD99)))+AF99*(MAX(0,MIN(AB99,1+Parámetros!$B$11)-MAX(X99,1))+MAX(0,MIN(AB99,2)-MAX(X99,1+AD99)))</f>
        <v>0</v>
      </c>
      <c r="AL99" s="20">
        <f t="shared" si="38"/>
        <v>0</v>
      </c>
      <c r="AM99" s="20">
        <f>MAX(0,MIN(AC99,Parámetros!$B$11)-MAX(AB99,0))+MAX(0,MIN(AC99,1+Parámetros!$B$11)-MAX(AB99,AD99))+MAX(0,MIN(AC99,2)-MAX(AB99,1+AD99))</f>
        <v>0</v>
      </c>
      <c r="AN99" s="20">
        <f t="shared" si="39"/>
        <v>0</v>
      </c>
      <c r="AO99" s="20">
        <f>AE99*(MAX(0,MIN(AC99,Parámetros!$B$11)-MAX(AB99,0))+MAX(0,MIN(AC99,1)-MAX(AB99,AD99)))+AF99*(MAX(0,MIN(AC99,1+Parámetros!$B$11)-MAX(AB99,1))+MAX(0,MIN(AC99,2)-MAX(AB99,1+AD99)))</f>
        <v>0</v>
      </c>
    </row>
    <row r="100" spans="1:41" x14ac:dyDescent="0.25">
      <c r="A100" s="15"/>
      <c r="B100" s="8"/>
      <c r="C100" s="5" t="str">
        <f>IF(B100="","",IFERROR(INDEX(Trabajadores!$B$5:$B$204,MATCH(B100,Trabajadores!$A$5:$A$204,0)),"Cédula no registrada"))</f>
        <v/>
      </c>
      <c r="D100" s="11"/>
      <c r="E100" s="11"/>
      <c r="F100" s="8"/>
      <c r="G100" s="18" t="str">
        <f>IF(A100="","",IFERROR(INDEX(Trabajadores!$E$5:$E$204,MATCH(B100,Trabajadores!$A$5:$A$204,0))/Parámetros!$B$6,0)+IF(IFERROR(INDEX(Trabajadores!$E$5:$E$204,MATCH(B100,Trabajadores!$A$5:$A$204,0)),"")="",Parámetros!$B$7,0))</f>
        <v/>
      </c>
      <c r="H100" s="5" t="str">
        <f t="shared" si="20"/>
        <v/>
      </c>
      <c r="I100" s="5" t="str">
        <f>IF(A100="","",IF(COUNTIF(Festivos!$A$5:$A$451,A100)&gt;0,"Festivo",IF(WEEKDAY(A100,2)=7,"Domingo",IF(AND(AF100=1,AC100&gt;1),IF(COUNTIF(Festivos!$A$5:$A$451,A100+1)&gt;0,"Festivo","Domingo")&amp;" desde las 00:00",""))))</f>
        <v/>
      </c>
      <c r="J100" s="19" t="str">
        <f t="shared" si="21"/>
        <v/>
      </c>
      <c r="K100" s="19" t="str">
        <f t="shared" si="22"/>
        <v/>
      </c>
      <c r="L100" s="19" t="str">
        <f t="shared" si="23"/>
        <v/>
      </c>
      <c r="M100" s="19" t="str">
        <f t="shared" si="24"/>
        <v/>
      </c>
      <c r="N100" s="19" t="str">
        <f t="shared" si="25"/>
        <v/>
      </c>
      <c r="O100" s="19" t="str">
        <f t="shared" si="26"/>
        <v/>
      </c>
      <c r="P100" s="19" t="str">
        <f t="shared" si="27"/>
        <v/>
      </c>
      <c r="Q100" s="19" t="str">
        <f t="shared" si="28"/>
        <v/>
      </c>
      <c r="R100" s="19" t="str">
        <f t="shared" si="29"/>
        <v/>
      </c>
      <c r="S100" s="17" t="str">
        <f>IF(B100="","",IFERROR(INDEX(Trabajadores!$G$5:$G$204,MATCH(B100,Trabajadores!$A$5:$A$204,0)),""))</f>
        <v/>
      </c>
      <c r="T100" s="17" t="str">
        <f>IF(OR(OR(A100="",D100="",E100=""),S100=""),"",ROUND(S100*(N(L100)*Parámetros!$B$8+N(M100)*(1+Parámetros!$B$9)+N(N100)*(1+Parámetros!$B$10)+N(O100)*(1+AG100)+N(P100)*(1+AG100+Parámetros!$B$8)+N(Q100)*(1+AG100+Parámetros!$B$9)+N(R100)*(1+AG100+Parámetros!$B$10)),0))</f>
        <v/>
      </c>
      <c r="U100" s="5" t="str">
        <f>IF(OR(A100="",D100="",E100=""),"",IF(N(M100)+N(N100)+N(Q100)+N(R100)&gt;Parámetros!$B$12,"Supera el límite de horas extras diarias",IF(C100="Cédula no registrada","Registre la cédula en «Trabajadores»","")))</f>
        <v/>
      </c>
      <c r="X100" s="20">
        <f t="shared" si="30"/>
        <v>0</v>
      </c>
      <c r="Y100" s="20">
        <f t="shared" si="31"/>
        <v>0</v>
      </c>
      <c r="Z100" s="20">
        <f t="shared" si="32"/>
        <v>0</v>
      </c>
      <c r="AA100" s="20">
        <f t="shared" si="33"/>
        <v>0</v>
      </c>
      <c r="AB100" s="20">
        <f t="shared" si="34"/>
        <v>0</v>
      </c>
      <c r="AC100" s="20">
        <f t="shared" si="35"/>
        <v>0</v>
      </c>
      <c r="AD100" s="20">
        <f>IF(A100="",21/24,MOD(VLOOKUP(A100,Parámetros!$A$24:$B$25,2,TRUE()),1))</f>
        <v>0.875</v>
      </c>
      <c r="AE100" s="5">
        <f>IF(A100="",0,IF(OR(WEEKDAY(A100,2)=7,COUNTIF(Festivos!$A$5:$A$451,A100)&gt;0),1,0))</f>
        <v>0</v>
      </c>
      <c r="AF100" s="5">
        <f>IF(A100="",0,IF(OR(WEEKDAY(A100+1,2)=7,COUNTIF(Festivos!$A$5:$A$451,A100+1)&gt;0),1,0))</f>
        <v>0</v>
      </c>
      <c r="AG100" s="9">
        <f>IF(A100="",0,VLOOKUP(A100,Parámetros!$A$18:$B$21,2,TRUE()))</f>
        <v>0</v>
      </c>
      <c r="AH100" s="20">
        <f t="shared" si="36"/>
        <v>0</v>
      </c>
      <c r="AI100" s="20">
        <f>MAX(0,MIN(AB100,Parámetros!$B$11)-MAX(X100,0))+MAX(0,MIN(AB100,1+Parámetros!$B$11)-MAX(X100,AD100))+MAX(0,MIN(AB100,2)-MAX(X100,1+AD100))</f>
        <v>0</v>
      </c>
      <c r="AJ100" s="20">
        <f t="shared" si="37"/>
        <v>0</v>
      </c>
      <c r="AK100" s="20">
        <f>AE100*(MAX(0,MIN(AB100,Parámetros!$B$11)-MAX(X100,0))+MAX(0,MIN(AB100,1)-MAX(X100,AD100)))+AF100*(MAX(0,MIN(AB100,1+Parámetros!$B$11)-MAX(X100,1))+MAX(0,MIN(AB100,2)-MAX(X100,1+AD100)))</f>
        <v>0</v>
      </c>
      <c r="AL100" s="20">
        <f t="shared" si="38"/>
        <v>0</v>
      </c>
      <c r="AM100" s="20">
        <f>MAX(0,MIN(AC100,Parámetros!$B$11)-MAX(AB100,0))+MAX(0,MIN(AC100,1+Parámetros!$B$11)-MAX(AB100,AD100))+MAX(0,MIN(AC100,2)-MAX(AB100,1+AD100))</f>
        <v>0</v>
      </c>
      <c r="AN100" s="20">
        <f t="shared" si="39"/>
        <v>0</v>
      </c>
      <c r="AO100" s="20">
        <f>AE100*(MAX(0,MIN(AC100,Parámetros!$B$11)-MAX(AB100,0))+MAX(0,MIN(AC100,1)-MAX(AB100,AD100)))+AF100*(MAX(0,MIN(AC100,1+Parámetros!$B$11)-MAX(AB100,1))+MAX(0,MIN(AC100,2)-MAX(AB100,1+AD100)))</f>
        <v>0</v>
      </c>
    </row>
    <row r="101" spans="1:41" x14ac:dyDescent="0.25">
      <c r="A101" s="15"/>
      <c r="B101" s="8"/>
      <c r="C101" s="5" t="str">
        <f>IF(B101="","",IFERROR(INDEX(Trabajadores!$B$5:$B$204,MATCH(B101,Trabajadores!$A$5:$A$204,0)),"Cédula no registrada"))</f>
        <v/>
      </c>
      <c r="D101" s="11"/>
      <c r="E101" s="11"/>
      <c r="F101" s="8"/>
      <c r="G101" s="18" t="str">
        <f>IF(A101="","",IFERROR(INDEX(Trabajadores!$E$5:$E$204,MATCH(B101,Trabajadores!$A$5:$A$204,0))/Parámetros!$B$6,0)+IF(IFERROR(INDEX(Trabajadores!$E$5:$E$204,MATCH(B101,Trabajadores!$A$5:$A$204,0)),"")="",Parámetros!$B$7,0))</f>
        <v/>
      </c>
      <c r="H101" s="5" t="str">
        <f t="shared" si="20"/>
        <v/>
      </c>
      <c r="I101" s="5" t="str">
        <f>IF(A101="","",IF(COUNTIF(Festivos!$A$5:$A$451,A101)&gt;0,"Festivo",IF(WEEKDAY(A101,2)=7,"Domingo",IF(AND(AF101=1,AC101&gt;1),IF(COUNTIF(Festivos!$A$5:$A$451,A101+1)&gt;0,"Festivo","Domingo")&amp;" desde las 00:00",""))))</f>
        <v/>
      </c>
      <c r="J101" s="19" t="str">
        <f t="shared" si="21"/>
        <v/>
      </c>
      <c r="K101" s="19" t="str">
        <f t="shared" si="22"/>
        <v/>
      </c>
      <c r="L101" s="19" t="str">
        <f t="shared" si="23"/>
        <v/>
      </c>
      <c r="M101" s="19" t="str">
        <f t="shared" si="24"/>
        <v/>
      </c>
      <c r="N101" s="19" t="str">
        <f t="shared" si="25"/>
        <v/>
      </c>
      <c r="O101" s="19" t="str">
        <f t="shared" si="26"/>
        <v/>
      </c>
      <c r="P101" s="19" t="str">
        <f t="shared" si="27"/>
        <v/>
      </c>
      <c r="Q101" s="19" t="str">
        <f t="shared" si="28"/>
        <v/>
      </c>
      <c r="R101" s="19" t="str">
        <f t="shared" si="29"/>
        <v/>
      </c>
      <c r="S101" s="17" t="str">
        <f>IF(B101="","",IFERROR(INDEX(Trabajadores!$G$5:$G$204,MATCH(B101,Trabajadores!$A$5:$A$204,0)),""))</f>
        <v/>
      </c>
      <c r="T101" s="17" t="str">
        <f>IF(OR(OR(A101="",D101="",E101=""),S101=""),"",ROUND(S101*(N(L101)*Parámetros!$B$8+N(M101)*(1+Parámetros!$B$9)+N(N101)*(1+Parámetros!$B$10)+N(O101)*(1+AG101)+N(P101)*(1+AG101+Parámetros!$B$8)+N(Q101)*(1+AG101+Parámetros!$B$9)+N(R101)*(1+AG101+Parámetros!$B$10)),0))</f>
        <v/>
      </c>
      <c r="U101" s="5" t="str">
        <f>IF(OR(A101="",D101="",E101=""),"",IF(N(M101)+N(N101)+N(Q101)+N(R101)&gt;Parámetros!$B$12,"Supera el límite de horas extras diarias",IF(C101="Cédula no registrada","Registre la cédula en «Trabajadores»","")))</f>
        <v/>
      </c>
      <c r="X101" s="20">
        <f t="shared" si="30"/>
        <v>0</v>
      </c>
      <c r="Y101" s="20">
        <f t="shared" si="31"/>
        <v>0</v>
      </c>
      <c r="Z101" s="20">
        <f t="shared" si="32"/>
        <v>0</v>
      </c>
      <c r="AA101" s="20">
        <f t="shared" si="33"/>
        <v>0</v>
      </c>
      <c r="AB101" s="20">
        <f t="shared" si="34"/>
        <v>0</v>
      </c>
      <c r="AC101" s="20">
        <f t="shared" si="35"/>
        <v>0</v>
      </c>
      <c r="AD101" s="20">
        <f>IF(A101="",21/24,MOD(VLOOKUP(A101,Parámetros!$A$24:$B$25,2,TRUE()),1))</f>
        <v>0.875</v>
      </c>
      <c r="AE101" s="5">
        <f>IF(A101="",0,IF(OR(WEEKDAY(A101,2)=7,COUNTIF(Festivos!$A$5:$A$451,A101)&gt;0),1,0))</f>
        <v>0</v>
      </c>
      <c r="AF101" s="5">
        <f>IF(A101="",0,IF(OR(WEEKDAY(A101+1,2)=7,COUNTIF(Festivos!$A$5:$A$451,A101+1)&gt;0),1,0))</f>
        <v>0</v>
      </c>
      <c r="AG101" s="9">
        <f>IF(A101="",0,VLOOKUP(A101,Parámetros!$A$18:$B$21,2,TRUE()))</f>
        <v>0</v>
      </c>
      <c r="AH101" s="20">
        <f t="shared" si="36"/>
        <v>0</v>
      </c>
      <c r="AI101" s="20">
        <f>MAX(0,MIN(AB101,Parámetros!$B$11)-MAX(X101,0))+MAX(0,MIN(AB101,1+Parámetros!$B$11)-MAX(X101,AD101))+MAX(0,MIN(AB101,2)-MAX(X101,1+AD101))</f>
        <v>0</v>
      </c>
      <c r="AJ101" s="20">
        <f t="shared" si="37"/>
        <v>0</v>
      </c>
      <c r="AK101" s="20">
        <f>AE101*(MAX(0,MIN(AB101,Parámetros!$B$11)-MAX(X101,0))+MAX(0,MIN(AB101,1)-MAX(X101,AD101)))+AF101*(MAX(0,MIN(AB101,1+Parámetros!$B$11)-MAX(X101,1))+MAX(0,MIN(AB101,2)-MAX(X101,1+AD101)))</f>
        <v>0</v>
      </c>
      <c r="AL101" s="20">
        <f t="shared" si="38"/>
        <v>0</v>
      </c>
      <c r="AM101" s="20">
        <f>MAX(0,MIN(AC101,Parámetros!$B$11)-MAX(AB101,0))+MAX(0,MIN(AC101,1+Parámetros!$B$11)-MAX(AB101,AD101))+MAX(0,MIN(AC101,2)-MAX(AB101,1+AD101))</f>
        <v>0</v>
      </c>
      <c r="AN101" s="20">
        <f t="shared" si="39"/>
        <v>0</v>
      </c>
      <c r="AO101" s="20">
        <f>AE101*(MAX(0,MIN(AC101,Parámetros!$B$11)-MAX(AB101,0))+MAX(0,MIN(AC101,1)-MAX(AB101,AD101)))+AF101*(MAX(0,MIN(AC101,1+Parámetros!$B$11)-MAX(AB101,1))+MAX(0,MIN(AC101,2)-MAX(AB101,1+AD101)))</f>
        <v>0</v>
      </c>
    </row>
    <row r="102" spans="1:41" x14ac:dyDescent="0.25">
      <c r="A102" s="15"/>
      <c r="B102" s="8"/>
      <c r="C102" s="5" t="str">
        <f>IF(B102="","",IFERROR(INDEX(Trabajadores!$B$5:$B$204,MATCH(B102,Trabajadores!$A$5:$A$204,0)),"Cédula no registrada"))</f>
        <v/>
      </c>
      <c r="D102" s="11"/>
      <c r="E102" s="11"/>
      <c r="F102" s="8"/>
      <c r="G102" s="18" t="str">
        <f>IF(A102="","",IFERROR(INDEX(Trabajadores!$E$5:$E$204,MATCH(B102,Trabajadores!$A$5:$A$204,0))/Parámetros!$B$6,0)+IF(IFERROR(INDEX(Trabajadores!$E$5:$E$204,MATCH(B102,Trabajadores!$A$5:$A$204,0)),"")="",Parámetros!$B$7,0))</f>
        <v/>
      </c>
      <c r="H102" s="5" t="str">
        <f t="shared" si="20"/>
        <v/>
      </c>
      <c r="I102" s="5" t="str">
        <f>IF(A102="","",IF(COUNTIF(Festivos!$A$5:$A$451,A102)&gt;0,"Festivo",IF(WEEKDAY(A102,2)=7,"Domingo",IF(AND(AF102=1,AC102&gt;1),IF(COUNTIF(Festivos!$A$5:$A$451,A102+1)&gt;0,"Festivo","Domingo")&amp;" desde las 00:00",""))))</f>
        <v/>
      </c>
      <c r="J102" s="19" t="str">
        <f t="shared" si="21"/>
        <v/>
      </c>
      <c r="K102" s="19" t="str">
        <f t="shared" si="22"/>
        <v/>
      </c>
      <c r="L102" s="19" t="str">
        <f t="shared" si="23"/>
        <v/>
      </c>
      <c r="M102" s="19" t="str">
        <f t="shared" si="24"/>
        <v/>
      </c>
      <c r="N102" s="19" t="str">
        <f t="shared" si="25"/>
        <v/>
      </c>
      <c r="O102" s="19" t="str">
        <f t="shared" si="26"/>
        <v/>
      </c>
      <c r="P102" s="19" t="str">
        <f t="shared" si="27"/>
        <v/>
      </c>
      <c r="Q102" s="19" t="str">
        <f t="shared" si="28"/>
        <v/>
      </c>
      <c r="R102" s="19" t="str">
        <f t="shared" si="29"/>
        <v/>
      </c>
      <c r="S102" s="17" t="str">
        <f>IF(B102="","",IFERROR(INDEX(Trabajadores!$G$5:$G$204,MATCH(B102,Trabajadores!$A$5:$A$204,0)),""))</f>
        <v/>
      </c>
      <c r="T102" s="17" t="str">
        <f>IF(OR(OR(A102="",D102="",E102=""),S102=""),"",ROUND(S102*(N(L102)*Parámetros!$B$8+N(M102)*(1+Parámetros!$B$9)+N(N102)*(1+Parámetros!$B$10)+N(O102)*(1+AG102)+N(P102)*(1+AG102+Parámetros!$B$8)+N(Q102)*(1+AG102+Parámetros!$B$9)+N(R102)*(1+AG102+Parámetros!$B$10)),0))</f>
        <v/>
      </c>
      <c r="U102" s="5" t="str">
        <f>IF(OR(A102="",D102="",E102=""),"",IF(N(M102)+N(N102)+N(Q102)+N(R102)&gt;Parámetros!$B$12,"Supera el límite de horas extras diarias",IF(C102="Cédula no registrada","Registre la cédula en «Trabajadores»","")))</f>
        <v/>
      </c>
      <c r="X102" s="20">
        <f t="shared" si="30"/>
        <v>0</v>
      </c>
      <c r="Y102" s="20">
        <f t="shared" si="31"/>
        <v>0</v>
      </c>
      <c r="Z102" s="20">
        <f t="shared" si="32"/>
        <v>0</v>
      </c>
      <c r="AA102" s="20">
        <f t="shared" si="33"/>
        <v>0</v>
      </c>
      <c r="AB102" s="20">
        <f t="shared" si="34"/>
        <v>0</v>
      </c>
      <c r="AC102" s="20">
        <f t="shared" si="35"/>
        <v>0</v>
      </c>
      <c r="AD102" s="20">
        <f>IF(A102="",21/24,MOD(VLOOKUP(A102,Parámetros!$A$24:$B$25,2,TRUE()),1))</f>
        <v>0.875</v>
      </c>
      <c r="AE102" s="5">
        <f>IF(A102="",0,IF(OR(WEEKDAY(A102,2)=7,COUNTIF(Festivos!$A$5:$A$451,A102)&gt;0),1,0))</f>
        <v>0</v>
      </c>
      <c r="AF102" s="5">
        <f>IF(A102="",0,IF(OR(WEEKDAY(A102+1,2)=7,COUNTIF(Festivos!$A$5:$A$451,A102+1)&gt;0),1,0))</f>
        <v>0</v>
      </c>
      <c r="AG102" s="9">
        <f>IF(A102="",0,VLOOKUP(A102,Parámetros!$A$18:$B$21,2,TRUE()))</f>
        <v>0</v>
      </c>
      <c r="AH102" s="20">
        <f t="shared" si="36"/>
        <v>0</v>
      </c>
      <c r="AI102" s="20">
        <f>MAX(0,MIN(AB102,Parámetros!$B$11)-MAX(X102,0))+MAX(0,MIN(AB102,1+Parámetros!$B$11)-MAX(X102,AD102))+MAX(0,MIN(AB102,2)-MAX(X102,1+AD102))</f>
        <v>0</v>
      </c>
      <c r="AJ102" s="20">
        <f t="shared" si="37"/>
        <v>0</v>
      </c>
      <c r="AK102" s="20">
        <f>AE102*(MAX(0,MIN(AB102,Parámetros!$B$11)-MAX(X102,0))+MAX(0,MIN(AB102,1)-MAX(X102,AD102)))+AF102*(MAX(0,MIN(AB102,1+Parámetros!$B$11)-MAX(X102,1))+MAX(0,MIN(AB102,2)-MAX(X102,1+AD102)))</f>
        <v>0</v>
      </c>
      <c r="AL102" s="20">
        <f t="shared" si="38"/>
        <v>0</v>
      </c>
      <c r="AM102" s="20">
        <f>MAX(0,MIN(AC102,Parámetros!$B$11)-MAX(AB102,0))+MAX(0,MIN(AC102,1+Parámetros!$B$11)-MAX(AB102,AD102))+MAX(0,MIN(AC102,2)-MAX(AB102,1+AD102))</f>
        <v>0</v>
      </c>
      <c r="AN102" s="20">
        <f t="shared" si="39"/>
        <v>0</v>
      </c>
      <c r="AO102" s="20">
        <f>AE102*(MAX(0,MIN(AC102,Parámetros!$B$11)-MAX(AB102,0))+MAX(0,MIN(AC102,1)-MAX(AB102,AD102)))+AF102*(MAX(0,MIN(AC102,1+Parámetros!$B$11)-MAX(AB102,1))+MAX(0,MIN(AC102,2)-MAX(AB102,1+AD102)))</f>
        <v>0</v>
      </c>
    </row>
    <row r="103" spans="1:41" x14ac:dyDescent="0.25">
      <c r="A103" s="15"/>
      <c r="B103" s="8"/>
      <c r="C103" s="5" t="str">
        <f>IF(B103="","",IFERROR(INDEX(Trabajadores!$B$5:$B$204,MATCH(B103,Trabajadores!$A$5:$A$204,0)),"Cédula no registrada"))</f>
        <v/>
      </c>
      <c r="D103" s="11"/>
      <c r="E103" s="11"/>
      <c r="F103" s="8"/>
      <c r="G103" s="18" t="str">
        <f>IF(A103="","",IFERROR(INDEX(Trabajadores!$E$5:$E$204,MATCH(B103,Trabajadores!$A$5:$A$204,0))/Parámetros!$B$6,0)+IF(IFERROR(INDEX(Trabajadores!$E$5:$E$204,MATCH(B103,Trabajadores!$A$5:$A$204,0)),"")="",Parámetros!$B$7,0))</f>
        <v/>
      </c>
      <c r="H103" s="5" t="str">
        <f t="shared" si="20"/>
        <v/>
      </c>
      <c r="I103" s="5" t="str">
        <f>IF(A103="","",IF(COUNTIF(Festivos!$A$5:$A$451,A103)&gt;0,"Festivo",IF(WEEKDAY(A103,2)=7,"Domingo",IF(AND(AF103=1,AC103&gt;1),IF(COUNTIF(Festivos!$A$5:$A$451,A103+1)&gt;0,"Festivo","Domingo")&amp;" desde las 00:00",""))))</f>
        <v/>
      </c>
      <c r="J103" s="19" t="str">
        <f t="shared" si="21"/>
        <v/>
      </c>
      <c r="K103" s="19" t="str">
        <f t="shared" si="22"/>
        <v/>
      </c>
      <c r="L103" s="19" t="str">
        <f t="shared" si="23"/>
        <v/>
      </c>
      <c r="M103" s="19" t="str">
        <f t="shared" si="24"/>
        <v/>
      </c>
      <c r="N103" s="19" t="str">
        <f t="shared" si="25"/>
        <v/>
      </c>
      <c r="O103" s="19" t="str">
        <f t="shared" si="26"/>
        <v/>
      </c>
      <c r="P103" s="19" t="str">
        <f t="shared" si="27"/>
        <v/>
      </c>
      <c r="Q103" s="19" t="str">
        <f t="shared" si="28"/>
        <v/>
      </c>
      <c r="R103" s="19" t="str">
        <f t="shared" si="29"/>
        <v/>
      </c>
      <c r="S103" s="17" t="str">
        <f>IF(B103="","",IFERROR(INDEX(Trabajadores!$G$5:$G$204,MATCH(B103,Trabajadores!$A$5:$A$204,0)),""))</f>
        <v/>
      </c>
      <c r="T103" s="17" t="str">
        <f>IF(OR(OR(A103="",D103="",E103=""),S103=""),"",ROUND(S103*(N(L103)*Parámetros!$B$8+N(M103)*(1+Parámetros!$B$9)+N(N103)*(1+Parámetros!$B$10)+N(O103)*(1+AG103)+N(P103)*(1+AG103+Parámetros!$B$8)+N(Q103)*(1+AG103+Parámetros!$B$9)+N(R103)*(1+AG103+Parámetros!$B$10)),0))</f>
        <v/>
      </c>
      <c r="U103" s="5" t="str">
        <f>IF(OR(A103="",D103="",E103=""),"",IF(N(M103)+N(N103)+N(Q103)+N(R103)&gt;Parámetros!$B$12,"Supera el límite de horas extras diarias",IF(C103="Cédula no registrada","Registre la cédula en «Trabajadores»","")))</f>
        <v/>
      </c>
      <c r="X103" s="20">
        <f t="shared" si="30"/>
        <v>0</v>
      </c>
      <c r="Y103" s="20">
        <f t="shared" si="31"/>
        <v>0</v>
      </c>
      <c r="Z103" s="20">
        <f t="shared" si="32"/>
        <v>0</v>
      </c>
      <c r="AA103" s="20">
        <f t="shared" si="33"/>
        <v>0</v>
      </c>
      <c r="AB103" s="20">
        <f t="shared" si="34"/>
        <v>0</v>
      </c>
      <c r="AC103" s="20">
        <f t="shared" si="35"/>
        <v>0</v>
      </c>
      <c r="AD103" s="20">
        <f>IF(A103="",21/24,MOD(VLOOKUP(A103,Parámetros!$A$24:$B$25,2,TRUE()),1))</f>
        <v>0.875</v>
      </c>
      <c r="AE103" s="5">
        <f>IF(A103="",0,IF(OR(WEEKDAY(A103,2)=7,COUNTIF(Festivos!$A$5:$A$451,A103)&gt;0),1,0))</f>
        <v>0</v>
      </c>
      <c r="AF103" s="5">
        <f>IF(A103="",0,IF(OR(WEEKDAY(A103+1,2)=7,COUNTIF(Festivos!$A$5:$A$451,A103+1)&gt;0),1,0))</f>
        <v>0</v>
      </c>
      <c r="AG103" s="9">
        <f>IF(A103="",0,VLOOKUP(A103,Parámetros!$A$18:$B$21,2,TRUE()))</f>
        <v>0</v>
      </c>
      <c r="AH103" s="20">
        <f t="shared" si="36"/>
        <v>0</v>
      </c>
      <c r="AI103" s="20">
        <f>MAX(0,MIN(AB103,Parámetros!$B$11)-MAX(X103,0))+MAX(0,MIN(AB103,1+Parámetros!$B$11)-MAX(X103,AD103))+MAX(0,MIN(AB103,2)-MAX(X103,1+AD103))</f>
        <v>0</v>
      </c>
      <c r="AJ103" s="20">
        <f t="shared" si="37"/>
        <v>0</v>
      </c>
      <c r="AK103" s="20">
        <f>AE103*(MAX(0,MIN(AB103,Parámetros!$B$11)-MAX(X103,0))+MAX(0,MIN(AB103,1)-MAX(X103,AD103)))+AF103*(MAX(0,MIN(AB103,1+Parámetros!$B$11)-MAX(X103,1))+MAX(0,MIN(AB103,2)-MAX(X103,1+AD103)))</f>
        <v>0</v>
      </c>
      <c r="AL103" s="20">
        <f t="shared" si="38"/>
        <v>0</v>
      </c>
      <c r="AM103" s="20">
        <f>MAX(0,MIN(AC103,Parámetros!$B$11)-MAX(AB103,0))+MAX(0,MIN(AC103,1+Parámetros!$B$11)-MAX(AB103,AD103))+MAX(0,MIN(AC103,2)-MAX(AB103,1+AD103))</f>
        <v>0</v>
      </c>
      <c r="AN103" s="20">
        <f t="shared" si="39"/>
        <v>0</v>
      </c>
      <c r="AO103" s="20">
        <f>AE103*(MAX(0,MIN(AC103,Parámetros!$B$11)-MAX(AB103,0))+MAX(0,MIN(AC103,1)-MAX(AB103,AD103)))+AF103*(MAX(0,MIN(AC103,1+Parámetros!$B$11)-MAX(AB103,1))+MAX(0,MIN(AC103,2)-MAX(AB103,1+AD103)))</f>
        <v>0</v>
      </c>
    </row>
    <row r="104" spans="1:41" x14ac:dyDescent="0.25">
      <c r="A104" s="15"/>
      <c r="B104" s="8"/>
      <c r="C104" s="5" t="str">
        <f>IF(B104="","",IFERROR(INDEX(Trabajadores!$B$5:$B$204,MATCH(B104,Trabajadores!$A$5:$A$204,0)),"Cédula no registrada"))</f>
        <v/>
      </c>
      <c r="D104" s="11"/>
      <c r="E104" s="11"/>
      <c r="F104" s="8"/>
      <c r="G104" s="18" t="str">
        <f>IF(A104="","",IFERROR(INDEX(Trabajadores!$E$5:$E$204,MATCH(B104,Trabajadores!$A$5:$A$204,0))/Parámetros!$B$6,0)+IF(IFERROR(INDEX(Trabajadores!$E$5:$E$204,MATCH(B104,Trabajadores!$A$5:$A$204,0)),"")="",Parámetros!$B$7,0))</f>
        <v/>
      </c>
      <c r="H104" s="5" t="str">
        <f t="shared" si="20"/>
        <v/>
      </c>
      <c r="I104" s="5" t="str">
        <f>IF(A104="","",IF(COUNTIF(Festivos!$A$5:$A$451,A104)&gt;0,"Festivo",IF(WEEKDAY(A104,2)=7,"Domingo",IF(AND(AF104=1,AC104&gt;1),IF(COUNTIF(Festivos!$A$5:$A$451,A104+1)&gt;0,"Festivo","Domingo")&amp;" desde las 00:00",""))))</f>
        <v/>
      </c>
      <c r="J104" s="19" t="str">
        <f t="shared" si="21"/>
        <v/>
      </c>
      <c r="K104" s="19" t="str">
        <f t="shared" si="22"/>
        <v/>
      </c>
      <c r="L104" s="19" t="str">
        <f t="shared" si="23"/>
        <v/>
      </c>
      <c r="M104" s="19" t="str">
        <f t="shared" si="24"/>
        <v/>
      </c>
      <c r="N104" s="19" t="str">
        <f t="shared" si="25"/>
        <v/>
      </c>
      <c r="O104" s="19" t="str">
        <f t="shared" si="26"/>
        <v/>
      </c>
      <c r="P104" s="19" t="str">
        <f t="shared" si="27"/>
        <v/>
      </c>
      <c r="Q104" s="19" t="str">
        <f t="shared" si="28"/>
        <v/>
      </c>
      <c r="R104" s="19" t="str">
        <f t="shared" si="29"/>
        <v/>
      </c>
      <c r="S104" s="17" t="str">
        <f>IF(B104="","",IFERROR(INDEX(Trabajadores!$G$5:$G$204,MATCH(B104,Trabajadores!$A$5:$A$204,0)),""))</f>
        <v/>
      </c>
      <c r="T104" s="17" t="str">
        <f>IF(OR(OR(A104="",D104="",E104=""),S104=""),"",ROUND(S104*(N(L104)*Parámetros!$B$8+N(M104)*(1+Parámetros!$B$9)+N(N104)*(1+Parámetros!$B$10)+N(O104)*(1+AG104)+N(P104)*(1+AG104+Parámetros!$B$8)+N(Q104)*(1+AG104+Parámetros!$B$9)+N(R104)*(1+AG104+Parámetros!$B$10)),0))</f>
        <v/>
      </c>
      <c r="U104" s="5" t="str">
        <f>IF(OR(A104="",D104="",E104=""),"",IF(N(M104)+N(N104)+N(Q104)+N(R104)&gt;Parámetros!$B$12,"Supera el límite de horas extras diarias",IF(C104="Cédula no registrada","Registre la cédula en «Trabajadores»","")))</f>
        <v/>
      </c>
      <c r="X104" s="20">
        <f t="shared" si="30"/>
        <v>0</v>
      </c>
      <c r="Y104" s="20">
        <f t="shared" si="31"/>
        <v>0</v>
      </c>
      <c r="Z104" s="20">
        <f t="shared" si="32"/>
        <v>0</v>
      </c>
      <c r="AA104" s="20">
        <f t="shared" si="33"/>
        <v>0</v>
      </c>
      <c r="AB104" s="20">
        <f t="shared" si="34"/>
        <v>0</v>
      </c>
      <c r="AC104" s="20">
        <f t="shared" si="35"/>
        <v>0</v>
      </c>
      <c r="AD104" s="20">
        <f>IF(A104="",21/24,MOD(VLOOKUP(A104,Parámetros!$A$24:$B$25,2,TRUE()),1))</f>
        <v>0.875</v>
      </c>
      <c r="AE104" s="5">
        <f>IF(A104="",0,IF(OR(WEEKDAY(A104,2)=7,COUNTIF(Festivos!$A$5:$A$451,A104)&gt;0),1,0))</f>
        <v>0</v>
      </c>
      <c r="AF104" s="5">
        <f>IF(A104="",0,IF(OR(WEEKDAY(A104+1,2)=7,COUNTIF(Festivos!$A$5:$A$451,A104+1)&gt;0),1,0))</f>
        <v>0</v>
      </c>
      <c r="AG104" s="9">
        <f>IF(A104="",0,VLOOKUP(A104,Parámetros!$A$18:$B$21,2,TRUE()))</f>
        <v>0</v>
      </c>
      <c r="AH104" s="20">
        <f t="shared" si="36"/>
        <v>0</v>
      </c>
      <c r="AI104" s="20">
        <f>MAX(0,MIN(AB104,Parámetros!$B$11)-MAX(X104,0))+MAX(0,MIN(AB104,1+Parámetros!$B$11)-MAX(X104,AD104))+MAX(0,MIN(AB104,2)-MAX(X104,1+AD104))</f>
        <v>0</v>
      </c>
      <c r="AJ104" s="20">
        <f t="shared" si="37"/>
        <v>0</v>
      </c>
      <c r="AK104" s="20">
        <f>AE104*(MAX(0,MIN(AB104,Parámetros!$B$11)-MAX(X104,0))+MAX(0,MIN(AB104,1)-MAX(X104,AD104)))+AF104*(MAX(0,MIN(AB104,1+Parámetros!$B$11)-MAX(X104,1))+MAX(0,MIN(AB104,2)-MAX(X104,1+AD104)))</f>
        <v>0</v>
      </c>
      <c r="AL104" s="20">
        <f t="shared" si="38"/>
        <v>0</v>
      </c>
      <c r="AM104" s="20">
        <f>MAX(0,MIN(AC104,Parámetros!$B$11)-MAX(AB104,0))+MAX(0,MIN(AC104,1+Parámetros!$B$11)-MAX(AB104,AD104))+MAX(0,MIN(AC104,2)-MAX(AB104,1+AD104))</f>
        <v>0</v>
      </c>
      <c r="AN104" s="20">
        <f t="shared" si="39"/>
        <v>0</v>
      </c>
      <c r="AO104" s="20">
        <f>AE104*(MAX(0,MIN(AC104,Parámetros!$B$11)-MAX(AB104,0))+MAX(0,MIN(AC104,1)-MAX(AB104,AD104)))+AF104*(MAX(0,MIN(AC104,1+Parámetros!$B$11)-MAX(AB104,1))+MAX(0,MIN(AC104,2)-MAX(AB104,1+AD104)))</f>
        <v>0</v>
      </c>
    </row>
    <row r="105" spans="1:41" x14ac:dyDescent="0.25">
      <c r="A105" s="15"/>
      <c r="B105" s="8"/>
      <c r="C105" s="5" t="str">
        <f>IF(B105="","",IFERROR(INDEX(Trabajadores!$B$5:$B$204,MATCH(B105,Trabajadores!$A$5:$A$204,0)),"Cédula no registrada"))</f>
        <v/>
      </c>
      <c r="D105" s="11"/>
      <c r="E105" s="11"/>
      <c r="F105" s="8"/>
      <c r="G105" s="18" t="str">
        <f>IF(A105="","",IFERROR(INDEX(Trabajadores!$E$5:$E$204,MATCH(B105,Trabajadores!$A$5:$A$204,0))/Parámetros!$B$6,0)+IF(IFERROR(INDEX(Trabajadores!$E$5:$E$204,MATCH(B105,Trabajadores!$A$5:$A$204,0)),"")="",Parámetros!$B$7,0))</f>
        <v/>
      </c>
      <c r="H105" s="5" t="str">
        <f t="shared" si="20"/>
        <v/>
      </c>
      <c r="I105" s="5" t="str">
        <f>IF(A105="","",IF(COUNTIF(Festivos!$A$5:$A$451,A105)&gt;0,"Festivo",IF(WEEKDAY(A105,2)=7,"Domingo",IF(AND(AF105=1,AC105&gt;1),IF(COUNTIF(Festivos!$A$5:$A$451,A105+1)&gt;0,"Festivo","Domingo")&amp;" desde las 00:00",""))))</f>
        <v/>
      </c>
      <c r="J105" s="19" t="str">
        <f t="shared" si="21"/>
        <v/>
      </c>
      <c r="K105" s="19" t="str">
        <f t="shared" si="22"/>
        <v/>
      </c>
      <c r="L105" s="19" t="str">
        <f t="shared" si="23"/>
        <v/>
      </c>
      <c r="M105" s="19" t="str">
        <f t="shared" si="24"/>
        <v/>
      </c>
      <c r="N105" s="19" t="str">
        <f t="shared" si="25"/>
        <v/>
      </c>
      <c r="O105" s="19" t="str">
        <f t="shared" si="26"/>
        <v/>
      </c>
      <c r="P105" s="19" t="str">
        <f t="shared" si="27"/>
        <v/>
      </c>
      <c r="Q105" s="19" t="str">
        <f t="shared" si="28"/>
        <v/>
      </c>
      <c r="R105" s="19" t="str">
        <f t="shared" si="29"/>
        <v/>
      </c>
      <c r="S105" s="17" t="str">
        <f>IF(B105="","",IFERROR(INDEX(Trabajadores!$G$5:$G$204,MATCH(B105,Trabajadores!$A$5:$A$204,0)),""))</f>
        <v/>
      </c>
      <c r="T105" s="17" t="str">
        <f>IF(OR(OR(A105="",D105="",E105=""),S105=""),"",ROUND(S105*(N(L105)*Parámetros!$B$8+N(M105)*(1+Parámetros!$B$9)+N(N105)*(1+Parámetros!$B$10)+N(O105)*(1+AG105)+N(P105)*(1+AG105+Parámetros!$B$8)+N(Q105)*(1+AG105+Parámetros!$B$9)+N(R105)*(1+AG105+Parámetros!$B$10)),0))</f>
        <v/>
      </c>
      <c r="U105" s="5" t="str">
        <f>IF(OR(A105="",D105="",E105=""),"",IF(N(M105)+N(N105)+N(Q105)+N(R105)&gt;Parámetros!$B$12,"Supera el límite de horas extras diarias",IF(C105="Cédula no registrada","Registre la cédula en «Trabajadores»","")))</f>
        <v/>
      </c>
      <c r="X105" s="20">
        <f t="shared" si="30"/>
        <v>0</v>
      </c>
      <c r="Y105" s="20">
        <f t="shared" si="31"/>
        <v>0</v>
      </c>
      <c r="Z105" s="20">
        <f t="shared" si="32"/>
        <v>0</v>
      </c>
      <c r="AA105" s="20">
        <f t="shared" si="33"/>
        <v>0</v>
      </c>
      <c r="AB105" s="20">
        <f t="shared" si="34"/>
        <v>0</v>
      </c>
      <c r="AC105" s="20">
        <f t="shared" si="35"/>
        <v>0</v>
      </c>
      <c r="AD105" s="20">
        <f>IF(A105="",21/24,MOD(VLOOKUP(A105,Parámetros!$A$24:$B$25,2,TRUE()),1))</f>
        <v>0.875</v>
      </c>
      <c r="AE105" s="5">
        <f>IF(A105="",0,IF(OR(WEEKDAY(A105,2)=7,COUNTIF(Festivos!$A$5:$A$451,A105)&gt;0),1,0))</f>
        <v>0</v>
      </c>
      <c r="AF105" s="5">
        <f>IF(A105="",0,IF(OR(WEEKDAY(A105+1,2)=7,COUNTIF(Festivos!$A$5:$A$451,A105+1)&gt;0),1,0))</f>
        <v>0</v>
      </c>
      <c r="AG105" s="9">
        <f>IF(A105="",0,VLOOKUP(A105,Parámetros!$A$18:$B$21,2,TRUE()))</f>
        <v>0</v>
      </c>
      <c r="AH105" s="20">
        <f t="shared" si="36"/>
        <v>0</v>
      </c>
      <c r="AI105" s="20">
        <f>MAX(0,MIN(AB105,Parámetros!$B$11)-MAX(X105,0))+MAX(0,MIN(AB105,1+Parámetros!$B$11)-MAX(X105,AD105))+MAX(0,MIN(AB105,2)-MAX(X105,1+AD105))</f>
        <v>0</v>
      </c>
      <c r="AJ105" s="20">
        <f t="shared" si="37"/>
        <v>0</v>
      </c>
      <c r="AK105" s="20">
        <f>AE105*(MAX(0,MIN(AB105,Parámetros!$B$11)-MAX(X105,0))+MAX(0,MIN(AB105,1)-MAX(X105,AD105)))+AF105*(MAX(0,MIN(AB105,1+Parámetros!$B$11)-MAX(X105,1))+MAX(0,MIN(AB105,2)-MAX(X105,1+AD105)))</f>
        <v>0</v>
      </c>
      <c r="AL105" s="20">
        <f t="shared" si="38"/>
        <v>0</v>
      </c>
      <c r="AM105" s="20">
        <f>MAX(0,MIN(AC105,Parámetros!$B$11)-MAX(AB105,0))+MAX(0,MIN(AC105,1+Parámetros!$B$11)-MAX(AB105,AD105))+MAX(0,MIN(AC105,2)-MAX(AB105,1+AD105))</f>
        <v>0</v>
      </c>
      <c r="AN105" s="20">
        <f t="shared" si="39"/>
        <v>0</v>
      </c>
      <c r="AO105" s="20">
        <f>AE105*(MAX(0,MIN(AC105,Parámetros!$B$11)-MAX(AB105,0))+MAX(0,MIN(AC105,1)-MAX(AB105,AD105)))+AF105*(MAX(0,MIN(AC105,1+Parámetros!$B$11)-MAX(AB105,1))+MAX(0,MIN(AC105,2)-MAX(AB105,1+AD105)))</f>
        <v>0</v>
      </c>
    </row>
    <row r="106" spans="1:41" x14ac:dyDescent="0.25">
      <c r="A106" s="15"/>
      <c r="B106" s="8"/>
      <c r="C106" s="5" t="str">
        <f>IF(B106="","",IFERROR(INDEX(Trabajadores!$B$5:$B$204,MATCH(B106,Trabajadores!$A$5:$A$204,0)),"Cédula no registrada"))</f>
        <v/>
      </c>
      <c r="D106" s="11"/>
      <c r="E106" s="11"/>
      <c r="F106" s="8"/>
      <c r="G106" s="18" t="str">
        <f>IF(A106="","",IFERROR(INDEX(Trabajadores!$E$5:$E$204,MATCH(B106,Trabajadores!$A$5:$A$204,0))/Parámetros!$B$6,0)+IF(IFERROR(INDEX(Trabajadores!$E$5:$E$204,MATCH(B106,Trabajadores!$A$5:$A$204,0)),"")="",Parámetros!$B$7,0))</f>
        <v/>
      </c>
      <c r="H106" s="5" t="str">
        <f t="shared" si="20"/>
        <v/>
      </c>
      <c r="I106" s="5" t="str">
        <f>IF(A106="","",IF(COUNTIF(Festivos!$A$5:$A$451,A106)&gt;0,"Festivo",IF(WEEKDAY(A106,2)=7,"Domingo",IF(AND(AF106=1,AC106&gt;1),IF(COUNTIF(Festivos!$A$5:$A$451,A106+1)&gt;0,"Festivo","Domingo")&amp;" desde las 00:00",""))))</f>
        <v/>
      </c>
      <c r="J106" s="19" t="str">
        <f t="shared" si="21"/>
        <v/>
      </c>
      <c r="K106" s="19" t="str">
        <f t="shared" si="22"/>
        <v/>
      </c>
      <c r="L106" s="19" t="str">
        <f t="shared" si="23"/>
        <v/>
      </c>
      <c r="M106" s="19" t="str">
        <f t="shared" si="24"/>
        <v/>
      </c>
      <c r="N106" s="19" t="str">
        <f t="shared" si="25"/>
        <v/>
      </c>
      <c r="O106" s="19" t="str">
        <f t="shared" si="26"/>
        <v/>
      </c>
      <c r="P106" s="19" t="str">
        <f t="shared" si="27"/>
        <v/>
      </c>
      <c r="Q106" s="19" t="str">
        <f t="shared" si="28"/>
        <v/>
      </c>
      <c r="R106" s="19" t="str">
        <f t="shared" si="29"/>
        <v/>
      </c>
      <c r="S106" s="17" t="str">
        <f>IF(B106="","",IFERROR(INDEX(Trabajadores!$G$5:$G$204,MATCH(B106,Trabajadores!$A$5:$A$204,0)),""))</f>
        <v/>
      </c>
      <c r="T106" s="17" t="str">
        <f>IF(OR(OR(A106="",D106="",E106=""),S106=""),"",ROUND(S106*(N(L106)*Parámetros!$B$8+N(M106)*(1+Parámetros!$B$9)+N(N106)*(1+Parámetros!$B$10)+N(O106)*(1+AG106)+N(P106)*(1+AG106+Parámetros!$B$8)+N(Q106)*(1+AG106+Parámetros!$B$9)+N(R106)*(1+AG106+Parámetros!$B$10)),0))</f>
        <v/>
      </c>
      <c r="U106" s="5" t="str">
        <f>IF(OR(A106="",D106="",E106=""),"",IF(N(M106)+N(N106)+N(Q106)+N(R106)&gt;Parámetros!$B$12,"Supera el límite de horas extras diarias",IF(C106="Cédula no registrada","Registre la cédula en «Trabajadores»","")))</f>
        <v/>
      </c>
      <c r="X106" s="20">
        <f t="shared" si="30"/>
        <v>0</v>
      </c>
      <c r="Y106" s="20">
        <f t="shared" si="31"/>
        <v>0</v>
      </c>
      <c r="Z106" s="20">
        <f t="shared" si="32"/>
        <v>0</v>
      </c>
      <c r="AA106" s="20">
        <f t="shared" si="33"/>
        <v>0</v>
      </c>
      <c r="AB106" s="20">
        <f t="shared" si="34"/>
        <v>0</v>
      </c>
      <c r="AC106" s="20">
        <f t="shared" si="35"/>
        <v>0</v>
      </c>
      <c r="AD106" s="20">
        <f>IF(A106="",21/24,MOD(VLOOKUP(A106,Parámetros!$A$24:$B$25,2,TRUE()),1))</f>
        <v>0.875</v>
      </c>
      <c r="AE106" s="5">
        <f>IF(A106="",0,IF(OR(WEEKDAY(A106,2)=7,COUNTIF(Festivos!$A$5:$A$451,A106)&gt;0),1,0))</f>
        <v>0</v>
      </c>
      <c r="AF106" s="5">
        <f>IF(A106="",0,IF(OR(WEEKDAY(A106+1,2)=7,COUNTIF(Festivos!$A$5:$A$451,A106+1)&gt;0),1,0))</f>
        <v>0</v>
      </c>
      <c r="AG106" s="9">
        <f>IF(A106="",0,VLOOKUP(A106,Parámetros!$A$18:$B$21,2,TRUE()))</f>
        <v>0</v>
      </c>
      <c r="AH106" s="20">
        <f t="shared" si="36"/>
        <v>0</v>
      </c>
      <c r="AI106" s="20">
        <f>MAX(0,MIN(AB106,Parámetros!$B$11)-MAX(X106,0))+MAX(0,MIN(AB106,1+Parámetros!$B$11)-MAX(X106,AD106))+MAX(0,MIN(AB106,2)-MAX(X106,1+AD106))</f>
        <v>0</v>
      </c>
      <c r="AJ106" s="20">
        <f t="shared" si="37"/>
        <v>0</v>
      </c>
      <c r="AK106" s="20">
        <f>AE106*(MAX(0,MIN(AB106,Parámetros!$B$11)-MAX(X106,0))+MAX(0,MIN(AB106,1)-MAX(X106,AD106)))+AF106*(MAX(0,MIN(AB106,1+Parámetros!$B$11)-MAX(X106,1))+MAX(0,MIN(AB106,2)-MAX(X106,1+AD106)))</f>
        <v>0</v>
      </c>
      <c r="AL106" s="20">
        <f t="shared" si="38"/>
        <v>0</v>
      </c>
      <c r="AM106" s="20">
        <f>MAX(0,MIN(AC106,Parámetros!$B$11)-MAX(AB106,0))+MAX(0,MIN(AC106,1+Parámetros!$B$11)-MAX(AB106,AD106))+MAX(0,MIN(AC106,2)-MAX(AB106,1+AD106))</f>
        <v>0</v>
      </c>
      <c r="AN106" s="20">
        <f t="shared" si="39"/>
        <v>0</v>
      </c>
      <c r="AO106" s="20">
        <f>AE106*(MAX(0,MIN(AC106,Parámetros!$B$11)-MAX(AB106,0))+MAX(0,MIN(AC106,1)-MAX(AB106,AD106)))+AF106*(MAX(0,MIN(AC106,1+Parámetros!$B$11)-MAX(AB106,1))+MAX(0,MIN(AC106,2)-MAX(AB106,1+AD106)))</f>
        <v>0</v>
      </c>
    </row>
    <row r="107" spans="1:41" x14ac:dyDescent="0.25">
      <c r="A107" s="15"/>
      <c r="B107" s="8"/>
      <c r="C107" s="5" t="str">
        <f>IF(B107="","",IFERROR(INDEX(Trabajadores!$B$5:$B$204,MATCH(B107,Trabajadores!$A$5:$A$204,0)),"Cédula no registrada"))</f>
        <v/>
      </c>
      <c r="D107" s="11"/>
      <c r="E107" s="11"/>
      <c r="F107" s="8"/>
      <c r="G107" s="18" t="str">
        <f>IF(A107="","",IFERROR(INDEX(Trabajadores!$E$5:$E$204,MATCH(B107,Trabajadores!$A$5:$A$204,0))/Parámetros!$B$6,0)+IF(IFERROR(INDEX(Trabajadores!$E$5:$E$204,MATCH(B107,Trabajadores!$A$5:$A$204,0)),"")="",Parámetros!$B$7,0))</f>
        <v/>
      </c>
      <c r="H107" s="5" t="str">
        <f t="shared" si="20"/>
        <v/>
      </c>
      <c r="I107" s="5" t="str">
        <f>IF(A107="","",IF(COUNTIF(Festivos!$A$5:$A$451,A107)&gt;0,"Festivo",IF(WEEKDAY(A107,2)=7,"Domingo",IF(AND(AF107=1,AC107&gt;1),IF(COUNTIF(Festivos!$A$5:$A$451,A107+1)&gt;0,"Festivo","Domingo")&amp;" desde las 00:00",""))))</f>
        <v/>
      </c>
      <c r="J107" s="19" t="str">
        <f t="shared" si="21"/>
        <v/>
      </c>
      <c r="K107" s="19" t="str">
        <f t="shared" si="22"/>
        <v/>
      </c>
      <c r="L107" s="19" t="str">
        <f t="shared" si="23"/>
        <v/>
      </c>
      <c r="M107" s="19" t="str">
        <f t="shared" si="24"/>
        <v/>
      </c>
      <c r="N107" s="19" t="str">
        <f t="shared" si="25"/>
        <v/>
      </c>
      <c r="O107" s="19" t="str">
        <f t="shared" si="26"/>
        <v/>
      </c>
      <c r="P107" s="19" t="str">
        <f t="shared" si="27"/>
        <v/>
      </c>
      <c r="Q107" s="19" t="str">
        <f t="shared" si="28"/>
        <v/>
      </c>
      <c r="R107" s="19" t="str">
        <f t="shared" si="29"/>
        <v/>
      </c>
      <c r="S107" s="17" t="str">
        <f>IF(B107="","",IFERROR(INDEX(Trabajadores!$G$5:$G$204,MATCH(B107,Trabajadores!$A$5:$A$204,0)),""))</f>
        <v/>
      </c>
      <c r="T107" s="17" t="str">
        <f>IF(OR(OR(A107="",D107="",E107=""),S107=""),"",ROUND(S107*(N(L107)*Parámetros!$B$8+N(M107)*(1+Parámetros!$B$9)+N(N107)*(1+Parámetros!$B$10)+N(O107)*(1+AG107)+N(P107)*(1+AG107+Parámetros!$B$8)+N(Q107)*(1+AG107+Parámetros!$B$9)+N(R107)*(1+AG107+Parámetros!$B$10)),0))</f>
        <v/>
      </c>
      <c r="U107" s="5" t="str">
        <f>IF(OR(A107="",D107="",E107=""),"",IF(N(M107)+N(N107)+N(Q107)+N(R107)&gt;Parámetros!$B$12,"Supera el límite de horas extras diarias",IF(C107="Cédula no registrada","Registre la cédula en «Trabajadores»","")))</f>
        <v/>
      </c>
      <c r="X107" s="20">
        <f t="shared" si="30"/>
        <v>0</v>
      </c>
      <c r="Y107" s="20">
        <f t="shared" si="31"/>
        <v>0</v>
      </c>
      <c r="Z107" s="20">
        <f t="shared" si="32"/>
        <v>0</v>
      </c>
      <c r="AA107" s="20">
        <f t="shared" si="33"/>
        <v>0</v>
      </c>
      <c r="AB107" s="20">
        <f t="shared" si="34"/>
        <v>0</v>
      </c>
      <c r="AC107" s="20">
        <f t="shared" si="35"/>
        <v>0</v>
      </c>
      <c r="AD107" s="20">
        <f>IF(A107="",21/24,MOD(VLOOKUP(A107,Parámetros!$A$24:$B$25,2,TRUE()),1))</f>
        <v>0.875</v>
      </c>
      <c r="AE107" s="5">
        <f>IF(A107="",0,IF(OR(WEEKDAY(A107,2)=7,COUNTIF(Festivos!$A$5:$A$451,A107)&gt;0),1,0))</f>
        <v>0</v>
      </c>
      <c r="AF107" s="5">
        <f>IF(A107="",0,IF(OR(WEEKDAY(A107+1,2)=7,COUNTIF(Festivos!$A$5:$A$451,A107+1)&gt;0),1,0))</f>
        <v>0</v>
      </c>
      <c r="AG107" s="9">
        <f>IF(A107="",0,VLOOKUP(A107,Parámetros!$A$18:$B$21,2,TRUE()))</f>
        <v>0</v>
      </c>
      <c r="AH107" s="20">
        <f t="shared" si="36"/>
        <v>0</v>
      </c>
      <c r="AI107" s="20">
        <f>MAX(0,MIN(AB107,Parámetros!$B$11)-MAX(X107,0))+MAX(0,MIN(AB107,1+Parámetros!$B$11)-MAX(X107,AD107))+MAX(0,MIN(AB107,2)-MAX(X107,1+AD107))</f>
        <v>0</v>
      </c>
      <c r="AJ107" s="20">
        <f t="shared" si="37"/>
        <v>0</v>
      </c>
      <c r="AK107" s="20">
        <f>AE107*(MAX(0,MIN(AB107,Parámetros!$B$11)-MAX(X107,0))+MAX(0,MIN(AB107,1)-MAX(X107,AD107)))+AF107*(MAX(0,MIN(AB107,1+Parámetros!$B$11)-MAX(X107,1))+MAX(0,MIN(AB107,2)-MAX(X107,1+AD107)))</f>
        <v>0</v>
      </c>
      <c r="AL107" s="20">
        <f t="shared" si="38"/>
        <v>0</v>
      </c>
      <c r="AM107" s="20">
        <f>MAX(0,MIN(AC107,Parámetros!$B$11)-MAX(AB107,0))+MAX(0,MIN(AC107,1+Parámetros!$B$11)-MAX(AB107,AD107))+MAX(0,MIN(AC107,2)-MAX(AB107,1+AD107))</f>
        <v>0</v>
      </c>
      <c r="AN107" s="20">
        <f t="shared" si="39"/>
        <v>0</v>
      </c>
      <c r="AO107" s="20">
        <f>AE107*(MAX(0,MIN(AC107,Parámetros!$B$11)-MAX(AB107,0))+MAX(0,MIN(AC107,1)-MAX(AB107,AD107)))+AF107*(MAX(0,MIN(AC107,1+Parámetros!$B$11)-MAX(AB107,1))+MAX(0,MIN(AC107,2)-MAX(AB107,1+AD107)))</f>
        <v>0</v>
      </c>
    </row>
    <row r="108" spans="1:41" x14ac:dyDescent="0.25">
      <c r="A108" s="15"/>
      <c r="B108" s="8"/>
      <c r="C108" s="5" t="str">
        <f>IF(B108="","",IFERROR(INDEX(Trabajadores!$B$5:$B$204,MATCH(B108,Trabajadores!$A$5:$A$204,0)),"Cédula no registrada"))</f>
        <v/>
      </c>
      <c r="D108" s="11"/>
      <c r="E108" s="11"/>
      <c r="F108" s="8"/>
      <c r="G108" s="18" t="str">
        <f>IF(A108="","",IFERROR(INDEX(Trabajadores!$E$5:$E$204,MATCH(B108,Trabajadores!$A$5:$A$204,0))/Parámetros!$B$6,0)+IF(IFERROR(INDEX(Trabajadores!$E$5:$E$204,MATCH(B108,Trabajadores!$A$5:$A$204,0)),"")="",Parámetros!$B$7,0))</f>
        <v/>
      </c>
      <c r="H108" s="5" t="str">
        <f t="shared" si="20"/>
        <v/>
      </c>
      <c r="I108" s="5" t="str">
        <f>IF(A108="","",IF(COUNTIF(Festivos!$A$5:$A$451,A108)&gt;0,"Festivo",IF(WEEKDAY(A108,2)=7,"Domingo",IF(AND(AF108=1,AC108&gt;1),IF(COUNTIF(Festivos!$A$5:$A$451,A108+1)&gt;0,"Festivo","Domingo")&amp;" desde las 00:00",""))))</f>
        <v/>
      </c>
      <c r="J108" s="19" t="str">
        <f t="shared" si="21"/>
        <v/>
      </c>
      <c r="K108" s="19" t="str">
        <f t="shared" si="22"/>
        <v/>
      </c>
      <c r="L108" s="19" t="str">
        <f t="shared" si="23"/>
        <v/>
      </c>
      <c r="M108" s="19" t="str">
        <f t="shared" si="24"/>
        <v/>
      </c>
      <c r="N108" s="19" t="str">
        <f t="shared" si="25"/>
        <v/>
      </c>
      <c r="O108" s="19" t="str">
        <f t="shared" si="26"/>
        <v/>
      </c>
      <c r="P108" s="19" t="str">
        <f t="shared" si="27"/>
        <v/>
      </c>
      <c r="Q108" s="19" t="str">
        <f t="shared" si="28"/>
        <v/>
      </c>
      <c r="R108" s="19" t="str">
        <f t="shared" si="29"/>
        <v/>
      </c>
      <c r="S108" s="17" t="str">
        <f>IF(B108="","",IFERROR(INDEX(Trabajadores!$G$5:$G$204,MATCH(B108,Trabajadores!$A$5:$A$204,0)),""))</f>
        <v/>
      </c>
      <c r="T108" s="17" t="str">
        <f>IF(OR(OR(A108="",D108="",E108=""),S108=""),"",ROUND(S108*(N(L108)*Parámetros!$B$8+N(M108)*(1+Parámetros!$B$9)+N(N108)*(1+Parámetros!$B$10)+N(O108)*(1+AG108)+N(P108)*(1+AG108+Parámetros!$B$8)+N(Q108)*(1+AG108+Parámetros!$B$9)+N(R108)*(1+AG108+Parámetros!$B$10)),0))</f>
        <v/>
      </c>
      <c r="U108" s="5" t="str">
        <f>IF(OR(A108="",D108="",E108=""),"",IF(N(M108)+N(N108)+N(Q108)+N(R108)&gt;Parámetros!$B$12,"Supera el límite de horas extras diarias",IF(C108="Cédula no registrada","Registre la cédula en «Trabajadores»","")))</f>
        <v/>
      </c>
      <c r="X108" s="20">
        <f t="shared" si="30"/>
        <v>0</v>
      </c>
      <c r="Y108" s="20">
        <f t="shared" si="31"/>
        <v>0</v>
      </c>
      <c r="Z108" s="20">
        <f t="shared" si="32"/>
        <v>0</v>
      </c>
      <c r="AA108" s="20">
        <f t="shared" si="33"/>
        <v>0</v>
      </c>
      <c r="AB108" s="20">
        <f t="shared" si="34"/>
        <v>0</v>
      </c>
      <c r="AC108" s="20">
        <f t="shared" si="35"/>
        <v>0</v>
      </c>
      <c r="AD108" s="20">
        <f>IF(A108="",21/24,MOD(VLOOKUP(A108,Parámetros!$A$24:$B$25,2,TRUE()),1))</f>
        <v>0.875</v>
      </c>
      <c r="AE108" s="5">
        <f>IF(A108="",0,IF(OR(WEEKDAY(A108,2)=7,COUNTIF(Festivos!$A$5:$A$451,A108)&gt;0),1,0))</f>
        <v>0</v>
      </c>
      <c r="AF108" s="5">
        <f>IF(A108="",0,IF(OR(WEEKDAY(A108+1,2)=7,COUNTIF(Festivos!$A$5:$A$451,A108+1)&gt;0),1,0))</f>
        <v>0</v>
      </c>
      <c r="AG108" s="9">
        <f>IF(A108="",0,VLOOKUP(A108,Parámetros!$A$18:$B$21,2,TRUE()))</f>
        <v>0</v>
      </c>
      <c r="AH108" s="20">
        <f t="shared" si="36"/>
        <v>0</v>
      </c>
      <c r="AI108" s="20">
        <f>MAX(0,MIN(AB108,Parámetros!$B$11)-MAX(X108,0))+MAX(0,MIN(AB108,1+Parámetros!$B$11)-MAX(X108,AD108))+MAX(0,MIN(AB108,2)-MAX(X108,1+AD108))</f>
        <v>0</v>
      </c>
      <c r="AJ108" s="20">
        <f t="shared" si="37"/>
        <v>0</v>
      </c>
      <c r="AK108" s="20">
        <f>AE108*(MAX(0,MIN(AB108,Parámetros!$B$11)-MAX(X108,0))+MAX(0,MIN(AB108,1)-MAX(X108,AD108)))+AF108*(MAX(0,MIN(AB108,1+Parámetros!$B$11)-MAX(X108,1))+MAX(0,MIN(AB108,2)-MAX(X108,1+AD108)))</f>
        <v>0</v>
      </c>
      <c r="AL108" s="20">
        <f t="shared" si="38"/>
        <v>0</v>
      </c>
      <c r="AM108" s="20">
        <f>MAX(0,MIN(AC108,Parámetros!$B$11)-MAX(AB108,0))+MAX(0,MIN(AC108,1+Parámetros!$B$11)-MAX(AB108,AD108))+MAX(0,MIN(AC108,2)-MAX(AB108,1+AD108))</f>
        <v>0</v>
      </c>
      <c r="AN108" s="20">
        <f t="shared" si="39"/>
        <v>0</v>
      </c>
      <c r="AO108" s="20">
        <f>AE108*(MAX(0,MIN(AC108,Parámetros!$B$11)-MAX(AB108,0))+MAX(0,MIN(AC108,1)-MAX(AB108,AD108)))+AF108*(MAX(0,MIN(AC108,1+Parámetros!$B$11)-MAX(AB108,1))+MAX(0,MIN(AC108,2)-MAX(AB108,1+AD108)))</f>
        <v>0</v>
      </c>
    </row>
    <row r="109" spans="1:41" x14ac:dyDescent="0.25">
      <c r="A109" s="15"/>
      <c r="B109" s="8"/>
      <c r="C109" s="5" t="str">
        <f>IF(B109="","",IFERROR(INDEX(Trabajadores!$B$5:$B$204,MATCH(B109,Trabajadores!$A$5:$A$204,0)),"Cédula no registrada"))</f>
        <v/>
      </c>
      <c r="D109" s="11"/>
      <c r="E109" s="11"/>
      <c r="F109" s="8"/>
      <c r="G109" s="18" t="str">
        <f>IF(A109="","",IFERROR(INDEX(Trabajadores!$E$5:$E$204,MATCH(B109,Trabajadores!$A$5:$A$204,0))/Parámetros!$B$6,0)+IF(IFERROR(INDEX(Trabajadores!$E$5:$E$204,MATCH(B109,Trabajadores!$A$5:$A$204,0)),"")="",Parámetros!$B$7,0))</f>
        <v/>
      </c>
      <c r="H109" s="5" t="str">
        <f t="shared" si="20"/>
        <v/>
      </c>
      <c r="I109" s="5" t="str">
        <f>IF(A109="","",IF(COUNTIF(Festivos!$A$5:$A$451,A109)&gt;0,"Festivo",IF(WEEKDAY(A109,2)=7,"Domingo",IF(AND(AF109=1,AC109&gt;1),IF(COUNTIF(Festivos!$A$5:$A$451,A109+1)&gt;0,"Festivo","Domingo")&amp;" desde las 00:00",""))))</f>
        <v/>
      </c>
      <c r="J109" s="19" t="str">
        <f t="shared" si="21"/>
        <v/>
      </c>
      <c r="K109" s="19" t="str">
        <f t="shared" si="22"/>
        <v/>
      </c>
      <c r="L109" s="19" t="str">
        <f t="shared" si="23"/>
        <v/>
      </c>
      <c r="M109" s="19" t="str">
        <f t="shared" si="24"/>
        <v/>
      </c>
      <c r="N109" s="19" t="str">
        <f t="shared" si="25"/>
        <v/>
      </c>
      <c r="O109" s="19" t="str">
        <f t="shared" si="26"/>
        <v/>
      </c>
      <c r="P109" s="19" t="str">
        <f t="shared" si="27"/>
        <v/>
      </c>
      <c r="Q109" s="19" t="str">
        <f t="shared" si="28"/>
        <v/>
      </c>
      <c r="R109" s="19" t="str">
        <f t="shared" si="29"/>
        <v/>
      </c>
      <c r="S109" s="17" t="str">
        <f>IF(B109="","",IFERROR(INDEX(Trabajadores!$G$5:$G$204,MATCH(B109,Trabajadores!$A$5:$A$204,0)),""))</f>
        <v/>
      </c>
      <c r="T109" s="17" t="str">
        <f>IF(OR(OR(A109="",D109="",E109=""),S109=""),"",ROUND(S109*(N(L109)*Parámetros!$B$8+N(M109)*(1+Parámetros!$B$9)+N(N109)*(1+Parámetros!$B$10)+N(O109)*(1+AG109)+N(P109)*(1+AG109+Parámetros!$B$8)+N(Q109)*(1+AG109+Parámetros!$B$9)+N(R109)*(1+AG109+Parámetros!$B$10)),0))</f>
        <v/>
      </c>
      <c r="U109" s="5" t="str">
        <f>IF(OR(A109="",D109="",E109=""),"",IF(N(M109)+N(N109)+N(Q109)+N(R109)&gt;Parámetros!$B$12,"Supera el límite de horas extras diarias",IF(C109="Cédula no registrada","Registre la cédula en «Trabajadores»","")))</f>
        <v/>
      </c>
      <c r="X109" s="20">
        <f t="shared" si="30"/>
        <v>0</v>
      </c>
      <c r="Y109" s="20">
        <f t="shared" si="31"/>
        <v>0</v>
      </c>
      <c r="Z109" s="20">
        <f t="shared" si="32"/>
        <v>0</v>
      </c>
      <c r="AA109" s="20">
        <f t="shared" si="33"/>
        <v>0</v>
      </c>
      <c r="AB109" s="20">
        <f t="shared" si="34"/>
        <v>0</v>
      </c>
      <c r="AC109" s="20">
        <f t="shared" si="35"/>
        <v>0</v>
      </c>
      <c r="AD109" s="20">
        <f>IF(A109="",21/24,MOD(VLOOKUP(A109,Parámetros!$A$24:$B$25,2,TRUE()),1))</f>
        <v>0.875</v>
      </c>
      <c r="AE109" s="5">
        <f>IF(A109="",0,IF(OR(WEEKDAY(A109,2)=7,COUNTIF(Festivos!$A$5:$A$451,A109)&gt;0),1,0))</f>
        <v>0</v>
      </c>
      <c r="AF109" s="5">
        <f>IF(A109="",0,IF(OR(WEEKDAY(A109+1,2)=7,COUNTIF(Festivos!$A$5:$A$451,A109+1)&gt;0),1,0))</f>
        <v>0</v>
      </c>
      <c r="AG109" s="9">
        <f>IF(A109="",0,VLOOKUP(A109,Parámetros!$A$18:$B$21,2,TRUE()))</f>
        <v>0</v>
      </c>
      <c r="AH109" s="20">
        <f t="shared" si="36"/>
        <v>0</v>
      </c>
      <c r="AI109" s="20">
        <f>MAX(0,MIN(AB109,Parámetros!$B$11)-MAX(X109,0))+MAX(0,MIN(AB109,1+Parámetros!$B$11)-MAX(X109,AD109))+MAX(0,MIN(AB109,2)-MAX(X109,1+AD109))</f>
        <v>0</v>
      </c>
      <c r="AJ109" s="20">
        <f t="shared" si="37"/>
        <v>0</v>
      </c>
      <c r="AK109" s="20">
        <f>AE109*(MAX(0,MIN(AB109,Parámetros!$B$11)-MAX(X109,0))+MAX(0,MIN(AB109,1)-MAX(X109,AD109)))+AF109*(MAX(0,MIN(AB109,1+Parámetros!$B$11)-MAX(X109,1))+MAX(0,MIN(AB109,2)-MAX(X109,1+AD109)))</f>
        <v>0</v>
      </c>
      <c r="AL109" s="20">
        <f t="shared" si="38"/>
        <v>0</v>
      </c>
      <c r="AM109" s="20">
        <f>MAX(0,MIN(AC109,Parámetros!$B$11)-MAX(AB109,0))+MAX(0,MIN(AC109,1+Parámetros!$B$11)-MAX(AB109,AD109))+MAX(0,MIN(AC109,2)-MAX(AB109,1+AD109))</f>
        <v>0</v>
      </c>
      <c r="AN109" s="20">
        <f t="shared" si="39"/>
        <v>0</v>
      </c>
      <c r="AO109" s="20">
        <f>AE109*(MAX(0,MIN(AC109,Parámetros!$B$11)-MAX(AB109,0))+MAX(0,MIN(AC109,1)-MAX(AB109,AD109)))+AF109*(MAX(0,MIN(AC109,1+Parámetros!$B$11)-MAX(AB109,1))+MAX(0,MIN(AC109,2)-MAX(AB109,1+AD109)))</f>
        <v>0</v>
      </c>
    </row>
    <row r="110" spans="1:41" x14ac:dyDescent="0.25">
      <c r="A110" s="15"/>
      <c r="B110" s="8"/>
      <c r="C110" s="5" t="str">
        <f>IF(B110="","",IFERROR(INDEX(Trabajadores!$B$5:$B$204,MATCH(B110,Trabajadores!$A$5:$A$204,0)),"Cédula no registrada"))</f>
        <v/>
      </c>
      <c r="D110" s="11"/>
      <c r="E110" s="11"/>
      <c r="F110" s="8"/>
      <c r="G110" s="18" t="str">
        <f>IF(A110="","",IFERROR(INDEX(Trabajadores!$E$5:$E$204,MATCH(B110,Trabajadores!$A$5:$A$204,0))/Parámetros!$B$6,0)+IF(IFERROR(INDEX(Trabajadores!$E$5:$E$204,MATCH(B110,Trabajadores!$A$5:$A$204,0)),"")="",Parámetros!$B$7,0))</f>
        <v/>
      </c>
      <c r="H110" s="5" t="str">
        <f t="shared" si="20"/>
        <v/>
      </c>
      <c r="I110" s="5" t="str">
        <f>IF(A110="","",IF(COUNTIF(Festivos!$A$5:$A$451,A110)&gt;0,"Festivo",IF(WEEKDAY(A110,2)=7,"Domingo",IF(AND(AF110=1,AC110&gt;1),IF(COUNTIF(Festivos!$A$5:$A$451,A110+1)&gt;0,"Festivo","Domingo")&amp;" desde las 00:00",""))))</f>
        <v/>
      </c>
      <c r="J110" s="19" t="str">
        <f t="shared" si="21"/>
        <v/>
      </c>
      <c r="K110" s="19" t="str">
        <f t="shared" si="22"/>
        <v/>
      </c>
      <c r="L110" s="19" t="str">
        <f t="shared" si="23"/>
        <v/>
      </c>
      <c r="M110" s="19" t="str">
        <f t="shared" si="24"/>
        <v/>
      </c>
      <c r="N110" s="19" t="str">
        <f t="shared" si="25"/>
        <v/>
      </c>
      <c r="O110" s="19" t="str">
        <f t="shared" si="26"/>
        <v/>
      </c>
      <c r="P110" s="19" t="str">
        <f t="shared" si="27"/>
        <v/>
      </c>
      <c r="Q110" s="19" t="str">
        <f t="shared" si="28"/>
        <v/>
      </c>
      <c r="R110" s="19" t="str">
        <f t="shared" si="29"/>
        <v/>
      </c>
      <c r="S110" s="17" t="str">
        <f>IF(B110="","",IFERROR(INDEX(Trabajadores!$G$5:$G$204,MATCH(B110,Trabajadores!$A$5:$A$204,0)),""))</f>
        <v/>
      </c>
      <c r="T110" s="17" t="str">
        <f>IF(OR(OR(A110="",D110="",E110=""),S110=""),"",ROUND(S110*(N(L110)*Parámetros!$B$8+N(M110)*(1+Parámetros!$B$9)+N(N110)*(1+Parámetros!$B$10)+N(O110)*(1+AG110)+N(P110)*(1+AG110+Parámetros!$B$8)+N(Q110)*(1+AG110+Parámetros!$B$9)+N(R110)*(1+AG110+Parámetros!$B$10)),0))</f>
        <v/>
      </c>
      <c r="U110" s="5" t="str">
        <f>IF(OR(A110="",D110="",E110=""),"",IF(N(M110)+N(N110)+N(Q110)+N(R110)&gt;Parámetros!$B$12,"Supera el límite de horas extras diarias",IF(C110="Cédula no registrada","Registre la cédula en «Trabajadores»","")))</f>
        <v/>
      </c>
      <c r="X110" s="20">
        <f t="shared" si="30"/>
        <v>0</v>
      </c>
      <c r="Y110" s="20">
        <f t="shared" si="31"/>
        <v>0</v>
      </c>
      <c r="Z110" s="20">
        <f t="shared" si="32"/>
        <v>0</v>
      </c>
      <c r="AA110" s="20">
        <f t="shared" si="33"/>
        <v>0</v>
      </c>
      <c r="AB110" s="20">
        <f t="shared" si="34"/>
        <v>0</v>
      </c>
      <c r="AC110" s="20">
        <f t="shared" si="35"/>
        <v>0</v>
      </c>
      <c r="AD110" s="20">
        <f>IF(A110="",21/24,MOD(VLOOKUP(A110,Parámetros!$A$24:$B$25,2,TRUE()),1))</f>
        <v>0.875</v>
      </c>
      <c r="AE110" s="5">
        <f>IF(A110="",0,IF(OR(WEEKDAY(A110,2)=7,COUNTIF(Festivos!$A$5:$A$451,A110)&gt;0),1,0))</f>
        <v>0</v>
      </c>
      <c r="AF110" s="5">
        <f>IF(A110="",0,IF(OR(WEEKDAY(A110+1,2)=7,COUNTIF(Festivos!$A$5:$A$451,A110+1)&gt;0),1,0))</f>
        <v>0</v>
      </c>
      <c r="AG110" s="9">
        <f>IF(A110="",0,VLOOKUP(A110,Parámetros!$A$18:$B$21,2,TRUE()))</f>
        <v>0</v>
      </c>
      <c r="AH110" s="20">
        <f t="shared" si="36"/>
        <v>0</v>
      </c>
      <c r="AI110" s="20">
        <f>MAX(0,MIN(AB110,Parámetros!$B$11)-MAX(X110,0))+MAX(0,MIN(AB110,1+Parámetros!$B$11)-MAX(X110,AD110))+MAX(0,MIN(AB110,2)-MAX(X110,1+AD110))</f>
        <v>0</v>
      </c>
      <c r="AJ110" s="20">
        <f t="shared" si="37"/>
        <v>0</v>
      </c>
      <c r="AK110" s="20">
        <f>AE110*(MAX(0,MIN(AB110,Parámetros!$B$11)-MAX(X110,0))+MAX(0,MIN(AB110,1)-MAX(X110,AD110)))+AF110*(MAX(0,MIN(AB110,1+Parámetros!$B$11)-MAX(X110,1))+MAX(0,MIN(AB110,2)-MAX(X110,1+AD110)))</f>
        <v>0</v>
      </c>
      <c r="AL110" s="20">
        <f t="shared" si="38"/>
        <v>0</v>
      </c>
      <c r="AM110" s="20">
        <f>MAX(0,MIN(AC110,Parámetros!$B$11)-MAX(AB110,0))+MAX(0,MIN(AC110,1+Parámetros!$B$11)-MAX(AB110,AD110))+MAX(0,MIN(AC110,2)-MAX(AB110,1+AD110))</f>
        <v>0</v>
      </c>
      <c r="AN110" s="20">
        <f t="shared" si="39"/>
        <v>0</v>
      </c>
      <c r="AO110" s="20">
        <f>AE110*(MAX(0,MIN(AC110,Parámetros!$B$11)-MAX(AB110,0))+MAX(0,MIN(AC110,1)-MAX(AB110,AD110)))+AF110*(MAX(0,MIN(AC110,1+Parámetros!$B$11)-MAX(AB110,1))+MAX(0,MIN(AC110,2)-MAX(AB110,1+AD110)))</f>
        <v>0</v>
      </c>
    </row>
    <row r="111" spans="1:41" x14ac:dyDescent="0.25">
      <c r="A111" s="15"/>
      <c r="B111" s="8"/>
      <c r="C111" s="5" t="str">
        <f>IF(B111="","",IFERROR(INDEX(Trabajadores!$B$5:$B$204,MATCH(B111,Trabajadores!$A$5:$A$204,0)),"Cédula no registrada"))</f>
        <v/>
      </c>
      <c r="D111" s="11"/>
      <c r="E111" s="11"/>
      <c r="F111" s="8"/>
      <c r="G111" s="18" t="str">
        <f>IF(A111="","",IFERROR(INDEX(Trabajadores!$E$5:$E$204,MATCH(B111,Trabajadores!$A$5:$A$204,0))/Parámetros!$B$6,0)+IF(IFERROR(INDEX(Trabajadores!$E$5:$E$204,MATCH(B111,Trabajadores!$A$5:$A$204,0)),"")="",Parámetros!$B$7,0))</f>
        <v/>
      </c>
      <c r="H111" s="5" t="str">
        <f t="shared" si="20"/>
        <v/>
      </c>
      <c r="I111" s="5" t="str">
        <f>IF(A111="","",IF(COUNTIF(Festivos!$A$5:$A$451,A111)&gt;0,"Festivo",IF(WEEKDAY(A111,2)=7,"Domingo",IF(AND(AF111=1,AC111&gt;1),IF(COUNTIF(Festivos!$A$5:$A$451,A111+1)&gt;0,"Festivo","Domingo")&amp;" desde las 00:00",""))))</f>
        <v/>
      </c>
      <c r="J111" s="19" t="str">
        <f t="shared" si="21"/>
        <v/>
      </c>
      <c r="K111" s="19" t="str">
        <f t="shared" si="22"/>
        <v/>
      </c>
      <c r="L111" s="19" t="str">
        <f t="shared" si="23"/>
        <v/>
      </c>
      <c r="M111" s="19" t="str">
        <f t="shared" si="24"/>
        <v/>
      </c>
      <c r="N111" s="19" t="str">
        <f t="shared" si="25"/>
        <v/>
      </c>
      <c r="O111" s="19" t="str">
        <f t="shared" si="26"/>
        <v/>
      </c>
      <c r="P111" s="19" t="str">
        <f t="shared" si="27"/>
        <v/>
      </c>
      <c r="Q111" s="19" t="str">
        <f t="shared" si="28"/>
        <v/>
      </c>
      <c r="R111" s="19" t="str">
        <f t="shared" si="29"/>
        <v/>
      </c>
      <c r="S111" s="17" t="str">
        <f>IF(B111="","",IFERROR(INDEX(Trabajadores!$G$5:$G$204,MATCH(B111,Trabajadores!$A$5:$A$204,0)),""))</f>
        <v/>
      </c>
      <c r="T111" s="17" t="str">
        <f>IF(OR(OR(A111="",D111="",E111=""),S111=""),"",ROUND(S111*(N(L111)*Parámetros!$B$8+N(M111)*(1+Parámetros!$B$9)+N(N111)*(1+Parámetros!$B$10)+N(O111)*(1+AG111)+N(P111)*(1+AG111+Parámetros!$B$8)+N(Q111)*(1+AG111+Parámetros!$B$9)+N(R111)*(1+AG111+Parámetros!$B$10)),0))</f>
        <v/>
      </c>
      <c r="U111" s="5" t="str">
        <f>IF(OR(A111="",D111="",E111=""),"",IF(N(M111)+N(N111)+N(Q111)+N(R111)&gt;Parámetros!$B$12,"Supera el límite de horas extras diarias",IF(C111="Cédula no registrada","Registre la cédula en «Trabajadores»","")))</f>
        <v/>
      </c>
      <c r="X111" s="20">
        <f t="shared" si="30"/>
        <v>0</v>
      </c>
      <c r="Y111" s="20">
        <f t="shared" si="31"/>
        <v>0</v>
      </c>
      <c r="Z111" s="20">
        <f t="shared" si="32"/>
        <v>0</v>
      </c>
      <c r="AA111" s="20">
        <f t="shared" si="33"/>
        <v>0</v>
      </c>
      <c r="AB111" s="20">
        <f t="shared" si="34"/>
        <v>0</v>
      </c>
      <c r="AC111" s="20">
        <f t="shared" si="35"/>
        <v>0</v>
      </c>
      <c r="AD111" s="20">
        <f>IF(A111="",21/24,MOD(VLOOKUP(A111,Parámetros!$A$24:$B$25,2,TRUE()),1))</f>
        <v>0.875</v>
      </c>
      <c r="AE111" s="5">
        <f>IF(A111="",0,IF(OR(WEEKDAY(A111,2)=7,COUNTIF(Festivos!$A$5:$A$451,A111)&gt;0),1,0))</f>
        <v>0</v>
      </c>
      <c r="AF111" s="5">
        <f>IF(A111="",0,IF(OR(WEEKDAY(A111+1,2)=7,COUNTIF(Festivos!$A$5:$A$451,A111+1)&gt;0),1,0))</f>
        <v>0</v>
      </c>
      <c r="AG111" s="9">
        <f>IF(A111="",0,VLOOKUP(A111,Parámetros!$A$18:$B$21,2,TRUE()))</f>
        <v>0</v>
      </c>
      <c r="AH111" s="20">
        <f t="shared" si="36"/>
        <v>0</v>
      </c>
      <c r="AI111" s="20">
        <f>MAX(0,MIN(AB111,Parámetros!$B$11)-MAX(X111,0))+MAX(0,MIN(AB111,1+Parámetros!$B$11)-MAX(X111,AD111))+MAX(0,MIN(AB111,2)-MAX(X111,1+AD111))</f>
        <v>0</v>
      </c>
      <c r="AJ111" s="20">
        <f t="shared" si="37"/>
        <v>0</v>
      </c>
      <c r="AK111" s="20">
        <f>AE111*(MAX(0,MIN(AB111,Parámetros!$B$11)-MAX(X111,0))+MAX(0,MIN(AB111,1)-MAX(X111,AD111)))+AF111*(MAX(0,MIN(AB111,1+Parámetros!$B$11)-MAX(X111,1))+MAX(0,MIN(AB111,2)-MAX(X111,1+AD111)))</f>
        <v>0</v>
      </c>
      <c r="AL111" s="20">
        <f t="shared" si="38"/>
        <v>0</v>
      </c>
      <c r="AM111" s="20">
        <f>MAX(0,MIN(AC111,Parámetros!$B$11)-MAX(AB111,0))+MAX(0,MIN(AC111,1+Parámetros!$B$11)-MAX(AB111,AD111))+MAX(0,MIN(AC111,2)-MAX(AB111,1+AD111))</f>
        <v>0</v>
      </c>
      <c r="AN111" s="20">
        <f t="shared" si="39"/>
        <v>0</v>
      </c>
      <c r="AO111" s="20">
        <f>AE111*(MAX(0,MIN(AC111,Parámetros!$B$11)-MAX(AB111,0))+MAX(0,MIN(AC111,1)-MAX(AB111,AD111)))+AF111*(MAX(0,MIN(AC111,1+Parámetros!$B$11)-MAX(AB111,1))+MAX(0,MIN(AC111,2)-MAX(AB111,1+AD111)))</f>
        <v>0</v>
      </c>
    </row>
    <row r="112" spans="1:41" x14ac:dyDescent="0.25">
      <c r="A112" s="15"/>
      <c r="B112" s="8"/>
      <c r="C112" s="5" t="str">
        <f>IF(B112="","",IFERROR(INDEX(Trabajadores!$B$5:$B$204,MATCH(B112,Trabajadores!$A$5:$A$204,0)),"Cédula no registrada"))</f>
        <v/>
      </c>
      <c r="D112" s="11"/>
      <c r="E112" s="11"/>
      <c r="F112" s="8"/>
      <c r="G112" s="18" t="str">
        <f>IF(A112="","",IFERROR(INDEX(Trabajadores!$E$5:$E$204,MATCH(B112,Trabajadores!$A$5:$A$204,0))/Parámetros!$B$6,0)+IF(IFERROR(INDEX(Trabajadores!$E$5:$E$204,MATCH(B112,Trabajadores!$A$5:$A$204,0)),"")="",Parámetros!$B$7,0))</f>
        <v/>
      </c>
      <c r="H112" s="5" t="str">
        <f t="shared" si="20"/>
        <v/>
      </c>
      <c r="I112" s="5" t="str">
        <f>IF(A112="","",IF(COUNTIF(Festivos!$A$5:$A$451,A112)&gt;0,"Festivo",IF(WEEKDAY(A112,2)=7,"Domingo",IF(AND(AF112=1,AC112&gt;1),IF(COUNTIF(Festivos!$A$5:$A$451,A112+1)&gt;0,"Festivo","Domingo")&amp;" desde las 00:00",""))))</f>
        <v/>
      </c>
      <c r="J112" s="19" t="str">
        <f t="shared" si="21"/>
        <v/>
      </c>
      <c r="K112" s="19" t="str">
        <f t="shared" si="22"/>
        <v/>
      </c>
      <c r="L112" s="19" t="str">
        <f t="shared" si="23"/>
        <v/>
      </c>
      <c r="M112" s="19" t="str">
        <f t="shared" si="24"/>
        <v/>
      </c>
      <c r="N112" s="19" t="str">
        <f t="shared" si="25"/>
        <v/>
      </c>
      <c r="O112" s="19" t="str">
        <f t="shared" si="26"/>
        <v/>
      </c>
      <c r="P112" s="19" t="str">
        <f t="shared" si="27"/>
        <v/>
      </c>
      <c r="Q112" s="19" t="str">
        <f t="shared" si="28"/>
        <v/>
      </c>
      <c r="R112" s="19" t="str">
        <f t="shared" si="29"/>
        <v/>
      </c>
      <c r="S112" s="17" t="str">
        <f>IF(B112="","",IFERROR(INDEX(Trabajadores!$G$5:$G$204,MATCH(B112,Trabajadores!$A$5:$A$204,0)),""))</f>
        <v/>
      </c>
      <c r="T112" s="17" t="str">
        <f>IF(OR(OR(A112="",D112="",E112=""),S112=""),"",ROUND(S112*(N(L112)*Parámetros!$B$8+N(M112)*(1+Parámetros!$B$9)+N(N112)*(1+Parámetros!$B$10)+N(O112)*(1+AG112)+N(P112)*(1+AG112+Parámetros!$B$8)+N(Q112)*(1+AG112+Parámetros!$B$9)+N(R112)*(1+AG112+Parámetros!$B$10)),0))</f>
        <v/>
      </c>
      <c r="U112" s="5" t="str">
        <f>IF(OR(A112="",D112="",E112=""),"",IF(N(M112)+N(N112)+N(Q112)+N(R112)&gt;Parámetros!$B$12,"Supera el límite de horas extras diarias",IF(C112="Cédula no registrada","Registre la cédula en «Trabajadores»","")))</f>
        <v/>
      </c>
      <c r="X112" s="20">
        <f t="shared" si="30"/>
        <v>0</v>
      </c>
      <c r="Y112" s="20">
        <f t="shared" si="31"/>
        <v>0</v>
      </c>
      <c r="Z112" s="20">
        <f t="shared" si="32"/>
        <v>0</v>
      </c>
      <c r="AA112" s="20">
        <f t="shared" si="33"/>
        <v>0</v>
      </c>
      <c r="AB112" s="20">
        <f t="shared" si="34"/>
        <v>0</v>
      </c>
      <c r="AC112" s="20">
        <f t="shared" si="35"/>
        <v>0</v>
      </c>
      <c r="AD112" s="20">
        <f>IF(A112="",21/24,MOD(VLOOKUP(A112,Parámetros!$A$24:$B$25,2,TRUE()),1))</f>
        <v>0.875</v>
      </c>
      <c r="AE112" s="5">
        <f>IF(A112="",0,IF(OR(WEEKDAY(A112,2)=7,COUNTIF(Festivos!$A$5:$A$451,A112)&gt;0),1,0))</f>
        <v>0</v>
      </c>
      <c r="AF112" s="5">
        <f>IF(A112="",0,IF(OR(WEEKDAY(A112+1,2)=7,COUNTIF(Festivos!$A$5:$A$451,A112+1)&gt;0),1,0))</f>
        <v>0</v>
      </c>
      <c r="AG112" s="9">
        <f>IF(A112="",0,VLOOKUP(A112,Parámetros!$A$18:$B$21,2,TRUE()))</f>
        <v>0</v>
      </c>
      <c r="AH112" s="20">
        <f t="shared" si="36"/>
        <v>0</v>
      </c>
      <c r="AI112" s="20">
        <f>MAX(0,MIN(AB112,Parámetros!$B$11)-MAX(X112,0))+MAX(0,MIN(AB112,1+Parámetros!$B$11)-MAX(X112,AD112))+MAX(0,MIN(AB112,2)-MAX(X112,1+AD112))</f>
        <v>0</v>
      </c>
      <c r="AJ112" s="20">
        <f t="shared" si="37"/>
        <v>0</v>
      </c>
      <c r="AK112" s="20">
        <f>AE112*(MAX(0,MIN(AB112,Parámetros!$B$11)-MAX(X112,0))+MAX(0,MIN(AB112,1)-MAX(X112,AD112)))+AF112*(MAX(0,MIN(AB112,1+Parámetros!$B$11)-MAX(X112,1))+MAX(0,MIN(AB112,2)-MAX(X112,1+AD112)))</f>
        <v>0</v>
      </c>
      <c r="AL112" s="20">
        <f t="shared" si="38"/>
        <v>0</v>
      </c>
      <c r="AM112" s="20">
        <f>MAX(0,MIN(AC112,Parámetros!$B$11)-MAX(AB112,0))+MAX(0,MIN(AC112,1+Parámetros!$B$11)-MAX(AB112,AD112))+MAX(0,MIN(AC112,2)-MAX(AB112,1+AD112))</f>
        <v>0</v>
      </c>
      <c r="AN112" s="20">
        <f t="shared" si="39"/>
        <v>0</v>
      </c>
      <c r="AO112" s="20">
        <f>AE112*(MAX(0,MIN(AC112,Parámetros!$B$11)-MAX(AB112,0))+MAX(0,MIN(AC112,1)-MAX(AB112,AD112)))+AF112*(MAX(0,MIN(AC112,1+Parámetros!$B$11)-MAX(AB112,1))+MAX(0,MIN(AC112,2)-MAX(AB112,1+AD112)))</f>
        <v>0</v>
      </c>
    </row>
    <row r="113" spans="1:41" x14ac:dyDescent="0.25">
      <c r="A113" s="15"/>
      <c r="B113" s="8"/>
      <c r="C113" s="5" t="str">
        <f>IF(B113="","",IFERROR(INDEX(Trabajadores!$B$5:$B$204,MATCH(B113,Trabajadores!$A$5:$A$204,0)),"Cédula no registrada"))</f>
        <v/>
      </c>
      <c r="D113" s="11"/>
      <c r="E113" s="11"/>
      <c r="F113" s="8"/>
      <c r="G113" s="18" t="str">
        <f>IF(A113="","",IFERROR(INDEX(Trabajadores!$E$5:$E$204,MATCH(B113,Trabajadores!$A$5:$A$204,0))/Parámetros!$B$6,0)+IF(IFERROR(INDEX(Trabajadores!$E$5:$E$204,MATCH(B113,Trabajadores!$A$5:$A$204,0)),"")="",Parámetros!$B$7,0))</f>
        <v/>
      </c>
      <c r="H113" s="5" t="str">
        <f t="shared" si="20"/>
        <v/>
      </c>
      <c r="I113" s="5" t="str">
        <f>IF(A113="","",IF(COUNTIF(Festivos!$A$5:$A$451,A113)&gt;0,"Festivo",IF(WEEKDAY(A113,2)=7,"Domingo",IF(AND(AF113=1,AC113&gt;1),IF(COUNTIF(Festivos!$A$5:$A$451,A113+1)&gt;0,"Festivo","Domingo")&amp;" desde las 00:00",""))))</f>
        <v/>
      </c>
      <c r="J113" s="19" t="str">
        <f t="shared" si="21"/>
        <v/>
      </c>
      <c r="K113" s="19" t="str">
        <f t="shared" si="22"/>
        <v/>
      </c>
      <c r="L113" s="19" t="str">
        <f t="shared" si="23"/>
        <v/>
      </c>
      <c r="M113" s="19" t="str">
        <f t="shared" si="24"/>
        <v/>
      </c>
      <c r="N113" s="19" t="str">
        <f t="shared" si="25"/>
        <v/>
      </c>
      <c r="O113" s="19" t="str">
        <f t="shared" si="26"/>
        <v/>
      </c>
      <c r="P113" s="19" t="str">
        <f t="shared" si="27"/>
        <v/>
      </c>
      <c r="Q113" s="19" t="str">
        <f t="shared" si="28"/>
        <v/>
      </c>
      <c r="R113" s="19" t="str">
        <f t="shared" si="29"/>
        <v/>
      </c>
      <c r="S113" s="17" t="str">
        <f>IF(B113="","",IFERROR(INDEX(Trabajadores!$G$5:$G$204,MATCH(B113,Trabajadores!$A$5:$A$204,0)),""))</f>
        <v/>
      </c>
      <c r="T113" s="17" t="str">
        <f>IF(OR(OR(A113="",D113="",E113=""),S113=""),"",ROUND(S113*(N(L113)*Parámetros!$B$8+N(M113)*(1+Parámetros!$B$9)+N(N113)*(1+Parámetros!$B$10)+N(O113)*(1+AG113)+N(P113)*(1+AG113+Parámetros!$B$8)+N(Q113)*(1+AG113+Parámetros!$B$9)+N(R113)*(1+AG113+Parámetros!$B$10)),0))</f>
        <v/>
      </c>
      <c r="U113" s="5" t="str">
        <f>IF(OR(A113="",D113="",E113=""),"",IF(N(M113)+N(N113)+N(Q113)+N(R113)&gt;Parámetros!$B$12,"Supera el límite de horas extras diarias",IF(C113="Cédula no registrada","Registre la cédula en «Trabajadores»","")))</f>
        <v/>
      </c>
      <c r="X113" s="20">
        <f t="shared" si="30"/>
        <v>0</v>
      </c>
      <c r="Y113" s="20">
        <f t="shared" si="31"/>
        <v>0</v>
      </c>
      <c r="Z113" s="20">
        <f t="shared" si="32"/>
        <v>0</v>
      </c>
      <c r="AA113" s="20">
        <f t="shared" si="33"/>
        <v>0</v>
      </c>
      <c r="AB113" s="20">
        <f t="shared" si="34"/>
        <v>0</v>
      </c>
      <c r="AC113" s="20">
        <f t="shared" si="35"/>
        <v>0</v>
      </c>
      <c r="AD113" s="20">
        <f>IF(A113="",21/24,MOD(VLOOKUP(A113,Parámetros!$A$24:$B$25,2,TRUE()),1))</f>
        <v>0.875</v>
      </c>
      <c r="AE113" s="5">
        <f>IF(A113="",0,IF(OR(WEEKDAY(A113,2)=7,COUNTIF(Festivos!$A$5:$A$451,A113)&gt;0),1,0))</f>
        <v>0</v>
      </c>
      <c r="AF113" s="5">
        <f>IF(A113="",0,IF(OR(WEEKDAY(A113+1,2)=7,COUNTIF(Festivos!$A$5:$A$451,A113+1)&gt;0),1,0))</f>
        <v>0</v>
      </c>
      <c r="AG113" s="9">
        <f>IF(A113="",0,VLOOKUP(A113,Parámetros!$A$18:$B$21,2,TRUE()))</f>
        <v>0</v>
      </c>
      <c r="AH113" s="20">
        <f t="shared" si="36"/>
        <v>0</v>
      </c>
      <c r="AI113" s="20">
        <f>MAX(0,MIN(AB113,Parámetros!$B$11)-MAX(X113,0))+MAX(0,MIN(AB113,1+Parámetros!$B$11)-MAX(X113,AD113))+MAX(0,MIN(AB113,2)-MAX(X113,1+AD113))</f>
        <v>0</v>
      </c>
      <c r="AJ113" s="20">
        <f t="shared" si="37"/>
        <v>0</v>
      </c>
      <c r="AK113" s="20">
        <f>AE113*(MAX(0,MIN(AB113,Parámetros!$B$11)-MAX(X113,0))+MAX(0,MIN(AB113,1)-MAX(X113,AD113)))+AF113*(MAX(0,MIN(AB113,1+Parámetros!$B$11)-MAX(X113,1))+MAX(0,MIN(AB113,2)-MAX(X113,1+AD113)))</f>
        <v>0</v>
      </c>
      <c r="AL113" s="20">
        <f t="shared" si="38"/>
        <v>0</v>
      </c>
      <c r="AM113" s="20">
        <f>MAX(0,MIN(AC113,Parámetros!$B$11)-MAX(AB113,0))+MAX(0,MIN(AC113,1+Parámetros!$B$11)-MAX(AB113,AD113))+MAX(0,MIN(AC113,2)-MAX(AB113,1+AD113))</f>
        <v>0</v>
      </c>
      <c r="AN113" s="20">
        <f t="shared" si="39"/>
        <v>0</v>
      </c>
      <c r="AO113" s="20">
        <f>AE113*(MAX(0,MIN(AC113,Parámetros!$B$11)-MAX(AB113,0))+MAX(0,MIN(AC113,1)-MAX(AB113,AD113)))+AF113*(MAX(0,MIN(AC113,1+Parámetros!$B$11)-MAX(AB113,1))+MAX(0,MIN(AC113,2)-MAX(AB113,1+AD113)))</f>
        <v>0</v>
      </c>
    </row>
    <row r="114" spans="1:41" x14ac:dyDescent="0.25">
      <c r="A114" s="15"/>
      <c r="B114" s="8"/>
      <c r="C114" s="5" t="str">
        <f>IF(B114="","",IFERROR(INDEX(Trabajadores!$B$5:$B$204,MATCH(B114,Trabajadores!$A$5:$A$204,0)),"Cédula no registrada"))</f>
        <v/>
      </c>
      <c r="D114" s="11"/>
      <c r="E114" s="11"/>
      <c r="F114" s="8"/>
      <c r="G114" s="18" t="str">
        <f>IF(A114="","",IFERROR(INDEX(Trabajadores!$E$5:$E$204,MATCH(B114,Trabajadores!$A$5:$A$204,0))/Parámetros!$B$6,0)+IF(IFERROR(INDEX(Trabajadores!$E$5:$E$204,MATCH(B114,Trabajadores!$A$5:$A$204,0)),"")="",Parámetros!$B$7,0))</f>
        <v/>
      </c>
      <c r="H114" s="5" t="str">
        <f t="shared" si="20"/>
        <v/>
      </c>
      <c r="I114" s="5" t="str">
        <f>IF(A114="","",IF(COUNTIF(Festivos!$A$5:$A$451,A114)&gt;0,"Festivo",IF(WEEKDAY(A114,2)=7,"Domingo",IF(AND(AF114=1,AC114&gt;1),IF(COUNTIF(Festivos!$A$5:$A$451,A114+1)&gt;0,"Festivo","Domingo")&amp;" desde las 00:00",""))))</f>
        <v/>
      </c>
      <c r="J114" s="19" t="str">
        <f t="shared" si="21"/>
        <v/>
      </c>
      <c r="K114" s="19" t="str">
        <f t="shared" si="22"/>
        <v/>
      </c>
      <c r="L114" s="19" t="str">
        <f t="shared" si="23"/>
        <v/>
      </c>
      <c r="M114" s="19" t="str">
        <f t="shared" si="24"/>
        <v/>
      </c>
      <c r="N114" s="19" t="str">
        <f t="shared" si="25"/>
        <v/>
      </c>
      <c r="O114" s="19" t="str">
        <f t="shared" si="26"/>
        <v/>
      </c>
      <c r="P114" s="19" t="str">
        <f t="shared" si="27"/>
        <v/>
      </c>
      <c r="Q114" s="19" t="str">
        <f t="shared" si="28"/>
        <v/>
      </c>
      <c r="R114" s="19" t="str">
        <f t="shared" si="29"/>
        <v/>
      </c>
      <c r="S114" s="17" t="str">
        <f>IF(B114="","",IFERROR(INDEX(Trabajadores!$G$5:$G$204,MATCH(B114,Trabajadores!$A$5:$A$204,0)),""))</f>
        <v/>
      </c>
      <c r="T114" s="17" t="str">
        <f>IF(OR(OR(A114="",D114="",E114=""),S114=""),"",ROUND(S114*(N(L114)*Parámetros!$B$8+N(M114)*(1+Parámetros!$B$9)+N(N114)*(1+Parámetros!$B$10)+N(O114)*(1+AG114)+N(P114)*(1+AG114+Parámetros!$B$8)+N(Q114)*(1+AG114+Parámetros!$B$9)+N(R114)*(1+AG114+Parámetros!$B$10)),0))</f>
        <v/>
      </c>
      <c r="U114" s="5" t="str">
        <f>IF(OR(A114="",D114="",E114=""),"",IF(N(M114)+N(N114)+N(Q114)+N(R114)&gt;Parámetros!$B$12,"Supera el límite de horas extras diarias",IF(C114="Cédula no registrada","Registre la cédula en «Trabajadores»","")))</f>
        <v/>
      </c>
      <c r="X114" s="20">
        <f t="shared" si="30"/>
        <v>0</v>
      </c>
      <c r="Y114" s="20">
        <f t="shared" si="31"/>
        <v>0</v>
      </c>
      <c r="Z114" s="20">
        <f t="shared" si="32"/>
        <v>0</v>
      </c>
      <c r="AA114" s="20">
        <f t="shared" si="33"/>
        <v>0</v>
      </c>
      <c r="AB114" s="20">
        <f t="shared" si="34"/>
        <v>0</v>
      </c>
      <c r="AC114" s="20">
        <f t="shared" si="35"/>
        <v>0</v>
      </c>
      <c r="AD114" s="20">
        <f>IF(A114="",21/24,MOD(VLOOKUP(A114,Parámetros!$A$24:$B$25,2,TRUE()),1))</f>
        <v>0.875</v>
      </c>
      <c r="AE114" s="5">
        <f>IF(A114="",0,IF(OR(WEEKDAY(A114,2)=7,COUNTIF(Festivos!$A$5:$A$451,A114)&gt;0),1,0))</f>
        <v>0</v>
      </c>
      <c r="AF114" s="5">
        <f>IF(A114="",0,IF(OR(WEEKDAY(A114+1,2)=7,COUNTIF(Festivos!$A$5:$A$451,A114+1)&gt;0),1,0))</f>
        <v>0</v>
      </c>
      <c r="AG114" s="9">
        <f>IF(A114="",0,VLOOKUP(A114,Parámetros!$A$18:$B$21,2,TRUE()))</f>
        <v>0</v>
      </c>
      <c r="AH114" s="20">
        <f t="shared" si="36"/>
        <v>0</v>
      </c>
      <c r="AI114" s="20">
        <f>MAX(0,MIN(AB114,Parámetros!$B$11)-MAX(X114,0))+MAX(0,MIN(AB114,1+Parámetros!$B$11)-MAX(X114,AD114))+MAX(0,MIN(AB114,2)-MAX(X114,1+AD114))</f>
        <v>0</v>
      </c>
      <c r="AJ114" s="20">
        <f t="shared" si="37"/>
        <v>0</v>
      </c>
      <c r="AK114" s="20">
        <f>AE114*(MAX(0,MIN(AB114,Parámetros!$B$11)-MAX(X114,0))+MAX(0,MIN(AB114,1)-MAX(X114,AD114)))+AF114*(MAX(0,MIN(AB114,1+Parámetros!$B$11)-MAX(X114,1))+MAX(0,MIN(AB114,2)-MAX(X114,1+AD114)))</f>
        <v>0</v>
      </c>
      <c r="AL114" s="20">
        <f t="shared" si="38"/>
        <v>0</v>
      </c>
      <c r="AM114" s="20">
        <f>MAX(0,MIN(AC114,Parámetros!$B$11)-MAX(AB114,0))+MAX(0,MIN(AC114,1+Parámetros!$B$11)-MAX(AB114,AD114))+MAX(0,MIN(AC114,2)-MAX(AB114,1+AD114))</f>
        <v>0</v>
      </c>
      <c r="AN114" s="20">
        <f t="shared" si="39"/>
        <v>0</v>
      </c>
      <c r="AO114" s="20">
        <f>AE114*(MAX(0,MIN(AC114,Parámetros!$B$11)-MAX(AB114,0))+MAX(0,MIN(AC114,1)-MAX(AB114,AD114)))+AF114*(MAX(0,MIN(AC114,1+Parámetros!$B$11)-MAX(AB114,1))+MAX(0,MIN(AC114,2)-MAX(AB114,1+AD114)))</f>
        <v>0</v>
      </c>
    </row>
    <row r="115" spans="1:41" x14ac:dyDescent="0.25">
      <c r="A115" s="15"/>
      <c r="B115" s="8"/>
      <c r="C115" s="5" t="str">
        <f>IF(B115="","",IFERROR(INDEX(Trabajadores!$B$5:$B$204,MATCH(B115,Trabajadores!$A$5:$A$204,0)),"Cédula no registrada"))</f>
        <v/>
      </c>
      <c r="D115" s="11"/>
      <c r="E115" s="11"/>
      <c r="F115" s="8"/>
      <c r="G115" s="18" t="str">
        <f>IF(A115="","",IFERROR(INDEX(Trabajadores!$E$5:$E$204,MATCH(B115,Trabajadores!$A$5:$A$204,0))/Parámetros!$B$6,0)+IF(IFERROR(INDEX(Trabajadores!$E$5:$E$204,MATCH(B115,Trabajadores!$A$5:$A$204,0)),"")="",Parámetros!$B$7,0))</f>
        <v/>
      </c>
      <c r="H115" s="5" t="str">
        <f t="shared" si="20"/>
        <v/>
      </c>
      <c r="I115" s="5" t="str">
        <f>IF(A115="","",IF(COUNTIF(Festivos!$A$5:$A$451,A115)&gt;0,"Festivo",IF(WEEKDAY(A115,2)=7,"Domingo",IF(AND(AF115=1,AC115&gt;1),IF(COUNTIF(Festivos!$A$5:$A$451,A115+1)&gt;0,"Festivo","Domingo")&amp;" desde las 00:00",""))))</f>
        <v/>
      </c>
      <c r="J115" s="19" t="str">
        <f t="shared" si="21"/>
        <v/>
      </c>
      <c r="K115" s="19" t="str">
        <f t="shared" si="22"/>
        <v/>
      </c>
      <c r="L115" s="19" t="str">
        <f t="shared" si="23"/>
        <v/>
      </c>
      <c r="M115" s="19" t="str">
        <f t="shared" si="24"/>
        <v/>
      </c>
      <c r="N115" s="19" t="str">
        <f t="shared" si="25"/>
        <v/>
      </c>
      <c r="O115" s="19" t="str">
        <f t="shared" si="26"/>
        <v/>
      </c>
      <c r="P115" s="19" t="str">
        <f t="shared" si="27"/>
        <v/>
      </c>
      <c r="Q115" s="19" t="str">
        <f t="shared" si="28"/>
        <v/>
      </c>
      <c r="R115" s="19" t="str">
        <f t="shared" si="29"/>
        <v/>
      </c>
      <c r="S115" s="17" t="str">
        <f>IF(B115="","",IFERROR(INDEX(Trabajadores!$G$5:$G$204,MATCH(B115,Trabajadores!$A$5:$A$204,0)),""))</f>
        <v/>
      </c>
      <c r="T115" s="17" t="str">
        <f>IF(OR(OR(A115="",D115="",E115=""),S115=""),"",ROUND(S115*(N(L115)*Parámetros!$B$8+N(M115)*(1+Parámetros!$B$9)+N(N115)*(1+Parámetros!$B$10)+N(O115)*(1+AG115)+N(P115)*(1+AG115+Parámetros!$B$8)+N(Q115)*(1+AG115+Parámetros!$B$9)+N(R115)*(1+AG115+Parámetros!$B$10)),0))</f>
        <v/>
      </c>
      <c r="U115" s="5" t="str">
        <f>IF(OR(A115="",D115="",E115=""),"",IF(N(M115)+N(N115)+N(Q115)+N(R115)&gt;Parámetros!$B$12,"Supera el límite de horas extras diarias",IF(C115="Cédula no registrada","Registre la cédula en «Trabajadores»","")))</f>
        <v/>
      </c>
      <c r="X115" s="20">
        <f t="shared" si="30"/>
        <v>0</v>
      </c>
      <c r="Y115" s="20">
        <f t="shared" si="31"/>
        <v>0</v>
      </c>
      <c r="Z115" s="20">
        <f t="shared" si="32"/>
        <v>0</v>
      </c>
      <c r="AA115" s="20">
        <f t="shared" si="33"/>
        <v>0</v>
      </c>
      <c r="AB115" s="20">
        <f t="shared" si="34"/>
        <v>0</v>
      </c>
      <c r="AC115" s="20">
        <f t="shared" si="35"/>
        <v>0</v>
      </c>
      <c r="AD115" s="20">
        <f>IF(A115="",21/24,MOD(VLOOKUP(A115,Parámetros!$A$24:$B$25,2,TRUE()),1))</f>
        <v>0.875</v>
      </c>
      <c r="AE115" s="5">
        <f>IF(A115="",0,IF(OR(WEEKDAY(A115,2)=7,COUNTIF(Festivos!$A$5:$A$451,A115)&gt;0),1,0))</f>
        <v>0</v>
      </c>
      <c r="AF115" s="5">
        <f>IF(A115="",0,IF(OR(WEEKDAY(A115+1,2)=7,COUNTIF(Festivos!$A$5:$A$451,A115+1)&gt;0),1,0))</f>
        <v>0</v>
      </c>
      <c r="AG115" s="9">
        <f>IF(A115="",0,VLOOKUP(A115,Parámetros!$A$18:$B$21,2,TRUE()))</f>
        <v>0</v>
      </c>
      <c r="AH115" s="20">
        <f t="shared" si="36"/>
        <v>0</v>
      </c>
      <c r="AI115" s="20">
        <f>MAX(0,MIN(AB115,Parámetros!$B$11)-MAX(X115,0))+MAX(0,MIN(AB115,1+Parámetros!$B$11)-MAX(X115,AD115))+MAX(0,MIN(AB115,2)-MAX(X115,1+AD115))</f>
        <v>0</v>
      </c>
      <c r="AJ115" s="20">
        <f t="shared" si="37"/>
        <v>0</v>
      </c>
      <c r="AK115" s="20">
        <f>AE115*(MAX(0,MIN(AB115,Parámetros!$B$11)-MAX(X115,0))+MAX(0,MIN(AB115,1)-MAX(X115,AD115)))+AF115*(MAX(0,MIN(AB115,1+Parámetros!$B$11)-MAX(X115,1))+MAX(0,MIN(AB115,2)-MAX(X115,1+AD115)))</f>
        <v>0</v>
      </c>
      <c r="AL115" s="20">
        <f t="shared" si="38"/>
        <v>0</v>
      </c>
      <c r="AM115" s="20">
        <f>MAX(0,MIN(AC115,Parámetros!$B$11)-MAX(AB115,0))+MAX(0,MIN(AC115,1+Parámetros!$B$11)-MAX(AB115,AD115))+MAX(0,MIN(AC115,2)-MAX(AB115,1+AD115))</f>
        <v>0</v>
      </c>
      <c r="AN115" s="20">
        <f t="shared" si="39"/>
        <v>0</v>
      </c>
      <c r="AO115" s="20">
        <f>AE115*(MAX(0,MIN(AC115,Parámetros!$B$11)-MAX(AB115,0))+MAX(0,MIN(AC115,1)-MAX(AB115,AD115)))+AF115*(MAX(0,MIN(AC115,1+Parámetros!$B$11)-MAX(AB115,1))+MAX(0,MIN(AC115,2)-MAX(AB115,1+AD115)))</f>
        <v>0</v>
      </c>
    </row>
    <row r="116" spans="1:41" x14ac:dyDescent="0.25">
      <c r="A116" s="15"/>
      <c r="B116" s="8"/>
      <c r="C116" s="5" t="str">
        <f>IF(B116="","",IFERROR(INDEX(Trabajadores!$B$5:$B$204,MATCH(B116,Trabajadores!$A$5:$A$204,0)),"Cédula no registrada"))</f>
        <v/>
      </c>
      <c r="D116" s="11"/>
      <c r="E116" s="11"/>
      <c r="F116" s="8"/>
      <c r="G116" s="18" t="str">
        <f>IF(A116="","",IFERROR(INDEX(Trabajadores!$E$5:$E$204,MATCH(B116,Trabajadores!$A$5:$A$204,0))/Parámetros!$B$6,0)+IF(IFERROR(INDEX(Trabajadores!$E$5:$E$204,MATCH(B116,Trabajadores!$A$5:$A$204,0)),"")="",Parámetros!$B$7,0))</f>
        <v/>
      </c>
      <c r="H116" s="5" t="str">
        <f t="shared" si="20"/>
        <v/>
      </c>
      <c r="I116" s="5" t="str">
        <f>IF(A116="","",IF(COUNTIF(Festivos!$A$5:$A$451,A116)&gt;0,"Festivo",IF(WEEKDAY(A116,2)=7,"Domingo",IF(AND(AF116=1,AC116&gt;1),IF(COUNTIF(Festivos!$A$5:$A$451,A116+1)&gt;0,"Festivo","Domingo")&amp;" desde las 00:00",""))))</f>
        <v/>
      </c>
      <c r="J116" s="19" t="str">
        <f t="shared" si="21"/>
        <v/>
      </c>
      <c r="K116" s="19" t="str">
        <f t="shared" si="22"/>
        <v/>
      </c>
      <c r="L116" s="19" t="str">
        <f t="shared" si="23"/>
        <v/>
      </c>
      <c r="M116" s="19" t="str">
        <f t="shared" si="24"/>
        <v/>
      </c>
      <c r="N116" s="19" t="str">
        <f t="shared" si="25"/>
        <v/>
      </c>
      <c r="O116" s="19" t="str">
        <f t="shared" si="26"/>
        <v/>
      </c>
      <c r="P116" s="19" t="str">
        <f t="shared" si="27"/>
        <v/>
      </c>
      <c r="Q116" s="19" t="str">
        <f t="shared" si="28"/>
        <v/>
      </c>
      <c r="R116" s="19" t="str">
        <f t="shared" si="29"/>
        <v/>
      </c>
      <c r="S116" s="17" t="str">
        <f>IF(B116="","",IFERROR(INDEX(Trabajadores!$G$5:$G$204,MATCH(B116,Trabajadores!$A$5:$A$204,0)),""))</f>
        <v/>
      </c>
      <c r="T116" s="17" t="str">
        <f>IF(OR(OR(A116="",D116="",E116=""),S116=""),"",ROUND(S116*(N(L116)*Parámetros!$B$8+N(M116)*(1+Parámetros!$B$9)+N(N116)*(1+Parámetros!$B$10)+N(O116)*(1+AG116)+N(P116)*(1+AG116+Parámetros!$B$8)+N(Q116)*(1+AG116+Parámetros!$B$9)+N(R116)*(1+AG116+Parámetros!$B$10)),0))</f>
        <v/>
      </c>
      <c r="U116" s="5" t="str">
        <f>IF(OR(A116="",D116="",E116=""),"",IF(N(M116)+N(N116)+N(Q116)+N(R116)&gt;Parámetros!$B$12,"Supera el límite de horas extras diarias",IF(C116="Cédula no registrada","Registre la cédula en «Trabajadores»","")))</f>
        <v/>
      </c>
      <c r="X116" s="20">
        <f t="shared" si="30"/>
        <v>0</v>
      </c>
      <c r="Y116" s="20">
        <f t="shared" si="31"/>
        <v>0</v>
      </c>
      <c r="Z116" s="20">
        <f t="shared" si="32"/>
        <v>0</v>
      </c>
      <c r="AA116" s="20">
        <f t="shared" si="33"/>
        <v>0</v>
      </c>
      <c r="AB116" s="20">
        <f t="shared" si="34"/>
        <v>0</v>
      </c>
      <c r="AC116" s="20">
        <f t="shared" si="35"/>
        <v>0</v>
      </c>
      <c r="AD116" s="20">
        <f>IF(A116="",21/24,MOD(VLOOKUP(A116,Parámetros!$A$24:$B$25,2,TRUE()),1))</f>
        <v>0.875</v>
      </c>
      <c r="AE116" s="5">
        <f>IF(A116="",0,IF(OR(WEEKDAY(A116,2)=7,COUNTIF(Festivos!$A$5:$A$451,A116)&gt;0),1,0))</f>
        <v>0</v>
      </c>
      <c r="AF116" s="5">
        <f>IF(A116="",0,IF(OR(WEEKDAY(A116+1,2)=7,COUNTIF(Festivos!$A$5:$A$451,A116+1)&gt;0),1,0))</f>
        <v>0</v>
      </c>
      <c r="AG116" s="9">
        <f>IF(A116="",0,VLOOKUP(A116,Parámetros!$A$18:$B$21,2,TRUE()))</f>
        <v>0</v>
      </c>
      <c r="AH116" s="20">
        <f t="shared" si="36"/>
        <v>0</v>
      </c>
      <c r="AI116" s="20">
        <f>MAX(0,MIN(AB116,Parámetros!$B$11)-MAX(X116,0))+MAX(0,MIN(AB116,1+Parámetros!$B$11)-MAX(X116,AD116))+MAX(0,MIN(AB116,2)-MAX(X116,1+AD116))</f>
        <v>0</v>
      </c>
      <c r="AJ116" s="20">
        <f t="shared" si="37"/>
        <v>0</v>
      </c>
      <c r="AK116" s="20">
        <f>AE116*(MAX(0,MIN(AB116,Parámetros!$B$11)-MAX(X116,0))+MAX(0,MIN(AB116,1)-MAX(X116,AD116)))+AF116*(MAX(0,MIN(AB116,1+Parámetros!$B$11)-MAX(X116,1))+MAX(0,MIN(AB116,2)-MAX(X116,1+AD116)))</f>
        <v>0</v>
      </c>
      <c r="AL116" s="20">
        <f t="shared" si="38"/>
        <v>0</v>
      </c>
      <c r="AM116" s="20">
        <f>MAX(0,MIN(AC116,Parámetros!$B$11)-MAX(AB116,0))+MAX(0,MIN(AC116,1+Parámetros!$B$11)-MAX(AB116,AD116))+MAX(0,MIN(AC116,2)-MAX(AB116,1+AD116))</f>
        <v>0</v>
      </c>
      <c r="AN116" s="20">
        <f t="shared" si="39"/>
        <v>0</v>
      </c>
      <c r="AO116" s="20">
        <f>AE116*(MAX(0,MIN(AC116,Parámetros!$B$11)-MAX(AB116,0))+MAX(0,MIN(AC116,1)-MAX(AB116,AD116)))+AF116*(MAX(0,MIN(AC116,1+Parámetros!$B$11)-MAX(AB116,1))+MAX(0,MIN(AC116,2)-MAX(AB116,1+AD116)))</f>
        <v>0</v>
      </c>
    </row>
    <row r="117" spans="1:41" x14ac:dyDescent="0.25">
      <c r="A117" s="15"/>
      <c r="B117" s="8"/>
      <c r="C117" s="5" t="str">
        <f>IF(B117="","",IFERROR(INDEX(Trabajadores!$B$5:$B$204,MATCH(B117,Trabajadores!$A$5:$A$204,0)),"Cédula no registrada"))</f>
        <v/>
      </c>
      <c r="D117" s="11"/>
      <c r="E117" s="11"/>
      <c r="F117" s="8"/>
      <c r="G117" s="18" t="str">
        <f>IF(A117="","",IFERROR(INDEX(Trabajadores!$E$5:$E$204,MATCH(B117,Trabajadores!$A$5:$A$204,0))/Parámetros!$B$6,0)+IF(IFERROR(INDEX(Trabajadores!$E$5:$E$204,MATCH(B117,Trabajadores!$A$5:$A$204,0)),"")="",Parámetros!$B$7,0))</f>
        <v/>
      </c>
      <c r="H117" s="5" t="str">
        <f t="shared" si="20"/>
        <v/>
      </c>
      <c r="I117" s="5" t="str">
        <f>IF(A117="","",IF(COUNTIF(Festivos!$A$5:$A$451,A117)&gt;0,"Festivo",IF(WEEKDAY(A117,2)=7,"Domingo",IF(AND(AF117=1,AC117&gt;1),IF(COUNTIF(Festivos!$A$5:$A$451,A117+1)&gt;0,"Festivo","Domingo")&amp;" desde las 00:00",""))))</f>
        <v/>
      </c>
      <c r="J117" s="19" t="str">
        <f t="shared" si="21"/>
        <v/>
      </c>
      <c r="K117" s="19" t="str">
        <f t="shared" si="22"/>
        <v/>
      </c>
      <c r="L117" s="19" t="str">
        <f t="shared" si="23"/>
        <v/>
      </c>
      <c r="M117" s="19" t="str">
        <f t="shared" si="24"/>
        <v/>
      </c>
      <c r="N117" s="19" t="str">
        <f t="shared" si="25"/>
        <v/>
      </c>
      <c r="O117" s="19" t="str">
        <f t="shared" si="26"/>
        <v/>
      </c>
      <c r="P117" s="19" t="str">
        <f t="shared" si="27"/>
        <v/>
      </c>
      <c r="Q117" s="19" t="str">
        <f t="shared" si="28"/>
        <v/>
      </c>
      <c r="R117" s="19" t="str">
        <f t="shared" si="29"/>
        <v/>
      </c>
      <c r="S117" s="17" t="str">
        <f>IF(B117="","",IFERROR(INDEX(Trabajadores!$G$5:$G$204,MATCH(B117,Trabajadores!$A$5:$A$204,0)),""))</f>
        <v/>
      </c>
      <c r="T117" s="17" t="str">
        <f>IF(OR(OR(A117="",D117="",E117=""),S117=""),"",ROUND(S117*(N(L117)*Parámetros!$B$8+N(M117)*(1+Parámetros!$B$9)+N(N117)*(1+Parámetros!$B$10)+N(O117)*(1+AG117)+N(P117)*(1+AG117+Parámetros!$B$8)+N(Q117)*(1+AG117+Parámetros!$B$9)+N(R117)*(1+AG117+Parámetros!$B$10)),0))</f>
        <v/>
      </c>
      <c r="U117" s="5" t="str">
        <f>IF(OR(A117="",D117="",E117=""),"",IF(N(M117)+N(N117)+N(Q117)+N(R117)&gt;Parámetros!$B$12,"Supera el límite de horas extras diarias",IF(C117="Cédula no registrada","Registre la cédula en «Trabajadores»","")))</f>
        <v/>
      </c>
      <c r="X117" s="20">
        <f t="shared" si="30"/>
        <v>0</v>
      </c>
      <c r="Y117" s="20">
        <f t="shared" si="31"/>
        <v>0</v>
      </c>
      <c r="Z117" s="20">
        <f t="shared" si="32"/>
        <v>0</v>
      </c>
      <c r="AA117" s="20">
        <f t="shared" si="33"/>
        <v>0</v>
      </c>
      <c r="AB117" s="20">
        <f t="shared" si="34"/>
        <v>0</v>
      </c>
      <c r="AC117" s="20">
        <f t="shared" si="35"/>
        <v>0</v>
      </c>
      <c r="AD117" s="20">
        <f>IF(A117="",21/24,MOD(VLOOKUP(A117,Parámetros!$A$24:$B$25,2,TRUE()),1))</f>
        <v>0.875</v>
      </c>
      <c r="AE117" s="5">
        <f>IF(A117="",0,IF(OR(WEEKDAY(A117,2)=7,COUNTIF(Festivos!$A$5:$A$451,A117)&gt;0),1,0))</f>
        <v>0</v>
      </c>
      <c r="AF117" s="5">
        <f>IF(A117="",0,IF(OR(WEEKDAY(A117+1,2)=7,COUNTIF(Festivos!$A$5:$A$451,A117+1)&gt;0),1,0))</f>
        <v>0</v>
      </c>
      <c r="AG117" s="9">
        <f>IF(A117="",0,VLOOKUP(A117,Parámetros!$A$18:$B$21,2,TRUE()))</f>
        <v>0</v>
      </c>
      <c r="AH117" s="20">
        <f t="shared" si="36"/>
        <v>0</v>
      </c>
      <c r="AI117" s="20">
        <f>MAX(0,MIN(AB117,Parámetros!$B$11)-MAX(X117,0))+MAX(0,MIN(AB117,1+Parámetros!$B$11)-MAX(X117,AD117))+MAX(0,MIN(AB117,2)-MAX(X117,1+AD117))</f>
        <v>0</v>
      </c>
      <c r="AJ117" s="20">
        <f t="shared" si="37"/>
        <v>0</v>
      </c>
      <c r="AK117" s="20">
        <f>AE117*(MAX(0,MIN(AB117,Parámetros!$B$11)-MAX(X117,0))+MAX(0,MIN(AB117,1)-MAX(X117,AD117)))+AF117*(MAX(0,MIN(AB117,1+Parámetros!$B$11)-MAX(X117,1))+MAX(0,MIN(AB117,2)-MAX(X117,1+AD117)))</f>
        <v>0</v>
      </c>
      <c r="AL117" s="20">
        <f t="shared" si="38"/>
        <v>0</v>
      </c>
      <c r="AM117" s="20">
        <f>MAX(0,MIN(AC117,Parámetros!$B$11)-MAX(AB117,0))+MAX(0,MIN(AC117,1+Parámetros!$B$11)-MAX(AB117,AD117))+MAX(0,MIN(AC117,2)-MAX(AB117,1+AD117))</f>
        <v>0</v>
      </c>
      <c r="AN117" s="20">
        <f t="shared" si="39"/>
        <v>0</v>
      </c>
      <c r="AO117" s="20">
        <f>AE117*(MAX(0,MIN(AC117,Parámetros!$B$11)-MAX(AB117,0))+MAX(0,MIN(AC117,1)-MAX(AB117,AD117)))+AF117*(MAX(0,MIN(AC117,1+Parámetros!$B$11)-MAX(AB117,1))+MAX(0,MIN(AC117,2)-MAX(AB117,1+AD117)))</f>
        <v>0</v>
      </c>
    </row>
    <row r="118" spans="1:41" x14ac:dyDescent="0.25">
      <c r="A118" s="15"/>
      <c r="B118" s="8"/>
      <c r="C118" s="5" t="str">
        <f>IF(B118="","",IFERROR(INDEX(Trabajadores!$B$5:$B$204,MATCH(B118,Trabajadores!$A$5:$A$204,0)),"Cédula no registrada"))</f>
        <v/>
      </c>
      <c r="D118" s="11"/>
      <c r="E118" s="11"/>
      <c r="F118" s="8"/>
      <c r="G118" s="18" t="str">
        <f>IF(A118="","",IFERROR(INDEX(Trabajadores!$E$5:$E$204,MATCH(B118,Trabajadores!$A$5:$A$204,0))/Parámetros!$B$6,0)+IF(IFERROR(INDEX(Trabajadores!$E$5:$E$204,MATCH(B118,Trabajadores!$A$5:$A$204,0)),"")="",Parámetros!$B$7,0))</f>
        <v/>
      </c>
      <c r="H118" s="5" t="str">
        <f t="shared" si="20"/>
        <v/>
      </c>
      <c r="I118" s="5" t="str">
        <f>IF(A118="","",IF(COUNTIF(Festivos!$A$5:$A$451,A118)&gt;0,"Festivo",IF(WEEKDAY(A118,2)=7,"Domingo",IF(AND(AF118=1,AC118&gt;1),IF(COUNTIF(Festivos!$A$5:$A$451,A118+1)&gt;0,"Festivo","Domingo")&amp;" desde las 00:00",""))))</f>
        <v/>
      </c>
      <c r="J118" s="19" t="str">
        <f t="shared" si="21"/>
        <v/>
      </c>
      <c r="K118" s="19" t="str">
        <f t="shared" si="22"/>
        <v/>
      </c>
      <c r="L118" s="19" t="str">
        <f t="shared" si="23"/>
        <v/>
      </c>
      <c r="M118" s="19" t="str">
        <f t="shared" si="24"/>
        <v/>
      </c>
      <c r="N118" s="19" t="str">
        <f t="shared" si="25"/>
        <v/>
      </c>
      <c r="O118" s="19" t="str">
        <f t="shared" si="26"/>
        <v/>
      </c>
      <c r="P118" s="19" t="str">
        <f t="shared" si="27"/>
        <v/>
      </c>
      <c r="Q118" s="19" t="str">
        <f t="shared" si="28"/>
        <v/>
      </c>
      <c r="R118" s="19" t="str">
        <f t="shared" si="29"/>
        <v/>
      </c>
      <c r="S118" s="17" t="str">
        <f>IF(B118="","",IFERROR(INDEX(Trabajadores!$G$5:$G$204,MATCH(B118,Trabajadores!$A$5:$A$204,0)),""))</f>
        <v/>
      </c>
      <c r="T118" s="17" t="str">
        <f>IF(OR(OR(A118="",D118="",E118=""),S118=""),"",ROUND(S118*(N(L118)*Parámetros!$B$8+N(M118)*(1+Parámetros!$B$9)+N(N118)*(1+Parámetros!$B$10)+N(O118)*(1+AG118)+N(P118)*(1+AG118+Parámetros!$B$8)+N(Q118)*(1+AG118+Parámetros!$B$9)+N(R118)*(1+AG118+Parámetros!$B$10)),0))</f>
        <v/>
      </c>
      <c r="U118" s="5" t="str">
        <f>IF(OR(A118="",D118="",E118=""),"",IF(N(M118)+N(N118)+N(Q118)+N(R118)&gt;Parámetros!$B$12,"Supera el límite de horas extras diarias",IF(C118="Cédula no registrada","Registre la cédula en «Trabajadores»","")))</f>
        <v/>
      </c>
      <c r="X118" s="20">
        <f t="shared" si="30"/>
        <v>0</v>
      </c>
      <c r="Y118" s="20">
        <f t="shared" si="31"/>
        <v>0</v>
      </c>
      <c r="Z118" s="20">
        <f t="shared" si="32"/>
        <v>0</v>
      </c>
      <c r="AA118" s="20">
        <f t="shared" si="33"/>
        <v>0</v>
      </c>
      <c r="AB118" s="20">
        <f t="shared" si="34"/>
        <v>0</v>
      </c>
      <c r="AC118" s="20">
        <f t="shared" si="35"/>
        <v>0</v>
      </c>
      <c r="AD118" s="20">
        <f>IF(A118="",21/24,MOD(VLOOKUP(A118,Parámetros!$A$24:$B$25,2,TRUE()),1))</f>
        <v>0.875</v>
      </c>
      <c r="AE118" s="5">
        <f>IF(A118="",0,IF(OR(WEEKDAY(A118,2)=7,COUNTIF(Festivos!$A$5:$A$451,A118)&gt;0),1,0))</f>
        <v>0</v>
      </c>
      <c r="AF118" s="5">
        <f>IF(A118="",0,IF(OR(WEEKDAY(A118+1,2)=7,COUNTIF(Festivos!$A$5:$A$451,A118+1)&gt;0),1,0))</f>
        <v>0</v>
      </c>
      <c r="AG118" s="9">
        <f>IF(A118="",0,VLOOKUP(A118,Parámetros!$A$18:$B$21,2,TRUE()))</f>
        <v>0</v>
      </c>
      <c r="AH118" s="20">
        <f t="shared" si="36"/>
        <v>0</v>
      </c>
      <c r="AI118" s="20">
        <f>MAX(0,MIN(AB118,Parámetros!$B$11)-MAX(X118,0))+MAX(0,MIN(AB118,1+Parámetros!$B$11)-MAX(X118,AD118))+MAX(0,MIN(AB118,2)-MAX(X118,1+AD118))</f>
        <v>0</v>
      </c>
      <c r="AJ118" s="20">
        <f t="shared" si="37"/>
        <v>0</v>
      </c>
      <c r="AK118" s="20">
        <f>AE118*(MAX(0,MIN(AB118,Parámetros!$B$11)-MAX(X118,0))+MAX(0,MIN(AB118,1)-MAX(X118,AD118)))+AF118*(MAX(0,MIN(AB118,1+Parámetros!$B$11)-MAX(X118,1))+MAX(0,MIN(AB118,2)-MAX(X118,1+AD118)))</f>
        <v>0</v>
      </c>
      <c r="AL118" s="20">
        <f t="shared" si="38"/>
        <v>0</v>
      </c>
      <c r="AM118" s="20">
        <f>MAX(0,MIN(AC118,Parámetros!$B$11)-MAX(AB118,0))+MAX(0,MIN(AC118,1+Parámetros!$B$11)-MAX(AB118,AD118))+MAX(0,MIN(AC118,2)-MAX(AB118,1+AD118))</f>
        <v>0</v>
      </c>
      <c r="AN118" s="20">
        <f t="shared" si="39"/>
        <v>0</v>
      </c>
      <c r="AO118" s="20">
        <f>AE118*(MAX(0,MIN(AC118,Parámetros!$B$11)-MAX(AB118,0))+MAX(0,MIN(AC118,1)-MAX(AB118,AD118)))+AF118*(MAX(0,MIN(AC118,1+Parámetros!$B$11)-MAX(AB118,1))+MAX(0,MIN(AC118,2)-MAX(AB118,1+AD118)))</f>
        <v>0</v>
      </c>
    </row>
    <row r="119" spans="1:41" x14ac:dyDescent="0.25">
      <c r="A119" s="15"/>
      <c r="B119" s="8"/>
      <c r="C119" s="5" t="str">
        <f>IF(B119="","",IFERROR(INDEX(Trabajadores!$B$5:$B$204,MATCH(B119,Trabajadores!$A$5:$A$204,0)),"Cédula no registrada"))</f>
        <v/>
      </c>
      <c r="D119" s="11"/>
      <c r="E119" s="11"/>
      <c r="F119" s="8"/>
      <c r="G119" s="18" t="str">
        <f>IF(A119="","",IFERROR(INDEX(Trabajadores!$E$5:$E$204,MATCH(B119,Trabajadores!$A$5:$A$204,0))/Parámetros!$B$6,0)+IF(IFERROR(INDEX(Trabajadores!$E$5:$E$204,MATCH(B119,Trabajadores!$A$5:$A$204,0)),"")="",Parámetros!$B$7,0))</f>
        <v/>
      </c>
      <c r="H119" s="5" t="str">
        <f t="shared" si="20"/>
        <v/>
      </c>
      <c r="I119" s="5" t="str">
        <f>IF(A119="","",IF(COUNTIF(Festivos!$A$5:$A$451,A119)&gt;0,"Festivo",IF(WEEKDAY(A119,2)=7,"Domingo",IF(AND(AF119=1,AC119&gt;1),IF(COUNTIF(Festivos!$A$5:$A$451,A119+1)&gt;0,"Festivo","Domingo")&amp;" desde las 00:00",""))))</f>
        <v/>
      </c>
      <c r="J119" s="19" t="str">
        <f t="shared" si="21"/>
        <v/>
      </c>
      <c r="K119" s="19" t="str">
        <f t="shared" si="22"/>
        <v/>
      </c>
      <c r="L119" s="19" t="str">
        <f t="shared" si="23"/>
        <v/>
      </c>
      <c r="M119" s="19" t="str">
        <f t="shared" si="24"/>
        <v/>
      </c>
      <c r="N119" s="19" t="str">
        <f t="shared" si="25"/>
        <v/>
      </c>
      <c r="O119" s="19" t="str">
        <f t="shared" si="26"/>
        <v/>
      </c>
      <c r="P119" s="19" t="str">
        <f t="shared" si="27"/>
        <v/>
      </c>
      <c r="Q119" s="19" t="str">
        <f t="shared" si="28"/>
        <v/>
      </c>
      <c r="R119" s="19" t="str">
        <f t="shared" si="29"/>
        <v/>
      </c>
      <c r="S119" s="17" t="str">
        <f>IF(B119="","",IFERROR(INDEX(Trabajadores!$G$5:$G$204,MATCH(B119,Trabajadores!$A$5:$A$204,0)),""))</f>
        <v/>
      </c>
      <c r="T119" s="17" t="str">
        <f>IF(OR(OR(A119="",D119="",E119=""),S119=""),"",ROUND(S119*(N(L119)*Parámetros!$B$8+N(M119)*(1+Parámetros!$B$9)+N(N119)*(1+Parámetros!$B$10)+N(O119)*(1+AG119)+N(P119)*(1+AG119+Parámetros!$B$8)+N(Q119)*(1+AG119+Parámetros!$B$9)+N(R119)*(1+AG119+Parámetros!$B$10)),0))</f>
        <v/>
      </c>
      <c r="U119" s="5" t="str">
        <f>IF(OR(A119="",D119="",E119=""),"",IF(N(M119)+N(N119)+N(Q119)+N(R119)&gt;Parámetros!$B$12,"Supera el límite de horas extras diarias",IF(C119="Cédula no registrada","Registre la cédula en «Trabajadores»","")))</f>
        <v/>
      </c>
      <c r="X119" s="20">
        <f t="shared" si="30"/>
        <v>0</v>
      </c>
      <c r="Y119" s="20">
        <f t="shared" si="31"/>
        <v>0</v>
      </c>
      <c r="Z119" s="20">
        <f t="shared" si="32"/>
        <v>0</v>
      </c>
      <c r="AA119" s="20">
        <f t="shared" si="33"/>
        <v>0</v>
      </c>
      <c r="AB119" s="20">
        <f t="shared" si="34"/>
        <v>0</v>
      </c>
      <c r="AC119" s="20">
        <f t="shared" si="35"/>
        <v>0</v>
      </c>
      <c r="AD119" s="20">
        <f>IF(A119="",21/24,MOD(VLOOKUP(A119,Parámetros!$A$24:$B$25,2,TRUE()),1))</f>
        <v>0.875</v>
      </c>
      <c r="AE119" s="5">
        <f>IF(A119="",0,IF(OR(WEEKDAY(A119,2)=7,COUNTIF(Festivos!$A$5:$A$451,A119)&gt;0),1,0))</f>
        <v>0</v>
      </c>
      <c r="AF119" s="5">
        <f>IF(A119="",0,IF(OR(WEEKDAY(A119+1,2)=7,COUNTIF(Festivos!$A$5:$A$451,A119+1)&gt;0),1,0))</f>
        <v>0</v>
      </c>
      <c r="AG119" s="9">
        <f>IF(A119="",0,VLOOKUP(A119,Parámetros!$A$18:$B$21,2,TRUE()))</f>
        <v>0</v>
      </c>
      <c r="AH119" s="20">
        <f t="shared" si="36"/>
        <v>0</v>
      </c>
      <c r="AI119" s="20">
        <f>MAX(0,MIN(AB119,Parámetros!$B$11)-MAX(X119,0))+MAX(0,MIN(AB119,1+Parámetros!$B$11)-MAX(X119,AD119))+MAX(0,MIN(AB119,2)-MAX(X119,1+AD119))</f>
        <v>0</v>
      </c>
      <c r="AJ119" s="20">
        <f t="shared" si="37"/>
        <v>0</v>
      </c>
      <c r="AK119" s="20">
        <f>AE119*(MAX(0,MIN(AB119,Parámetros!$B$11)-MAX(X119,0))+MAX(0,MIN(AB119,1)-MAX(X119,AD119)))+AF119*(MAX(0,MIN(AB119,1+Parámetros!$B$11)-MAX(X119,1))+MAX(0,MIN(AB119,2)-MAX(X119,1+AD119)))</f>
        <v>0</v>
      </c>
      <c r="AL119" s="20">
        <f t="shared" si="38"/>
        <v>0</v>
      </c>
      <c r="AM119" s="20">
        <f>MAX(0,MIN(AC119,Parámetros!$B$11)-MAX(AB119,0))+MAX(0,MIN(AC119,1+Parámetros!$B$11)-MAX(AB119,AD119))+MAX(0,MIN(AC119,2)-MAX(AB119,1+AD119))</f>
        <v>0</v>
      </c>
      <c r="AN119" s="20">
        <f t="shared" si="39"/>
        <v>0</v>
      </c>
      <c r="AO119" s="20">
        <f>AE119*(MAX(0,MIN(AC119,Parámetros!$B$11)-MAX(AB119,0))+MAX(0,MIN(AC119,1)-MAX(AB119,AD119)))+AF119*(MAX(0,MIN(AC119,1+Parámetros!$B$11)-MAX(AB119,1))+MAX(0,MIN(AC119,2)-MAX(AB119,1+AD119)))</f>
        <v>0</v>
      </c>
    </row>
    <row r="120" spans="1:41" x14ac:dyDescent="0.25">
      <c r="A120" s="15"/>
      <c r="B120" s="8"/>
      <c r="C120" s="5" t="str">
        <f>IF(B120="","",IFERROR(INDEX(Trabajadores!$B$5:$B$204,MATCH(B120,Trabajadores!$A$5:$A$204,0)),"Cédula no registrada"))</f>
        <v/>
      </c>
      <c r="D120" s="11"/>
      <c r="E120" s="11"/>
      <c r="F120" s="8"/>
      <c r="G120" s="18" t="str">
        <f>IF(A120="","",IFERROR(INDEX(Trabajadores!$E$5:$E$204,MATCH(B120,Trabajadores!$A$5:$A$204,0))/Parámetros!$B$6,0)+IF(IFERROR(INDEX(Trabajadores!$E$5:$E$204,MATCH(B120,Trabajadores!$A$5:$A$204,0)),"")="",Parámetros!$B$7,0))</f>
        <v/>
      </c>
      <c r="H120" s="5" t="str">
        <f t="shared" si="20"/>
        <v/>
      </c>
      <c r="I120" s="5" t="str">
        <f>IF(A120="","",IF(COUNTIF(Festivos!$A$5:$A$451,A120)&gt;0,"Festivo",IF(WEEKDAY(A120,2)=7,"Domingo",IF(AND(AF120=1,AC120&gt;1),IF(COUNTIF(Festivos!$A$5:$A$451,A120+1)&gt;0,"Festivo","Domingo")&amp;" desde las 00:00",""))))</f>
        <v/>
      </c>
      <c r="J120" s="19" t="str">
        <f t="shared" si="21"/>
        <v/>
      </c>
      <c r="K120" s="19" t="str">
        <f t="shared" si="22"/>
        <v/>
      </c>
      <c r="L120" s="19" t="str">
        <f t="shared" si="23"/>
        <v/>
      </c>
      <c r="M120" s="19" t="str">
        <f t="shared" si="24"/>
        <v/>
      </c>
      <c r="N120" s="19" t="str">
        <f t="shared" si="25"/>
        <v/>
      </c>
      <c r="O120" s="19" t="str">
        <f t="shared" si="26"/>
        <v/>
      </c>
      <c r="P120" s="19" t="str">
        <f t="shared" si="27"/>
        <v/>
      </c>
      <c r="Q120" s="19" t="str">
        <f t="shared" si="28"/>
        <v/>
      </c>
      <c r="R120" s="19" t="str">
        <f t="shared" si="29"/>
        <v/>
      </c>
      <c r="S120" s="17" t="str">
        <f>IF(B120="","",IFERROR(INDEX(Trabajadores!$G$5:$G$204,MATCH(B120,Trabajadores!$A$5:$A$204,0)),""))</f>
        <v/>
      </c>
      <c r="T120" s="17" t="str">
        <f>IF(OR(OR(A120="",D120="",E120=""),S120=""),"",ROUND(S120*(N(L120)*Parámetros!$B$8+N(M120)*(1+Parámetros!$B$9)+N(N120)*(1+Parámetros!$B$10)+N(O120)*(1+AG120)+N(P120)*(1+AG120+Parámetros!$B$8)+N(Q120)*(1+AG120+Parámetros!$B$9)+N(R120)*(1+AG120+Parámetros!$B$10)),0))</f>
        <v/>
      </c>
      <c r="U120" s="5" t="str">
        <f>IF(OR(A120="",D120="",E120=""),"",IF(N(M120)+N(N120)+N(Q120)+N(R120)&gt;Parámetros!$B$12,"Supera el límite de horas extras diarias",IF(C120="Cédula no registrada","Registre la cédula en «Trabajadores»","")))</f>
        <v/>
      </c>
      <c r="X120" s="20">
        <f t="shared" si="30"/>
        <v>0</v>
      </c>
      <c r="Y120" s="20">
        <f t="shared" si="31"/>
        <v>0</v>
      </c>
      <c r="Z120" s="20">
        <f t="shared" si="32"/>
        <v>0</v>
      </c>
      <c r="AA120" s="20">
        <f t="shared" si="33"/>
        <v>0</v>
      </c>
      <c r="AB120" s="20">
        <f t="shared" si="34"/>
        <v>0</v>
      </c>
      <c r="AC120" s="20">
        <f t="shared" si="35"/>
        <v>0</v>
      </c>
      <c r="AD120" s="20">
        <f>IF(A120="",21/24,MOD(VLOOKUP(A120,Parámetros!$A$24:$B$25,2,TRUE()),1))</f>
        <v>0.875</v>
      </c>
      <c r="AE120" s="5">
        <f>IF(A120="",0,IF(OR(WEEKDAY(A120,2)=7,COUNTIF(Festivos!$A$5:$A$451,A120)&gt;0),1,0))</f>
        <v>0</v>
      </c>
      <c r="AF120" s="5">
        <f>IF(A120="",0,IF(OR(WEEKDAY(A120+1,2)=7,COUNTIF(Festivos!$A$5:$A$451,A120+1)&gt;0),1,0))</f>
        <v>0</v>
      </c>
      <c r="AG120" s="9">
        <f>IF(A120="",0,VLOOKUP(A120,Parámetros!$A$18:$B$21,2,TRUE()))</f>
        <v>0</v>
      </c>
      <c r="AH120" s="20">
        <f t="shared" si="36"/>
        <v>0</v>
      </c>
      <c r="AI120" s="20">
        <f>MAX(0,MIN(AB120,Parámetros!$B$11)-MAX(X120,0))+MAX(0,MIN(AB120,1+Parámetros!$B$11)-MAX(X120,AD120))+MAX(0,MIN(AB120,2)-MAX(X120,1+AD120))</f>
        <v>0</v>
      </c>
      <c r="AJ120" s="20">
        <f t="shared" si="37"/>
        <v>0</v>
      </c>
      <c r="AK120" s="20">
        <f>AE120*(MAX(0,MIN(AB120,Parámetros!$B$11)-MAX(X120,0))+MAX(0,MIN(AB120,1)-MAX(X120,AD120)))+AF120*(MAX(0,MIN(AB120,1+Parámetros!$B$11)-MAX(X120,1))+MAX(0,MIN(AB120,2)-MAX(X120,1+AD120)))</f>
        <v>0</v>
      </c>
      <c r="AL120" s="20">
        <f t="shared" si="38"/>
        <v>0</v>
      </c>
      <c r="AM120" s="20">
        <f>MAX(0,MIN(AC120,Parámetros!$B$11)-MAX(AB120,0))+MAX(0,MIN(AC120,1+Parámetros!$B$11)-MAX(AB120,AD120))+MAX(0,MIN(AC120,2)-MAX(AB120,1+AD120))</f>
        <v>0</v>
      </c>
      <c r="AN120" s="20">
        <f t="shared" si="39"/>
        <v>0</v>
      </c>
      <c r="AO120" s="20">
        <f>AE120*(MAX(0,MIN(AC120,Parámetros!$B$11)-MAX(AB120,0))+MAX(0,MIN(AC120,1)-MAX(AB120,AD120)))+AF120*(MAX(0,MIN(AC120,1+Parámetros!$B$11)-MAX(AB120,1))+MAX(0,MIN(AC120,2)-MAX(AB120,1+AD120)))</f>
        <v>0</v>
      </c>
    </row>
    <row r="121" spans="1:41" x14ac:dyDescent="0.25">
      <c r="A121" s="15"/>
      <c r="B121" s="8"/>
      <c r="C121" s="5" t="str">
        <f>IF(B121="","",IFERROR(INDEX(Trabajadores!$B$5:$B$204,MATCH(B121,Trabajadores!$A$5:$A$204,0)),"Cédula no registrada"))</f>
        <v/>
      </c>
      <c r="D121" s="11"/>
      <c r="E121" s="11"/>
      <c r="F121" s="8"/>
      <c r="G121" s="18" t="str">
        <f>IF(A121="","",IFERROR(INDEX(Trabajadores!$E$5:$E$204,MATCH(B121,Trabajadores!$A$5:$A$204,0))/Parámetros!$B$6,0)+IF(IFERROR(INDEX(Trabajadores!$E$5:$E$204,MATCH(B121,Trabajadores!$A$5:$A$204,0)),"")="",Parámetros!$B$7,0))</f>
        <v/>
      </c>
      <c r="H121" s="5" t="str">
        <f t="shared" si="20"/>
        <v/>
      </c>
      <c r="I121" s="5" t="str">
        <f>IF(A121="","",IF(COUNTIF(Festivos!$A$5:$A$451,A121)&gt;0,"Festivo",IF(WEEKDAY(A121,2)=7,"Domingo",IF(AND(AF121=1,AC121&gt;1),IF(COUNTIF(Festivos!$A$5:$A$451,A121+1)&gt;0,"Festivo","Domingo")&amp;" desde las 00:00",""))))</f>
        <v/>
      </c>
      <c r="J121" s="19" t="str">
        <f t="shared" si="21"/>
        <v/>
      </c>
      <c r="K121" s="19" t="str">
        <f t="shared" si="22"/>
        <v/>
      </c>
      <c r="L121" s="19" t="str">
        <f t="shared" si="23"/>
        <v/>
      </c>
      <c r="M121" s="19" t="str">
        <f t="shared" si="24"/>
        <v/>
      </c>
      <c r="N121" s="19" t="str">
        <f t="shared" si="25"/>
        <v/>
      </c>
      <c r="O121" s="19" t="str">
        <f t="shared" si="26"/>
        <v/>
      </c>
      <c r="P121" s="19" t="str">
        <f t="shared" si="27"/>
        <v/>
      </c>
      <c r="Q121" s="19" t="str">
        <f t="shared" si="28"/>
        <v/>
      </c>
      <c r="R121" s="19" t="str">
        <f t="shared" si="29"/>
        <v/>
      </c>
      <c r="S121" s="17" t="str">
        <f>IF(B121="","",IFERROR(INDEX(Trabajadores!$G$5:$G$204,MATCH(B121,Trabajadores!$A$5:$A$204,0)),""))</f>
        <v/>
      </c>
      <c r="T121" s="17" t="str">
        <f>IF(OR(OR(A121="",D121="",E121=""),S121=""),"",ROUND(S121*(N(L121)*Parámetros!$B$8+N(M121)*(1+Parámetros!$B$9)+N(N121)*(1+Parámetros!$B$10)+N(O121)*(1+AG121)+N(P121)*(1+AG121+Parámetros!$B$8)+N(Q121)*(1+AG121+Parámetros!$B$9)+N(R121)*(1+AG121+Parámetros!$B$10)),0))</f>
        <v/>
      </c>
      <c r="U121" s="5" t="str">
        <f>IF(OR(A121="",D121="",E121=""),"",IF(N(M121)+N(N121)+N(Q121)+N(R121)&gt;Parámetros!$B$12,"Supera el límite de horas extras diarias",IF(C121="Cédula no registrada","Registre la cédula en «Trabajadores»","")))</f>
        <v/>
      </c>
      <c r="X121" s="20">
        <f t="shared" si="30"/>
        <v>0</v>
      </c>
      <c r="Y121" s="20">
        <f t="shared" si="31"/>
        <v>0</v>
      </c>
      <c r="Z121" s="20">
        <f t="shared" si="32"/>
        <v>0</v>
      </c>
      <c r="AA121" s="20">
        <f t="shared" si="33"/>
        <v>0</v>
      </c>
      <c r="AB121" s="20">
        <f t="shared" si="34"/>
        <v>0</v>
      </c>
      <c r="AC121" s="20">
        <f t="shared" si="35"/>
        <v>0</v>
      </c>
      <c r="AD121" s="20">
        <f>IF(A121="",21/24,MOD(VLOOKUP(A121,Parámetros!$A$24:$B$25,2,TRUE()),1))</f>
        <v>0.875</v>
      </c>
      <c r="AE121" s="5">
        <f>IF(A121="",0,IF(OR(WEEKDAY(A121,2)=7,COUNTIF(Festivos!$A$5:$A$451,A121)&gt;0),1,0))</f>
        <v>0</v>
      </c>
      <c r="AF121" s="5">
        <f>IF(A121="",0,IF(OR(WEEKDAY(A121+1,2)=7,COUNTIF(Festivos!$A$5:$A$451,A121+1)&gt;0),1,0))</f>
        <v>0</v>
      </c>
      <c r="AG121" s="9">
        <f>IF(A121="",0,VLOOKUP(A121,Parámetros!$A$18:$B$21,2,TRUE()))</f>
        <v>0</v>
      </c>
      <c r="AH121" s="20">
        <f t="shared" si="36"/>
        <v>0</v>
      </c>
      <c r="AI121" s="20">
        <f>MAX(0,MIN(AB121,Parámetros!$B$11)-MAX(X121,0))+MAX(0,MIN(AB121,1+Parámetros!$B$11)-MAX(X121,AD121))+MAX(0,MIN(AB121,2)-MAX(X121,1+AD121))</f>
        <v>0</v>
      </c>
      <c r="AJ121" s="20">
        <f t="shared" si="37"/>
        <v>0</v>
      </c>
      <c r="AK121" s="20">
        <f>AE121*(MAX(0,MIN(AB121,Parámetros!$B$11)-MAX(X121,0))+MAX(0,MIN(AB121,1)-MAX(X121,AD121)))+AF121*(MAX(0,MIN(AB121,1+Parámetros!$B$11)-MAX(X121,1))+MAX(0,MIN(AB121,2)-MAX(X121,1+AD121)))</f>
        <v>0</v>
      </c>
      <c r="AL121" s="20">
        <f t="shared" si="38"/>
        <v>0</v>
      </c>
      <c r="AM121" s="20">
        <f>MAX(0,MIN(AC121,Parámetros!$B$11)-MAX(AB121,0))+MAX(0,MIN(AC121,1+Parámetros!$B$11)-MAX(AB121,AD121))+MAX(0,MIN(AC121,2)-MAX(AB121,1+AD121))</f>
        <v>0</v>
      </c>
      <c r="AN121" s="20">
        <f t="shared" si="39"/>
        <v>0</v>
      </c>
      <c r="AO121" s="20">
        <f>AE121*(MAX(0,MIN(AC121,Parámetros!$B$11)-MAX(AB121,0))+MAX(0,MIN(AC121,1)-MAX(AB121,AD121)))+AF121*(MAX(0,MIN(AC121,1+Parámetros!$B$11)-MAX(AB121,1))+MAX(0,MIN(AC121,2)-MAX(AB121,1+AD121)))</f>
        <v>0</v>
      </c>
    </row>
    <row r="122" spans="1:41" x14ac:dyDescent="0.25">
      <c r="A122" s="15"/>
      <c r="B122" s="8"/>
      <c r="C122" s="5" t="str">
        <f>IF(B122="","",IFERROR(INDEX(Trabajadores!$B$5:$B$204,MATCH(B122,Trabajadores!$A$5:$A$204,0)),"Cédula no registrada"))</f>
        <v/>
      </c>
      <c r="D122" s="11"/>
      <c r="E122" s="11"/>
      <c r="F122" s="8"/>
      <c r="G122" s="18" t="str">
        <f>IF(A122="","",IFERROR(INDEX(Trabajadores!$E$5:$E$204,MATCH(B122,Trabajadores!$A$5:$A$204,0))/Parámetros!$B$6,0)+IF(IFERROR(INDEX(Trabajadores!$E$5:$E$204,MATCH(B122,Trabajadores!$A$5:$A$204,0)),"")="",Parámetros!$B$7,0))</f>
        <v/>
      </c>
      <c r="H122" s="5" t="str">
        <f t="shared" si="20"/>
        <v/>
      </c>
      <c r="I122" s="5" t="str">
        <f>IF(A122="","",IF(COUNTIF(Festivos!$A$5:$A$451,A122)&gt;0,"Festivo",IF(WEEKDAY(A122,2)=7,"Domingo",IF(AND(AF122=1,AC122&gt;1),IF(COUNTIF(Festivos!$A$5:$A$451,A122+1)&gt;0,"Festivo","Domingo")&amp;" desde las 00:00",""))))</f>
        <v/>
      </c>
      <c r="J122" s="19" t="str">
        <f t="shared" si="21"/>
        <v/>
      </c>
      <c r="K122" s="19" t="str">
        <f t="shared" si="22"/>
        <v/>
      </c>
      <c r="L122" s="19" t="str">
        <f t="shared" si="23"/>
        <v/>
      </c>
      <c r="M122" s="19" t="str">
        <f t="shared" si="24"/>
        <v/>
      </c>
      <c r="N122" s="19" t="str">
        <f t="shared" si="25"/>
        <v/>
      </c>
      <c r="O122" s="19" t="str">
        <f t="shared" si="26"/>
        <v/>
      </c>
      <c r="P122" s="19" t="str">
        <f t="shared" si="27"/>
        <v/>
      </c>
      <c r="Q122" s="19" t="str">
        <f t="shared" si="28"/>
        <v/>
      </c>
      <c r="R122" s="19" t="str">
        <f t="shared" si="29"/>
        <v/>
      </c>
      <c r="S122" s="17" t="str">
        <f>IF(B122="","",IFERROR(INDEX(Trabajadores!$G$5:$G$204,MATCH(B122,Trabajadores!$A$5:$A$204,0)),""))</f>
        <v/>
      </c>
      <c r="T122" s="17" t="str">
        <f>IF(OR(OR(A122="",D122="",E122=""),S122=""),"",ROUND(S122*(N(L122)*Parámetros!$B$8+N(M122)*(1+Parámetros!$B$9)+N(N122)*(1+Parámetros!$B$10)+N(O122)*(1+AG122)+N(P122)*(1+AG122+Parámetros!$B$8)+N(Q122)*(1+AG122+Parámetros!$B$9)+N(R122)*(1+AG122+Parámetros!$B$10)),0))</f>
        <v/>
      </c>
      <c r="U122" s="5" t="str">
        <f>IF(OR(A122="",D122="",E122=""),"",IF(N(M122)+N(N122)+N(Q122)+N(R122)&gt;Parámetros!$B$12,"Supera el límite de horas extras diarias",IF(C122="Cédula no registrada","Registre la cédula en «Trabajadores»","")))</f>
        <v/>
      </c>
      <c r="X122" s="20">
        <f t="shared" si="30"/>
        <v>0</v>
      </c>
      <c r="Y122" s="20">
        <f t="shared" si="31"/>
        <v>0</v>
      </c>
      <c r="Z122" s="20">
        <f t="shared" si="32"/>
        <v>0</v>
      </c>
      <c r="AA122" s="20">
        <f t="shared" si="33"/>
        <v>0</v>
      </c>
      <c r="AB122" s="20">
        <f t="shared" si="34"/>
        <v>0</v>
      </c>
      <c r="AC122" s="20">
        <f t="shared" si="35"/>
        <v>0</v>
      </c>
      <c r="AD122" s="20">
        <f>IF(A122="",21/24,MOD(VLOOKUP(A122,Parámetros!$A$24:$B$25,2,TRUE()),1))</f>
        <v>0.875</v>
      </c>
      <c r="AE122" s="5">
        <f>IF(A122="",0,IF(OR(WEEKDAY(A122,2)=7,COUNTIF(Festivos!$A$5:$A$451,A122)&gt;0),1,0))</f>
        <v>0</v>
      </c>
      <c r="AF122" s="5">
        <f>IF(A122="",0,IF(OR(WEEKDAY(A122+1,2)=7,COUNTIF(Festivos!$A$5:$A$451,A122+1)&gt;0),1,0))</f>
        <v>0</v>
      </c>
      <c r="AG122" s="9">
        <f>IF(A122="",0,VLOOKUP(A122,Parámetros!$A$18:$B$21,2,TRUE()))</f>
        <v>0</v>
      </c>
      <c r="AH122" s="20">
        <f t="shared" si="36"/>
        <v>0</v>
      </c>
      <c r="AI122" s="20">
        <f>MAX(0,MIN(AB122,Parámetros!$B$11)-MAX(X122,0))+MAX(0,MIN(AB122,1+Parámetros!$B$11)-MAX(X122,AD122))+MAX(0,MIN(AB122,2)-MAX(X122,1+AD122))</f>
        <v>0</v>
      </c>
      <c r="AJ122" s="20">
        <f t="shared" si="37"/>
        <v>0</v>
      </c>
      <c r="AK122" s="20">
        <f>AE122*(MAX(0,MIN(AB122,Parámetros!$B$11)-MAX(X122,0))+MAX(0,MIN(AB122,1)-MAX(X122,AD122)))+AF122*(MAX(0,MIN(AB122,1+Parámetros!$B$11)-MAX(X122,1))+MAX(0,MIN(AB122,2)-MAX(X122,1+AD122)))</f>
        <v>0</v>
      </c>
      <c r="AL122" s="20">
        <f t="shared" si="38"/>
        <v>0</v>
      </c>
      <c r="AM122" s="20">
        <f>MAX(0,MIN(AC122,Parámetros!$B$11)-MAX(AB122,0))+MAX(0,MIN(AC122,1+Parámetros!$B$11)-MAX(AB122,AD122))+MAX(0,MIN(AC122,2)-MAX(AB122,1+AD122))</f>
        <v>0</v>
      </c>
      <c r="AN122" s="20">
        <f t="shared" si="39"/>
        <v>0</v>
      </c>
      <c r="AO122" s="20">
        <f>AE122*(MAX(0,MIN(AC122,Parámetros!$B$11)-MAX(AB122,0))+MAX(0,MIN(AC122,1)-MAX(AB122,AD122)))+AF122*(MAX(0,MIN(AC122,1+Parámetros!$B$11)-MAX(AB122,1))+MAX(0,MIN(AC122,2)-MAX(AB122,1+AD122)))</f>
        <v>0</v>
      </c>
    </row>
    <row r="123" spans="1:41" x14ac:dyDescent="0.25">
      <c r="A123" s="15"/>
      <c r="B123" s="8"/>
      <c r="C123" s="5" t="str">
        <f>IF(B123="","",IFERROR(INDEX(Trabajadores!$B$5:$B$204,MATCH(B123,Trabajadores!$A$5:$A$204,0)),"Cédula no registrada"))</f>
        <v/>
      </c>
      <c r="D123" s="11"/>
      <c r="E123" s="11"/>
      <c r="F123" s="8"/>
      <c r="G123" s="18" t="str">
        <f>IF(A123="","",IFERROR(INDEX(Trabajadores!$E$5:$E$204,MATCH(B123,Trabajadores!$A$5:$A$204,0))/Parámetros!$B$6,0)+IF(IFERROR(INDEX(Trabajadores!$E$5:$E$204,MATCH(B123,Trabajadores!$A$5:$A$204,0)),"")="",Parámetros!$B$7,0))</f>
        <v/>
      </c>
      <c r="H123" s="5" t="str">
        <f t="shared" si="20"/>
        <v/>
      </c>
      <c r="I123" s="5" t="str">
        <f>IF(A123="","",IF(COUNTIF(Festivos!$A$5:$A$451,A123)&gt;0,"Festivo",IF(WEEKDAY(A123,2)=7,"Domingo",IF(AND(AF123=1,AC123&gt;1),IF(COUNTIF(Festivos!$A$5:$A$451,A123+1)&gt;0,"Festivo","Domingo")&amp;" desde las 00:00",""))))</f>
        <v/>
      </c>
      <c r="J123" s="19" t="str">
        <f t="shared" si="21"/>
        <v/>
      </c>
      <c r="K123" s="19" t="str">
        <f t="shared" si="22"/>
        <v/>
      </c>
      <c r="L123" s="19" t="str">
        <f t="shared" si="23"/>
        <v/>
      </c>
      <c r="M123" s="19" t="str">
        <f t="shared" si="24"/>
        <v/>
      </c>
      <c r="N123" s="19" t="str">
        <f t="shared" si="25"/>
        <v/>
      </c>
      <c r="O123" s="19" t="str">
        <f t="shared" si="26"/>
        <v/>
      </c>
      <c r="P123" s="19" t="str">
        <f t="shared" si="27"/>
        <v/>
      </c>
      <c r="Q123" s="19" t="str">
        <f t="shared" si="28"/>
        <v/>
      </c>
      <c r="R123" s="19" t="str">
        <f t="shared" si="29"/>
        <v/>
      </c>
      <c r="S123" s="17" t="str">
        <f>IF(B123="","",IFERROR(INDEX(Trabajadores!$G$5:$G$204,MATCH(B123,Trabajadores!$A$5:$A$204,0)),""))</f>
        <v/>
      </c>
      <c r="T123" s="17" t="str">
        <f>IF(OR(OR(A123="",D123="",E123=""),S123=""),"",ROUND(S123*(N(L123)*Parámetros!$B$8+N(M123)*(1+Parámetros!$B$9)+N(N123)*(1+Parámetros!$B$10)+N(O123)*(1+AG123)+N(P123)*(1+AG123+Parámetros!$B$8)+N(Q123)*(1+AG123+Parámetros!$B$9)+N(R123)*(1+AG123+Parámetros!$B$10)),0))</f>
        <v/>
      </c>
      <c r="U123" s="5" t="str">
        <f>IF(OR(A123="",D123="",E123=""),"",IF(N(M123)+N(N123)+N(Q123)+N(R123)&gt;Parámetros!$B$12,"Supera el límite de horas extras diarias",IF(C123="Cédula no registrada","Registre la cédula en «Trabajadores»","")))</f>
        <v/>
      </c>
      <c r="X123" s="20">
        <f t="shared" si="30"/>
        <v>0</v>
      </c>
      <c r="Y123" s="20">
        <f t="shared" si="31"/>
        <v>0</v>
      </c>
      <c r="Z123" s="20">
        <f t="shared" si="32"/>
        <v>0</v>
      </c>
      <c r="AA123" s="20">
        <f t="shared" si="33"/>
        <v>0</v>
      </c>
      <c r="AB123" s="20">
        <f t="shared" si="34"/>
        <v>0</v>
      </c>
      <c r="AC123" s="20">
        <f t="shared" si="35"/>
        <v>0</v>
      </c>
      <c r="AD123" s="20">
        <f>IF(A123="",21/24,MOD(VLOOKUP(A123,Parámetros!$A$24:$B$25,2,TRUE()),1))</f>
        <v>0.875</v>
      </c>
      <c r="AE123" s="5">
        <f>IF(A123="",0,IF(OR(WEEKDAY(A123,2)=7,COUNTIF(Festivos!$A$5:$A$451,A123)&gt;0),1,0))</f>
        <v>0</v>
      </c>
      <c r="AF123" s="5">
        <f>IF(A123="",0,IF(OR(WEEKDAY(A123+1,2)=7,COUNTIF(Festivos!$A$5:$A$451,A123+1)&gt;0),1,0))</f>
        <v>0</v>
      </c>
      <c r="AG123" s="9">
        <f>IF(A123="",0,VLOOKUP(A123,Parámetros!$A$18:$B$21,2,TRUE()))</f>
        <v>0</v>
      </c>
      <c r="AH123" s="20">
        <f t="shared" si="36"/>
        <v>0</v>
      </c>
      <c r="AI123" s="20">
        <f>MAX(0,MIN(AB123,Parámetros!$B$11)-MAX(X123,0))+MAX(0,MIN(AB123,1+Parámetros!$B$11)-MAX(X123,AD123))+MAX(0,MIN(AB123,2)-MAX(X123,1+AD123))</f>
        <v>0</v>
      </c>
      <c r="AJ123" s="20">
        <f t="shared" si="37"/>
        <v>0</v>
      </c>
      <c r="AK123" s="20">
        <f>AE123*(MAX(0,MIN(AB123,Parámetros!$B$11)-MAX(X123,0))+MAX(0,MIN(AB123,1)-MAX(X123,AD123)))+AF123*(MAX(0,MIN(AB123,1+Parámetros!$B$11)-MAX(X123,1))+MAX(0,MIN(AB123,2)-MAX(X123,1+AD123)))</f>
        <v>0</v>
      </c>
      <c r="AL123" s="20">
        <f t="shared" si="38"/>
        <v>0</v>
      </c>
      <c r="AM123" s="20">
        <f>MAX(0,MIN(AC123,Parámetros!$B$11)-MAX(AB123,0))+MAX(0,MIN(AC123,1+Parámetros!$B$11)-MAX(AB123,AD123))+MAX(0,MIN(AC123,2)-MAX(AB123,1+AD123))</f>
        <v>0</v>
      </c>
      <c r="AN123" s="20">
        <f t="shared" si="39"/>
        <v>0</v>
      </c>
      <c r="AO123" s="20">
        <f>AE123*(MAX(0,MIN(AC123,Parámetros!$B$11)-MAX(AB123,0))+MAX(0,MIN(AC123,1)-MAX(AB123,AD123)))+AF123*(MAX(0,MIN(AC123,1+Parámetros!$B$11)-MAX(AB123,1))+MAX(0,MIN(AC123,2)-MAX(AB123,1+AD123)))</f>
        <v>0</v>
      </c>
    </row>
    <row r="124" spans="1:41" x14ac:dyDescent="0.25">
      <c r="A124" s="15"/>
      <c r="B124" s="8"/>
      <c r="C124" s="5" t="str">
        <f>IF(B124="","",IFERROR(INDEX(Trabajadores!$B$5:$B$204,MATCH(B124,Trabajadores!$A$5:$A$204,0)),"Cédula no registrada"))</f>
        <v/>
      </c>
      <c r="D124" s="11"/>
      <c r="E124" s="11"/>
      <c r="F124" s="8"/>
      <c r="G124" s="18" t="str">
        <f>IF(A124="","",IFERROR(INDEX(Trabajadores!$E$5:$E$204,MATCH(B124,Trabajadores!$A$5:$A$204,0))/Parámetros!$B$6,0)+IF(IFERROR(INDEX(Trabajadores!$E$5:$E$204,MATCH(B124,Trabajadores!$A$5:$A$204,0)),"")="",Parámetros!$B$7,0))</f>
        <v/>
      </c>
      <c r="H124" s="5" t="str">
        <f t="shared" si="20"/>
        <v/>
      </c>
      <c r="I124" s="5" t="str">
        <f>IF(A124="","",IF(COUNTIF(Festivos!$A$5:$A$451,A124)&gt;0,"Festivo",IF(WEEKDAY(A124,2)=7,"Domingo",IF(AND(AF124=1,AC124&gt;1),IF(COUNTIF(Festivos!$A$5:$A$451,A124+1)&gt;0,"Festivo","Domingo")&amp;" desde las 00:00",""))))</f>
        <v/>
      </c>
      <c r="J124" s="19" t="str">
        <f t="shared" si="21"/>
        <v/>
      </c>
      <c r="K124" s="19" t="str">
        <f t="shared" si="22"/>
        <v/>
      </c>
      <c r="L124" s="19" t="str">
        <f t="shared" si="23"/>
        <v/>
      </c>
      <c r="M124" s="19" t="str">
        <f t="shared" si="24"/>
        <v/>
      </c>
      <c r="N124" s="19" t="str">
        <f t="shared" si="25"/>
        <v/>
      </c>
      <c r="O124" s="19" t="str">
        <f t="shared" si="26"/>
        <v/>
      </c>
      <c r="P124" s="19" t="str">
        <f t="shared" si="27"/>
        <v/>
      </c>
      <c r="Q124" s="19" t="str">
        <f t="shared" si="28"/>
        <v/>
      </c>
      <c r="R124" s="19" t="str">
        <f t="shared" si="29"/>
        <v/>
      </c>
      <c r="S124" s="17" t="str">
        <f>IF(B124="","",IFERROR(INDEX(Trabajadores!$G$5:$G$204,MATCH(B124,Trabajadores!$A$5:$A$204,0)),""))</f>
        <v/>
      </c>
      <c r="T124" s="17" t="str">
        <f>IF(OR(OR(A124="",D124="",E124=""),S124=""),"",ROUND(S124*(N(L124)*Parámetros!$B$8+N(M124)*(1+Parámetros!$B$9)+N(N124)*(1+Parámetros!$B$10)+N(O124)*(1+AG124)+N(P124)*(1+AG124+Parámetros!$B$8)+N(Q124)*(1+AG124+Parámetros!$B$9)+N(R124)*(1+AG124+Parámetros!$B$10)),0))</f>
        <v/>
      </c>
      <c r="U124" s="5" t="str">
        <f>IF(OR(A124="",D124="",E124=""),"",IF(N(M124)+N(N124)+N(Q124)+N(R124)&gt;Parámetros!$B$12,"Supera el límite de horas extras diarias",IF(C124="Cédula no registrada","Registre la cédula en «Trabajadores»","")))</f>
        <v/>
      </c>
      <c r="X124" s="20">
        <f t="shared" si="30"/>
        <v>0</v>
      </c>
      <c r="Y124" s="20">
        <f t="shared" si="31"/>
        <v>0</v>
      </c>
      <c r="Z124" s="20">
        <f t="shared" si="32"/>
        <v>0</v>
      </c>
      <c r="AA124" s="20">
        <f t="shared" si="33"/>
        <v>0</v>
      </c>
      <c r="AB124" s="20">
        <f t="shared" si="34"/>
        <v>0</v>
      </c>
      <c r="AC124" s="20">
        <f t="shared" si="35"/>
        <v>0</v>
      </c>
      <c r="AD124" s="20">
        <f>IF(A124="",21/24,MOD(VLOOKUP(A124,Parámetros!$A$24:$B$25,2,TRUE()),1))</f>
        <v>0.875</v>
      </c>
      <c r="AE124" s="5">
        <f>IF(A124="",0,IF(OR(WEEKDAY(A124,2)=7,COUNTIF(Festivos!$A$5:$A$451,A124)&gt;0),1,0))</f>
        <v>0</v>
      </c>
      <c r="AF124" s="5">
        <f>IF(A124="",0,IF(OR(WEEKDAY(A124+1,2)=7,COUNTIF(Festivos!$A$5:$A$451,A124+1)&gt;0),1,0))</f>
        <v>0</v>
      </c>
      <c r="AG124" s="9">
        <f>IF(A124="",0,VLOOKUP(A124,Parámetros!$A$18:$B$21,2,TRUE()))</f>
        <v>0</v>
      </c>
      <c r="AH124" s="20">
        <f t="shared" si="36"/>
        <v>0</v>
      </c>
      <c r="AI124" s="20">
        <f>MAX(0,MIN(AB124,Parámetros!$B$11)-MAX(X124,0))+MAX(0,MIN(AB124,1+Parámetros!$B$11)-MAX(X124,AD124))+MAX(0,MIN(AB124,2)-MAX(X124,1+AD124))</f>
        <v>0</v>
      </c>
      <c r="AJ124" s="20">
        <f t="shared" si="37"/>
        <v>0</v>
      </c>
      <c r="AK124" s="20">
        <f>AE124*(MAX(0,MIN(AB124,Parámetros!$B$11)-MAX(X124,0))+MAX(0,MIN(AB124,1)-MAX(X124,AD124)))+AF124*(MAX(0,MIN(AB124,1+Parámetros!$B$11)-MAX(X124,1))+MAX(0,MIN(AB124,2)-MAX(X124,1+AD124)))</f>
        <v>0</v>
      </c>
      <c r="AL124" s="20">
        <f t="shared" si="38"/>
        <v>0</v>
      </c>
      <c r="AM124" s="20">
        <f>MAX(0,MIN(AC124,Parámetros!$B$11)-MAX(AB124,0))+MAX(0,MIN(AC124,1+Parámetros!$B$11)-MAX(AB124,AD124))+MAX(0,MIN(AC124,2)-MAX(AB124,1+AD124))</f>
        <v>0</v>
      </c>
      <c r="AN124" s="20">
        <f t="shared" si="39"/>
        <v>0</v>
      </c>
      <c r="AO124" s="20">
        <f>AE124*(MAX(0,MIN(AC124,Parámetros!$B$11)-MAX(AB124,0))+MAX(0,MIN(AC124,1)-MAX(AB124,AD124)))+AF124*(MAX(0,MIN(AC124,1+Parámetros!$B$11)-MAX(AB124,1))+MAX(0,MIN(AC124,2)-MAX(AB124,1+AD124)))</f>
        <v>0</v>
      </c>
    </row>
    <row r="125" spans="1:41" x14ac:dyDescent="0.25">
      <c r="A125" s="15"/>
      <c r="B125" s="8"/>
      <c r="C125" s="5" t="str">
        <f>IF(B125="","",IFERROR(INDEX(Trabajadores!$B$5:$B$204,MATCH(B125,Trabajadores!$A$5:$A$204,0)),"Cédula no registrada"))</f>
        <v/>
      </c>
      <c r="D125" s="11"/>
      <c r="E125" s="11"/>
      <c r="F125" s="8"/>
      <c r="G125" s="18" t="str">
        <f>IF(A125="","",IFERROR(INDEX(Trabajadores!$E$5:$E$204,MATCH(B125,Trabajadores!$A$5:$A$204,0))/Parámetros!$B$6,0)+IF(IFERROR(INDEX(Trabajadores!$E$5:$E$204,MATCH(B125,Trabajadores!$A$5:$A$204,0)),"")="",Parámetros!$B$7,0))</f>
        <v/>
      </c>
      <c r="H125" s="5" t="str">
        <f t="shared" si="20"/>
        <v/>
      </c>
      <c r="I125" s="5" t="str">
        <f>IF(A125="","",IF(COUNTIF(Festivos!$A$5:$A$451,A125)&gt;0,"Festivo",IF(WEEKDAY(A125,2)=7,"Domingo",IF(AND(AF125=1,AC125&gt;1),IF(COUNTIF(Festivos!$A$5:$A$451,A125+1)&gt;0,"Festivo","Domingo")&amp;" desde las 00:00",""))))</f>
        <v/>
      </c>
      <c r="J125" s="19" t="str">
        <f t="shared" si="21"/>
        <v/>
      </c>
      <c r="K125" s="19" t="str">
        <f t="shared" si="22"/>
        <v/>
      </c>
      <c r="L125" s="19" t="str">
        <f t="shared" si="23"/>
        <v/>
      </c>
      <c r="M125" s="19" t="str">
        <f t="shared" si="24"/>
        <v/>
      </c>
      <c r="N125" s="19" t="str">
        <f t="shared" si="25"/>
        <v/>
      </c>
      <c r="O125" s="19" t="str">
        <f t="shared" si="26"/>
        <v/>
      </c>
      <c r="P125" s="19" t="str">
        <f t="shared" si="27"/>
        <v/>
      </c>
      <c r="Q125" s="19" t="str">
        <f t="shared" si="28"/>
        <v/>
      </c>
      <c r="R125" s="19" t="str">
        <f t="shared" si="29"/>
        <v/>
      </c>
      <c r="S125" s="17" t="str">
        <f>IF(B125="","",IFERROR(INDEX(Trabajadores!$G$5:$G$204,MATCH(B125,Trabajadores!$A$5:$A$204,0)),""))</f>
        <v/>
      </c>
      <c r="T125" s="17" t="str">
        <f>IF(OR(OR(A125="",D125="",E125=""),S125=""),"",ROUND(S125*(N(L125)*Parámetros!$B$8+N(M125)*(1+Parámetros!$B$9)+N(N125)*(1+Parámetros!$B$10)+N(O125)*(1+AG125)+N(P125)*(1+AG125+Parámetros!$B$8)+N(Q125)*(1+AG125+Parámetros!$B$9)+N(R125)*(1+AG125+Parámetros!$B$10)),0))</f>
        <v/>
      </c>
      <c r="U125" s="5" t="str">
        <f>IF(OR(A125="",D125="",E125=""),"",IF(N(M125)+N(N125)+N(Q125)+N(R125)&gt;Parámetros!$B$12,"Supera el límite de horas extras diarias",IF(C125="Cédula no registrada","Registre la cédula en «Trabajadores»","")))</f>
        <v/>
      </c>
      <c r="X125" s="20">
        <f t="shared" si="30"/>
        <v>0</v>
      </c>
      <c r="Y125" s="20">
        <f t="shared" si="31"/>
        <v>0</v>
      </c>
      <c r="Z125" s="20">
        <f t="shared" si="32"/>
        <v>0</v>
      </c>
      <c r="AA125" s="20">
        <f t="shared" si="33"/>
        <v>0</v>
      </c>
      <c r="AB125" s="20">
        <f t="shared" si="34"/>
        <v>0</v>
      </c>
      <c r="AC125" s="20">
        <f t="shared" si="35"/>
        <v>0</v>
      </c>
      <c r="AD125" s="20">
        <f>IF(A125="",21/24,MOD(VLOOKUP(A125,Parámetros!$A$24:$B$25,2,TRUE()),1))</f>
        <v>0.875</v>
      </c>
      <c r="AE125" s="5">
        <f>IF(A125="",0,IF(OR(WEEKDAY(A125,2)=7,COUNTIF(Festivos!$A$5:$A$451,A125)&gt;0),1,0))</f>
        <v>0</v>
      </c>
      <c r="AF125" s="5">
        <f>IF(A125="",0,IF(OR(WEEKDAY(A125+1,2)=7,COUNTIF(Festivos!$A$5:$A$451,A125+1)&gt;0),1,0))</f>
        <v>0</v>
      </c>
      <c r="AG125" s="9">
        <f>IF(A125="",0,VLOOKUP(A125,Parámetros!$A$18:$B$21,2,TRUE()))</f>
        <v>0</v>
      </c>
      <c r="AH125" s="20">
        <f t="shared" si="36"/>
        <v>0</v>
      </c>
      <c r="AI125" s="20">
        <f>MAX(0,MIN(AB125,Parámetros!$B$11)-MAX(X125,0))+MAX(0,MIN(AB125,1+Parámetros!$B$11)-MAX(X125,AD125))+MAX(0,MIN(AB125,2)-MAX(X125,1+AD125))</f>
        <v>0</v>
      </c>
      <c r="AJ125" s="20">
        <f t="shared" si="37"/>
        <v>0</v>
      </c>
      <c r="AK125" s="20">
        <f>AE125*(MAX(0,MIN(AB125,Parámetros!$B$11)-MAX(X125,0))+MAX(0,MIN(AB125,1)-MAX(X125,AD125)))+AF125*(MAX(0,MIN(AB125,1+Parámetros!$B$11)-MAX(X125,1))+MAX(0,MIN(AB125,2)-MAX(X125,1+AD125)))</f>
        <v>0</v>
      </c>
      <c r="AL125" s="20">
        <f t="shared" si="38"/>
        <v>0</v>
      </c>
      <c r="AM125" s="20">
        <f>MAX(0,MIN(AC125,Parámetros!$B$11)-MAX(AB125,0))+MAX(0,MIN(AC125,1+Parámetros!$B$11)-MAX(AB125,AD125))+MAX(0,MIN(AC125,2)-MAX(AB125,1+AD125))</f>
        <v>0</v>
      </c>
      <c r="AN125" s="20">
        <f t="shared" si="39"/>
        <v>0</v>
      </c>
      <c r="AO125" s="20">
        <f>AE125*(MAX(0,MIN(AC125,Parámetros!$B$11)-MAX(AB125,0))+MAX(0,MIN(AC125,1)-MAX(AB125,AD125)))+AF125*(MAX(0,MIN(AC125,1+Parámetros!$B$11)-MAX(AB125,1))+MAX(0,MIN(AC125,2)-MAX(AB125,1+AD125)))</f>
        <v>0</v>
      </c>
    </row>
    <row r="126" spans="1:41" x14ac:dyDescent="0.25">
      <c r="A126" s="15"/>
      <c r="B126" s="8"/>
      <c r="C126" s="5" t="str">
        <f>IF(B126="","",IFERROR(INDEX(Trabajadores!$B$5:$B$204,MATCH(B126,Trabajadores!$A$5:$A$204,0)),"Cédula no registrada"))</f>
        <v/>
      </c>
      <c r="D126" s="11"/>
      <c r="E126" s="11"/>
      <c r="F126" s="8"/>
      <c r="G126" s="18" t="str">
        <f>IF(A126="","",IFERROR(INDEX(Trabajadores!$E$5:$E$204,MATCH(B126,Trabajadores!$A$5:$A$204,0))/Parámetros!$B$6,0)+IF(IFERROR(INDEX(Trabajadores!$E$5:$E$204,MATCH(B126,Trabajadores!$A$5:$A$204,0)),"")="",Parámetros!$B$7,0))</f>
        <v/>
      </c>
      <c r="H126" s="5" t="str">
        <f t="shared" si="20"/>
        <v/>
      </c>
      <c r="I126" s="5" t="str">
        <f>IF(A126="","",IF(COUNTIF(Festivos!$A$5:$A$451,A126)&gt;0,"Festivo",IF(WEEKDAY(A126,2)=7,"Domingo",IF(AND(AF126=1,AC126&gt;1),IF(COUNTIF(Festivos!$A$5:$A$451,A126+1)&gt;0,"Festivo","Domingo")&amp;" desde las 00:00",""))))</f>
        <v/>
      </c>
      <c r="J126" s="19" t="str">
        <f t="shared" si="21"/>
        <v/>
      </c>
      <c r="K126" s="19" t="str">
        <f t="shared" si="22"/>
        <v/>
      </c>
      <c r="L126" s="19" t="str">
        <f t="shared" si="23"/>
        <v/>
      </c>
      <c r="M126" s="19" t="str">
        <f t="shared" si="24"/>
        <v/>
      </c>
      <c r="N126" s="19" t="str">
        <f t="shared" si="25"/>
        <v/>
      </c>
      <c r="O126" s="19" t="str">
        <f t="shared" si="26"/>
        <v/>
      </c>
      <c r="P126" s="19" t="str">
        <f t="shared" si="27"/>
        <v/>
      </c>
      <c r="Q126" s="19" t="str">
        <f t="shared" si="28"/>
        <v/>
      </c>
      <c r="R126" s="19" t="str">
        <f t="shared" si="29"/>
        <v/>
      </c>
      <c r="S126" s="17" t="str">
        <f>IF(B126="","",IFERROR(INDEX(Trabajadores!$G$5:$G$204,MATCH(B126,Trabajadores!$A$5:$A$204,0)),""))</f>
        <v/>
      </c>
      <c r="T126" s="17" t="str">
        <f>IF(OR(OR(A126="",D126="",E126=""),S126=""),"",ROUND(S126*(N(L126)*Parámetros!$B$8+N(M126)*(1+Parámetros!$B$9)+N(N126)*(1+Parámetros!$B$10)+N(O126)*(1+AG126)+N(P126)*(1+AG126+Parámetros!$B$8)+N(Q126)*(1+AG126+Parámetros!$B$9)+N(R126)*(1+AG126+Parámetros!$B$10)),0))</f>
        <v/>
      </c>
      <c r="U126" s="5" t="str">
        <f>IF(OR(A126="",D126="",E126=""),"",IF(N(M126)+N(N126)+N(Q126)+N(R126)&gt;Parámetros!$B$12,"Supera el límite de horas extras diarias",IF(C126="Cédula no registrada","Registre la cédula en «Trabajadores»","")))</f>
        <v/>
      </c>
      <c r="X126" s="20">
        <f t="shared" si="30"/>
        <v>0</v>
      </c>
      <c r="Y126" s="20">
        <f t="shared" si="31"/>
        <v>0</v>
      </c>
      <c r="Z126" s="20">
        <f t="shared" si="32"/>
        <v>0</v>
      </c>
      <c r="AA126" s="20">
        <f t="shared" si="33"/>
        <v>0</v>
      </c>
      <c r="AB126" s="20">
        <f t="shared" si="34"/>
        <v>0</v>
      </c>
      <c r="AC126" s="20">
        <f t="shared" si="35"/>
        <v>0</v>
      </c>
      <c r="AD126" s="20">
        <f>IF(A126="",21/24,MOD(VLOOKUP(A126,Parámetros!$A$24:$B$25,2,TRUE()),1))</f>
        <v>0.875</v>
      </c>
      <c r="AE126" s="5">
        <f>IF(A126="",0,IF(OR(WEEKDAY(A126,2)=7,COUNTIF(Festivos!$A$5:$A$451,A126)&gt;0),1,0))</f>
        <v>0</v>
      </c>
      <c r="AF126" s="5">
        <f>IF(A126="",0,IF(OR(WEEKDAY(A126+1,2)=7,COUNTIF(Festivos!$A$5:$A$451,A126+1)&gt;0),1,0))</f>
        <v>0</v>
      </c>
      <c r="AG126" s="9">
        <f>IF(A126="",0,VLOOKUP(A126,Parámetros!$A$18:$B$21,2,TRUE()))</f>
        <v>0</v>
      </c>
      <c r="AH126" s="20">
        <f t="shared" si="36"/>
        <v>0</v>
      </c>
      <c r="AI126" s="20">
        <f>MAX(0,MIN(AB126,Parámetros!$B$11)-MAX(X126,0))+MAX(0,MIN(AB126,1+Parámetros!$B$11)-MAX(X126,AD126))+MAX(0,MIN(AB126,2)-MAX(X126,1+AD126))</f>
        <v>0</v>
      </c>
      <c r="AJ126" s="20">
        <f t="shared" si="37"/>
        <v>0</v>
      </c>
      <c r="AK126" s="20">
        <f>AE126*(MAX(0,MIN(AB126,Parámetros!$B$11)-MAX(X126,0))+MAX(0,MIN(AB126,1)-MAX(X126,AD126)))+AF126*(MAX(0,MIN(AB126,1+Parámetros!$B$11)-MAX(X126,1))+MAX(0,MIN(AB126,2)-MAX(X126,1+AD126)))</f>
        <v>0</v>
      </c>
      <c r="AL126" s="20">
        <f t="shared" si="38"/>
        <v>0</v>
      </c>
      <c r="AM126" s="20">
        <f>MAX(0,MIN(AC126,Parámetros!$B$11)-MAX(AB126,0))+MAX(0,MIN(AC126,1+Parámetros!$B$11)-MAX(AB126,AD126))+MAX(0,MIN(AC126,2)-MAX(AB126,1+AD126))</f>
        <v>0</v>
      </c>
      <c r="AN126" s="20">
        <f t="shared" si="39"/>
        <v>0</v>
      </c>
      <c r="AO126" s="20">
        <f>AE126*(MAX(0,MIN(AC126,Parámetros!$B$11)-MAX(AB126,0))+MAX(0,MIN(AC126,1)-MAX(AB126,AD126)))+AF126*(MAX(0,MIN(AC126,1+Parámetros!$B$11)-MAX(AB126,1))+MAX(0,MIN(AC126,2)-MAX(AB126,1+AD126)))</f>
        <v>0</v>
      </c>
    </row>
    <row r="127" spans="1:41" x14ac:dyDescent="0.25">
      <c r="A127" s="15"/>
      <c r="B127" s="8"/>
      <c r="C127" s="5" t="str">
        <f>IF(B127="","",IFERROR(INDEX(Trabajadores!$B$5:$B$204,MATCH(B127,Trabajadores!$A$5:$A$204,0)),"Cédula no registrada"))</f>
        <v/>
      </c>
      <c r="D127" s="11"/>
      <c r="E127" s="11"/>
      <c r="F127" s="8"/>
      <c r="G127" s="18" t="str">
        <f>IF(A127="","",IFERROR(INDEX(Trabajadores!$E$5:$E$204,MATCH(B127,Trabajadores!$A$5:$A$204,0))/Parámetros!$B$6,0)+IF(IFERROR(INDEX(Trabajadores!$E$5:$E$204,MATCH(B127,Trabajadores!$A$5:$A$204,0)),"")="",Parámetros!$B$7,0))</f>
        <v/>
      </c>
      <c r="H127" s="5" t="str">
        <f t="shared" si="20"/>
        <v/>
      </c>
      <c r="I127" s="5" t="str">
        <f>IF(A127="","",IF(COUNTIF(Festivos!$A$5:$A$451,A127)&gt;0,"Festivo",IF(WEEKDAY(A127,2)=7,"Domingo",IF(AND(AF127=1,AC127&gt;1),IF(COUNTIF(Festivos!$A$5:$A$451,A127+1)&gt;0,"Festivo","Domingo")&amp;" desde las 00:00",""))))</f>
        <v/>
      </c>
      <c r="J127" s="19" t="str">
        <f t="shared" si="21"/>
        <v/>
      </c>
      <c r="K127" s="19" t="str">
        <f t="shared" si="22"/>
        <v/>
      </c>
      <c r="L127" s="19" t="str">
        <f t="shared" si="23"/>
        <v/>
      </c>
      <c r="M127" s="19" t="str">
        <f t="shared" si="24"/>
        <v/>
      </c>
      <c r="N127" s="19" t="str">
        <f t="shared" si="25"/>
        <v/>
      </c>
      <c r="O127" s="19" t="str">
        <f t="shared" si="26"/>
        <v/>
      </c>
      <c r="P127" s="19" t="str">
        <f t="shared" si="27"/>
        <v/>
      </c>
      <c r="Q127" s="19" t="str">
        <f t="shared" si="28"/>
        <v/>
      </c>
      <c r="R127" s="19" t="str">
        <f t="shared" si="29"/>
        <v/>
      </c>
      <c r="S127" s="17" t="str">
        <f>IF(B127="","",IFERROR(INDEX(Trabajadores!$G$5:$G$204,MATCH(B127,Trabajadores!$A$5:$A$204,0)),""))</f>
        <v/>
      </c>
      <c r="T127" s="17" t="str">
        <f>IF(OR(OR(A127="",D127="",E127=""),S127=""),"",ROUND(S127*(N(L127)*Parámetros!$B$8+N(M127)*(1+Parámetros!$B$9)+N(N127)*(1+Parámetros!$B$10)+N(O127)*(1+AG127)+N(P127)*(1+AG127+Parámetros!$B$8)+N(Q127)*(1+AG127+Parámetros!$B$9)+N(R127)*(1+AG127+Parámetros!$B$10)),0))</f>
        <v/>
      </c>
      <c r="U127" s="5" t="str">
        <f>IF(OR(A127="",D127="",E127=""),"",IF(N(M127)+N(N127)+N(Q127)+N(R127)&gt;Parámetros!$B$12,"Supera el límite de horas extras diarias",IF(C127="Cédula no registrada","Registre la cédula en «Trabajadores»","")))</f>
        <v/>
      </c>
      <c r="X127" s="20">
        <f t="shared" si="30"/>
        <v>0</v>
      </c>
      <c r="Y127" s="20">
        <f t="shared" si="31"/>
        <v>0</v>
      </c>
      <c r="Z127" s="20">
        <f t="shared" si="32"/>
        <v>0</v>
      </c>
      <c r="AA127" s="20">
        <f t="shared" si="33"/>
        <v>0</v>
      </c>
      <c r="AB127" s="20">
        <f t="shared" si="34"/>
        <v>0</v>
      </c>
      <c r="AC127" s="20">
        <f t="shared" si="35"/>
        <v>0</v>
      </c>
      <c r="AD127" s="20">
        <f>IF(A127="",21/24,MOD(VLOOKUP(A127,Parámetros!$A$24:$B$25,2,TRUE()),1))</f>
        <v>0.875</v>
      </c>
      <c r="AE127" s="5">
        <f>IF(A127="",0,IF(OR(WEEKDAY(A127,2)=7,COUNTIF(Festivos!$A$5:$A$451,A127)&gt;0),1,0))</f>
        <v>0</v>
      </c>
      <c r="AF127" s="5">
        <f>IF(A127="",0,IF(OR(WEEKDAY(A127+1,2)=7,COUNTIF(Festivos!$A$5:$A$451,A127+1)&gt;0),1,0))</f>
        <v>0</v>
      </c>
      <c r="AG127" s="9">
        <f>IF(A127="",0,VLOOKUP(A127,Parámetros!$A$18:$B$21,2,TRUE()))</f>
        <v>0</v>
      </c>
      <c r="AH127" s="20">
        <f t="shared" si="36"/>
        <v>0</v>
      </c>
      <c r="AI127" s="20">
        <f>MAX(0,MIN(AB127,Parámetros!$B$11)-MAX(X127,0))+MAX(0,MIN(AB127,1+Parámetros!$B$11)-MAX(X127,AD127))+MAX(0,MIN(AB127,2)-MAX(X127,1+AD127))</f>
        <v>0</v>
      </c>
      <c r="AJ127" s="20">
        <f t="shared" si="37"/>
        <v>0</v>
      </c>
      <c r="AK127" s="20">
        <f>AE127*(MAX(0,MIN(AB127,Parámetros!$B$11)-MAX(X127,0))+MAX(0,MIN(AB127,1)-MAX(X127,AD127)))+AF127*(MAX(0,MIN(AB127,1+Parámetros!$B$11)-MAX(X127,1))+MAX(0,MIN(AB127,2)-MAX(X127,1+AD127)))</f>
        <v>0</v>
      </c>
      <c r="AL127" s="20">
        <f t="shared" si="38"/>
        <v>0</v>
      </c>
      <c r="AM127" s="20">
        <f>MAX(0,MIN(AC127,Parámetros!$B$11)-MAX(AB127,0))+MAX(0,MIN(AC127,1+Parámetros!$B$11)-MAX(AB127,AD127))+MAX(0,MIN(AC127,2)-MAX(AB127,1+AD127))</f>
        <v>0</v>
      </c>
      <c r="AN127" s="20">
        <f t="shared" si="39"/>
        <v>0</v>
      </c>
      <c r="AO127" s="20">
        <f>AE127*(MAX(0,MIN(AC127,Parámetros!$B$11)-MAX(AB127,0))+MAX(0,MIN(AC127,1)-MAX(AB127,AD127)))+AF127*(MAX(0,MIN(AC127,1+Parámetros!$B$11)-MAX(AB127,1))+MAX(0,MIN(AC127,2)-MAX(AB127,1+AD127)))</f>
        <v>0</v>
      </c>
    </row>
    <row r="128" spans="1:41" x14ac:dyDescent="0.25">
      <c r="A128" s="15"/>
      <c r="B128" s="8"/>
      <c r="C128" s="5" t="str">
        <f>IF(B128="","",IFERROR(INDEX(Trabajadores!$B$5:$B$204,MATCH(B128,Trabajadores!$A$5:$A$204,0)),"Cédula no registrada"))</f>
        <v/>
      </c>
      <c r="D128" s="11"/>
      <c r="E128" s="11"/>
      <c r="F128" s="8"/>
      <c r="G128" s="18" t="str">
        <f>IF(A128="","",IFERROR(INDEX(Trabajadores!$E$5:$E$204,MATCH(B128,Trabajadores!$A$5:$A$204,0))/Parámetros!$B$6,0)+IF(IFERROR(INDEX(Trabajadores!$E$5:$E$204,MATCH(B128,Trabajadores!$A$5:$A$204,0)),"")="",Parámetros!$B$7,0))</f>
        <v/>
      </c>
      <c r="H128" s="5" t="str">
        <f t="shared" si="20"/>
        <v/>
      </c>
      <c r="I128" s="5" t="str">
        <f>IF(A128="","",IF(COUNTIF(Festivos!$A$5:$A$451,A128)&gt;0,"Festivo",IF(WEEKDAY(A128,2)=7,"Domingo",IF(AND(AF128=1,AC128&gt;1),IF(COUNTIF(Festivos!$A$5:$A$451,A128+1)&gt;0,"Festivo","Domingo")&amp;" desde las 00:00",""))))</f>
        <v/>
      </c>
      <c r="J128" s="19" t="str">
        <f t="shared" si="21"/>
        <v/>
      </c>
      <c r="K128" s="19" t="str">
        <f t="shared" si="22"/>
        <v/>
      </c>
      <c r="L128" s="19" t="str">
        <f t="shared" si="23"/>
        <v/>
      </c>
      <c r="M128" s="19" t="str">
        <f t="shared" si="24"/>
        <v/>
      </c>
      <c r="N128" s="19" t="str">
        <f t="shared" si="25"/>
        <v/>
      </c>
      <c r="O128" s="19" t="str">
        <f t="shared" si="26"/>
        <v/>
      </c>
      <c r="P128" s="19" t="str">
        <f t="shared" si="27"/>
        <v/>
      </c>
      <c r="Q128" s="19" t="str">
        <f t="shared" si="28"/>
        <v/>
      </c>
      <c r="R128" s="19" t="str">
        <f t="shared" si="29"/>
        <v/>
      </c>
      <c r="S128" s="17" t="str">
        <f>IF(B128="","",IFERROR(INDEX(Trabajadores!$G$5:$G$204,MATCH(B128,Trabajadores!$A$5:$A$204,0)),""))</f>
        <v/>
      </c>
      <c r="T128" s="17" t="str">
        <f>IF(OR(OR(A128="",D128="",E128=""),S128=""),"",ROUND(S128*(N(L128)*Parámetros!$B$8+N(M128)*(1+Parámetros!$B$9)+N(N128)*(1+Parámetros!$B$10)+N(O128)*(1+AG128)+N(P128)*(1+AG128+Parámetros!$B$8)+N(Q128)*(1+AG128+Parámetros!$B$9)+N(R128)*(1+AG128+Parámetros!$B$10)),0))</f>
        <v/>
      </c>
      <c r="U128" s="5" t="str">
        <f>IF(OR(A128="",D128="",E128=""),"",IF(N(M128)+N(N128)+N(Q128)+N(R128)&gt;Parámetros!$B$12,"Supera el límite de horas extras diarias",IF(C128="Cédula no registrada","Registre la cédula en «Trabajadores»","")))</f>
        <v/>
      </c>
      <c r="X128" s="20">
        <f t="shared" si="30"/>
        <v>0</v>
      </c>
      <c r="Y128" s="20">
        <f t="shared" si="31"/>
        <v>0</v>
      </c>
      <c r="Z128" s="20">
        <f t="shared" si="32"/>
        <v>0</v>
      </c>
      <c r="AA128" s="20">
        <f t="shared" si="33"/>
        <v>0</v>
      </c>
      <c r="AB128" s="20">
        <f t="shared" si="34"/>
        <v>0</v>
      </c>
      <c r="AC128" s="20">
        <f t="shared" si="35"/>
        <v>0</v>
      </c>
      <c r="AD128" s="20">
        <f>IF(A128="",21/24,MOD(VLOOKUP(A128,Parámetros!$A$24:$B$25,2,TRUE()),1))</f>
        <v>0.875</v>
      </c>
      <c r="AE128" s="5">
        <f>IF(A128="",0,IF(OR(WEEKDAY(A128,2)=7,COUNTIF(Festivos!$A$5:$A$451,A128)&gt;0),1,0))</f>
        <v>0</v>
      </c>
      <c r="AF128" s="5">
        <f>IF(A128="",0,IF(OR(WEEKDAY(A128+1,2)=7,COUNTIF(Festivos!$A$5:$A$451,A128+1)&gt;0),1,0))</f>
        <v>0</v>
      </c>
      <c r="AG128" s="9">
        <f>IF(A128="",0,VLOOKUP(A128,Parámetros!$A$18:$B$21,2,TRUE()))</f>
        <v>0</v>
      </c>
      <c r="AH128" s="20">
        <f t="shared" si="36"/>
        <v>0</v>
      </c>
      <c r="AI128" s="20">
        <f>MAX(0,MIN(AB128,Parámetros!$B$11)-MAX(X128,0))+MAX(0,MIN(AB128,1+Parámetros!$B$11)-MAX(X128,AD128))+MAX(0,MIN(AB128,2)-MAX(X128,1+AD128))</f>
        <v>0</v>
      </c>
      <c r="AJ128" s="20">
        <f t="shared" si="37"/>
        <v>0</v>
      </c>
      <c r="AK128" s="20">
        <f>AE128*(MAX(0,MIN(AB128,Parámetros!$B$11)-MAX(X128,0))+MAX(0,MIN(AB128,1)-MAX(X128,AD128)))+AF128*(MAX(0,MIN(AB128,1+Parámetros!$B$11)-MAX(X128,1))+MAX(0,MIN(AB128,2)-MAX(X128,1+AD128)))</f>
        <v>0</v>
      </c>
      <c r="AL128" s="20">
        <f t="shared" si="38"/>
        <v>0</v>
      </c>
      <c r="AM128" s="20">
        <f>MAX(0,MIN(AC128,Parámetros!$B$11)-MAX(AB128,0))+MAX(0,MIN(AC128,1+Parámetros!$B$11)-MAX(AB128,AD128))+MAX(0,MIN(AC128,2)-MAX(AB128,1+AD128))</f>
        <v>0</v>
      </c>
      <c r="AN128" s="20">
        <f t="shared" si="39"/>
        <v>0</v>
      </c>
      <c r="AO128" s="20">
        <f>AE128*(MAX(0,MIN(AC128,Parámetros!$B$11)-MAX(AB128,0))+MAX(0,MIN(AC128,1)-MAX(AB128,AD128)))+AF128*(MAX(0,MIN(AC128,1+Parámetros!$B$11)-MAX(AB128,1))+MAX(0,MIN(AC128,2)-MAX(AB128,1+AD128)))</f>
        <v>0</v>
      </c>
    </row>
    <row r="129" spans="1:41" x14ac:dyDescent="0.25">
      <c r="A129" s="15"/>
      <c r="B129" s="8"/>
      <c r="C129" s="5" t="str">
        <f>IF(B129="","",IFERROR(INDEX(Trabajadores!$B$5:$B$204,MATCH(B129,Trabajadores!$A$5:$A$204,0)),"Cédula no registrada"))</f>
        <v/>
      </c>
      <c r="D129" s="11"/>
      <c r="E129" s="11"/>
      <c r="F129" s="8"/>
      <c r="G129" s="18" t="str">
        <f>IF(A129="","",IFERROR(INDEX(Trabajadores!$E$5:$E$204,MATCH(B129,Trabajadores!$A$5:$A$204,0))/Parámetros!$B$6,0)+IF(IFERROR(INDEX(Trabajadores!$E$5:$E$204,MATCH(B129,Trabajadores!$A$5:$A$204,0)),"")="",Parámetros!$B$7,0))</f>
        <v/>
      </c>
      <c r="H129" s="5" t="str">
        <f t="shared" si="20"/>
        <v/>
      </c>
      <c r="I129" s="5" t="str">
        <f>IF(A129="","",IF(COUNTIF(Festivos!$A$5:$A$451,A129)&gt;0,"Festivo",IF(WEEKDAY(A129,2)=7,"Domingo",IF(AND(AF129=1,AC129&gt;1),IF(COUNTIF(Festivos!$A$5:$A$451,A129+1)&gt;0,"Festivo","Domingo")&amp;" desde las 00:00",""))))</f>
        <v/>
      </c>
      <c r="J129" s="19" t="str">
        <f t="shared" si="21"/>
        <v/>
      </c>
      <c r="K129" s="19" t="str">
        <f t="shared" si="22"/>
        <v/>
      </c>
      <c r="L129" s="19" t="str">
        <f t="shared" si="23"/>
        <v/>
      </c>
      <c r="M129" s="19" t="str">
        <f t="shared" si="24"/>
        <v/>
      </c>
      <c r="N129" s="19" t="str">
        <f t="shared" si="25"/>
        <v/>
      </c>
      <c r="O129" s="19" t="str">
        <f t="shared" si="26"/>
        <v/>
      </c>
      <c r="P129" s="19" t="str">
        <f t="shared" si="27"/>
        <v/>
      </c>
      <c r="Q129" s="19" t="str">
        <f t="shared" si="28"/>
        <v/>
      </c>
      <c r="R129" s="19" t="str">
        <f t="shared" si="29"/>
        <v/>
      </c>
      <c r="S129" s="17" t="str">
        <f>IF(B129="","",IFERROR(INDEX(Trabajadores!$G$5:$G$204,MATCH(B129,Trabajadores!$A$5:$A$204,0)),""))</f>
        <v/>
      </c>
      <c r="T129" s="17" t="str">
        <f>IF(OR(OR(A129="",D129="",E129=""),S129=""),"",ROUND(S129*(N(L129)*Parámetros!$B$8+N(M129)*(1+Parámetros!$B$9)+N(N129)*(1+Parámetros!$B$10)+N(O129)*(1+AG129)+N(P129)*(1+AG129+Parámetros!$B$8)+N(Q129)*(1+AG129+Parámetros!$B$9)+N(R129)*(1+AG129+Parámetros!$B$10)),0))</f>
        <v/>
      </c>
      <c r="U129" s="5" t="str">
        <f>IF(OR(A129="",D129="",E129=""),"",IF(N(M129)+N(N129)+N(Q129)+N(R129)&gt;Parámetros!$B$12,"Supera el límite de horas extras diarias",IF(C129="Cédula no registrada","Registre la cédula en «Trabajadores»","")))</f>
        <v/>
      </c>
      <c r="X129" s="20">
        <f t="shared" si="30"/>
        <v>0</v>
      </c>
      <c r="Y129" s="20">
        <f t="shared" si="31"/>
        <v>0</v>
      </c>
      <c r="Z129" s="20">
        <f t="shared" si="32"/>
        <v>0</v>
      </c>
      <c r="AA129" s="20">
        <f t="shared" si="33"/>
        <v>0</v>
      </c>
      <c r="AB129" s="20">
        <f t="shared" si="34"/>
        <v>0</v>
      </c>
      <c r="AC129" s="20">
        <f t="shared" si="35"/>
        <v>0</v>
      </c>
      <c r="AD129" s="20">
        <f>IF(A129="",21/24,MOD(VLOOKUP(A129,Parámetros!$A$24:$B$25,2,TRUE()),1))</f>
        <v>0.875</v>
      </c>
      <c r="AE129" s="5">
        <f>IF(A129="",0,IF(OR(WEEKDAY(A129,2)=7,COUNTIF(Festivos!$A$5:$A$451,A129)&gt;0),1,0))</f>
        <v>0</v>
      </c>
      <c r="AF129" s="5">
        <f>IF(A129="",0,IF(OR(WEEKDAY(A129+1,2)=7,COUNTIF(Festivos!$A$5:$A$451,A129+1)&gt;0),1,0))</f>
        <v>0</v>
      </c>
      <c r="AG129" s="9">
        <f>IF(A129="",0,VLOOKUP(A129,Parámetros!$A$18:$B$21,2,TRUE()))</f>
        <v>0</v>
      </c>
      <c r="AH129" s="20">
        <f t="shared" si="36"/>
        <v>0</v>
      </c>
      <c r="AI129" s="20">
        <f>MAX(0,MIN(AB129,Parámetros!$B$11)-MAX(X129,0))+MAX(0,MIN(AB129,1+Parámetros!$B$11)-MAX(X129,AD129))+MAX(0,MIN(AB129,2)-MAX(X129,1+AD129))</f>
        <v>0</v>
      </c>
      <c r="AJ129" s="20">
        <f t="shared" si="37"/>
        <v>0</v>
      </c>
      <c r="AK129" s="20">
        <f>AE129*(MAX(0,MIN(AB129,Parámetros!$B$11)-MAX(X129,0))+MAX(0,MIN(AB129,1)-MAX(X129,AD129)))+AF129*(MAX(0,MIN(AB129,1+Parámetros!$B$11)-MAX(X129,1))+MAX(0,MIN(AB129,2)-MAX(X129,1+AD129)))</f>
        <v>0</v>
      </c>
      <c r="AL129" s="20">
        <f t="shared" si="38"/>
        <v>0</v>
      </c>
      <c r="AM129" s="20">
        <f>MAX(0,MIN(AC129,Parámetros!$B$11)-MAX(AB129,0))+MAX(0,MIN(AC129,1+Parámetros!$B$11)-MAX(AB129,AD129))+MAX(0,MIN(AC129,2)-MAX(AB129,1+AD129))</f>
        <v>0</v>
      </c>
      <c r="AN129" s="20">
        <f t="shared" si="39"/>
        <v>0</v>
      </c>
      <c r="AO129" s="20">
        <f>AE129*(MAX(0,MIN(AC129,Parámetros!$B$11)-MAX(AB129,0))+MAX(0,MIN(AC129,1)-MAX(AB129,AD129)))+AF129*(MAX(0,MIN(AC129,1+Parámetros!$B$11)-MAX(AB129,1))+MAX(0,MIN(AC129,2)-MAX(AB129,1+AD129)))</f>
        <v>0</v>
      </c>
    </row>
    <row r="130" spans="1:41" x14ac:dyDescent="0.25">
      <c r="A130" s="15"/>
      <c r="B130" s="8"/>
      <c r="C130" s="5" t="str">
        <f>IF(B130="","",IFERROR(INDEX(Trabajadores!$B$5:$B$204,MATCH(B130,Trabajadores!$A$5:$A$204,0)),"Cédula no registrada"))</f>
        <v/>
      </c>
      <c r="D130" s="11"/>
      <c r="E130" s="11"/>
      <c r="F130" s="8"/>
      <c r="G130" s="18" t="str">
        <f>IF(A130="","",IFERROR(INDEX(Trabajadores!$E$5:$E$204,MATCH(B130,Trabajadores!$A$5:$A$204,0))/Parámetros!$B$6,0)+IF(IFERROR(INDEX(Trabajadores!$E$5:$E$204,MATCH(B130,Trabajadores!$A$5:$A$204,0)),"")="",Parámetros!$B$7,0))</f>
        <v/>
      </c>
      <c r="H130" s="5" t="str">
        <f t="shared" si="20"/>
        <v/>
      </c>
      <c r="I130" s="5" t="str">
        <f>IF(A130="","",IF(COUNTIF(Festivos!$A$5:$A$451,A130)&gt;0,"Festivo",IF(WEEKDAY(A130,2)=7,"Domingo",IF(AND(AF130=1,AC130&gt;1),IF(COUNTIF(Festivos!$A$5:$A$451,A130+1)&gt;0,"Festivo","Domingo")&amp;" desde las 00:00",""))))</f>
        <v/>
      </c>
      <c r="J130" s="19" t="str">
        <f t="shared" si="21"/>
        <v/>
      </c>
      <c r="K130" s="19" t="str">
        <f t="shared" si="22"/>
        <v/>
      </c>
      <c r="L130" s="19" t="str">
        <f t="shared" si="23"/>
        <v/>
      </c>
      <c r="M130" s="19" t="str">
        <f t="shared" si="24"/>
        <v/>
      </c>
      <c r="N130" s="19" t="str">
        <f t="shared" si="25"/>
        <v/>
      </c>
      <c r="O130" s="19" t="str">
        <f t="shared" si="26"/>
        <v/>
      </c>
      <c r="P130" s="19" t="str">
        <f t="shared" si="27"/>
        <v/>
      </c>
      <c r="Q130" s="19" t="str">
        <f t="shared" si="28"/>
        <v/>
      </c>
      <c r="R130" s="19" t="str">
        <f t="shared" si="29"/>
        <v/>
      </c>
      <c r="S130" s="17" t="str">
        <f>IF(B130="","",IFERROR(INDEX(Trabajadores!$G$5:$G$204,MATCH(B130,Trabajadores!$A$5:$A$204,0)),""))</f>
        <v/>
      </c>
      <c r="T130" s="17" t="str">
        <f>IF(OR(OR(A130="",D130="",E130=""),S130=""),"",ROUND(S130*(N(L130)*Parámetros!$B$8+N(M130)*(1+Parámetros!$B$9)+N(N130)*(1+Parámetros!$B$10)+N(O130)*(1+AG130)+N(P130)*(1+AG130+Parámetros!$B$8)+N(Q130)*(1+AG130+Parámetros!$B$9)+N(R130)*(1+AG130+Parámetros!$B$10)),0))</f>
        <v/>
      </c>
      <c r="U130" s="5" t="str">
        <f>IF(OR(A130="",D130="",E130=""),"",IF(N(M130)+N(N130)+N(Q130)+N(R130)&gt;Parámetros!$B$12,"Supera el límite de horas extras diarias",IF(C130="Cédula no registrada","Registre la cédula en «Trabajadores»","")))</f>
        <v/>
      </c>
      <c r="X130" s="20">
        <f t="shared" si="30"/>
        <v>0</v>
      </c>
      <c r="Y130" s="20">
        <f t="shared" si="31"/>
        <v>0</v>
      </c>
      <c r="Z130" s="20">
        <f t="shared" si="32"/>
        <v>0</v>
      </c>
      <c r="AA130" s="20">
        <f t="shared" si="33"/>
        <v>0</v>
      </c>
      <c r="AB130" s="20">
        <f t="shared" si="34"/>
        <v>0</v>
      </c>
      <c r="AC130" s="20">
        <f t="shared" si="35"/>
        <v>0</v>
      </c>
      <c r="AD130" s="20">
        <f>IF(A130="",21/24,MOD(VLOOKUP(A130,Parámetros!$A$24:$B$25,2,TRUE()),1))</f>
        <v>0.875</v>
      </c>
      <c r="AE130" s="5">
        <f>IF(A130="",0,IF(OR(WEEKDAY(A130,2)=7,COUNTIF(Festivos!$A$5:$A$451,A130)&gt;0),1,0))</f>
        <v>0</v>
      </c>
      <c r="AF130" s="5">
        <f>IF(A130="",0,IF(OR(WEEKDAY(A130+1,2)=7,COUNTIF(Festivos!$A$5:$A$451,A130+1)&gt;0),1,0))</f>
        <v>0</v>
      </c>
      <c r="AG130" s="9">
        <f>IF(A130="",0,VLOOKUP(A130,Parámetros!$A$18:$B$21,2,TRUE()))</f>
        <v>0</v>
      </c>
      <c r="AH130" s="20">
        <f t="shared" si="36"/>
        <v>0</v>
      </c>
      <c r="AI130" s="20">
        <f>MAX(0,MIN(AB130,Parámetros!$B$11)-MAX(X130,0))+MAX(0,MIN(AB130,1+Parámetros!$B$11)-MAX(X130,AD130))+MAX(0,MIN(AB130,2)-MAX(X130,1+AD130))</f>
        <v>0</v>
      </c>
      <c r="AJ130" s="20">
        <f t="shared" si="37"/>
        <v>0</v>
      </c>
      <c r="AK130" s="20">
        <f>AE130*(MAX(0,MIN(AB130,Parámetros!$B$11)-MAX(X130,0))+MAX(0,MIN(AB130,1)-MAX(X130,AD130)))+AF130*(MAX(0,MIN(AB130,1+Parámetros!$B$11)-MAX(X130,1))+MAX(0,MIN(AB130,2)-MAX(X130,1+AD130)))</f>
        <v>0</v>
      </c>
      <c r="AL130" s="20">
        <f t="shared" si="38"/>
        <v>0</v>
      </c>
      <c r="AM130" s="20">
        <f>MAX(0,MIN(AC130,Parámetros!$B$11)-MAX(AB130,0))+MAX(0,MIN(AC130,1+Parámetros!$B$11)-MAX(AB130,AD130))+MAX(0,MIN(AC130,2)-MAX(AB130,1+AD130))</f>
        <v>0</v>
      </c>
      <c r="AN130" s="20">
        <f t="shared" si="39"/>
        <v>0</v>
      </c>
      <c r="AO130" s="20">
        <f>AE130*(MAX(0,MIN(AC130,Parámetros!$B$11)-MAX(AB130,0))+MAX(0,MIN(AC130,1)-MAX(AB130,AD130)))+AF130*(MAX(0,MIN(AC130,1+Parámetros!$B$11)-MAX(AB130,1))+MAX(0,MIN(AC130,2)-MAX(AB130,1+AD130)))</f>
        <v>0</v>
      </c>
    </row>
    <row r="131" spans="1:41" x14ac:dyDescent="0.25">
      <c r="A131" s="15"/>
      <c r="B131" s="8"/>
      <c r="C131" s="5" t="str">
        <f>IF(B131="","",IFERROR(INDEX(Trabajadores!$B$5:$B$204,MATCH(B131,Trabajadores!$A$5:$A$204,0)),"Cédula no registrada"))</f>
        <v/>
      </c>
      <c r="D131" s="11"/>
      <c r="E131" s="11"/>
      <c r="F131" s="8"/>
      <c r="G131" s="18" t="str">
        <f>IF(A131="","",IFERROR(INDEX(Trabajadores!$E$5:$E$204,MATCH(B131,Trabajadores!$A$5:$A$204,0))/Parámetros!$B$6,0)+IF(IFERROR(INDEX(Trabajadores!$E$5:$E$204,MATCH(B131,Trabajadores!$A$5:$A$204,0)),"")="",Parámetros!$B$7,0))</f>
        <v/>
      </c>
      <c r="H131" s="5" t="str">
        <f t="shared" si="20"/>
        <v/>
      </c>
      <c r="I131" s="5" t="str">
        <f>IF(A131="","",IF(COUNTIF(Festivos!$A$5:$A$451,A131)&gt;0,"Festivo",IF(WEEKDAY(A131,2)=7,"Domingo",IF(AND(AF131=1,AC131&gt;1),IF(COUNTIF(Festivos!$A$5:$A$451,A131+1)&gt;0,"Festivo","Domingo")&amp;" desde las 00:00",""))))</f>
        <v/>
      </c>
      <c r="J131" s="19" t="str">
        <f t="shared" si="21"/>
        <v/>
      </c>
      <c r="K131" s="19" t="str">
        <f t="shared" si="22"/>
        <v/>
      </c>
      <c r="L131" s="19" t="str">
        <f t="shared" si="23"/>
        <v/>
      </c>
      <c r="M131" s="19" t="str">
        <f t="shared" si="24"/>
        <v/>
      </c>
      <c r="N131" s="19" t="str">
        <f t="shared" si="25"/>
        <v/>
      </c>
      <c r="O131" s="19" t="str">
        <f t="shared" si="26"/>
        <v/>
      </c>
      <c r="P131" s="19" t="str">
        <f t="shared" si="27"/>
        <v/>
      </c>
      <c r="Q131" s="19" t="str">
        <f t="shared" si="28"/>
        <v/>
      </c>
      <c r="R131" s="19" t="str">
        <f t="shared" si="29"/>
        <v/>
      </c>
      <c r="S131" s="17" t="str">
        <f>IF(B131="","",IFERROR(INDEX(Trabajadores!$G$5:$G$204,MATCH(B131,Trabajadores!$A$5:$A$204,0)),""))</f>
        <v/>
      </c>
      <c r="T131" s="17" t="str">
        <f>IF(OR(OR(A131="",D131="",E131=""),S131=""),"",ROUND(S131*(N(L131)*Parámetros!$B$8+N(M131)*(1+Parámetros!$B$9)+N(N131)*(1+Parámetros!$B$10)+N(O131)*(1+AG131)+N(P131)*(1+AG131+Parámetros!$B$8)+N(Q131)*(1+AG131+Parámetros!$B$9)+N(R131)*(1+AG131+Parámetros!$B$10)),0))</f>
        <v/>
      </c>
      <c r="U131" s="5" t="str">
        <f>IF(OR(A131="",D131="",E131=""),"",IF(N(M131)+N(N131)+N(Q131)+N(R131)&gt;Parámetros!$B$12,"Supera el límite de horas extras diarias",IF(C131="Cédula no registrada","Registre la cédula en «Trabajadores»","")))</f>
        <v/>
      </c>
      <c r="X131" s="20">
        <f t="shared" si="30"/>
        <v>0</v>
      </c>
      <c r="Y131" s="20">
        <f t="shared" si="31"/>
        <v>0</v>
      </c>
      <c r="Z131" s="20">
        <f t="shared" si="32"/>
        <v>0</v>
      </c>
      <c r="AA131" s="20">
        <f t="shared" si="33"/>
        <v>0</v>
      </c>
      <c r="AB131" s="20">
        <f t="shared" si="34"/>
        <v>0</v>
      </c>
      <c r="AC131" s="20">
        <f t="shared" si="35"/>
        <v>0</v>
      </c>
      <c r="AD131" s="20">
        <f>IF(A131="",21/24,MOD(VLOOKUP(A131,Parámetros!$A$24:$B$25,2,TRUE()),1))</f>
        <v>0.875</v>
      </c>
      <c r="AE131" s="5">
        <f>IF(A131="",0,IF(OR(WEEKDAY(A131,2)=7,COUNTIF(Festivos!$A$5:$A$451,A131)&gt;0),1,0))</f>
        <v>0</v>
      </c>
      <c r="AF131" s="5">
        <f>IF(A131="",0,IF(OR(WEEKDAY(A131+1,2)=7,COUNTIF(Festivos!$A$5:$A$451,A131+1)&gt;0),1,0))</f>
        <v>0</v>
      </c>
      <c r="AG131" s="9">
        <f>IF(A131="",0,VLOOKUP(A131,Parámetros!$A$18:$B$21,2,TRUE()))</f>
        <v>0</v>
      </c>
      <c r="AH131" s="20">
        <f t="shared" si="36"/>
        <v>0</v>
      </c>
      <c r="AI131" s="20">
        <f>MAX(0,MIN(AB131,Parámetros!$B$11)-MAX(X131,0))+MAX(0,MIN(AB131,1+Parámetros!$B$11)-MAX(X131,AD131))+MAX(0,MIN(AB131,2)-MAX(X131,1+AD131))</f>
        <v>0</v>
      </c>
      <c r="AJ131" s="20">
        <f t="shared" si="37"/>
        <v>0</v>
      </c>
      <c r="AK131" s="20">
        <f>AE131*(MAX(0,MIN(AB131,Parámetros!$B$11)-MAX(X131,0))+MAX(0,MIN(AB131,1)-MAX(X131,AD131)))+AF131*(MAX(0,MIN(AB131,1+Parámetros!$B$11)-MAX(X131,1))+MAX(0,MIN(AB131,2)-MAX(X131,1+AD131)))</f>
        <v>0</v>
      </c>
      <c r="AL131" s="20">
        <f t="shared" si="38"/>
        <v>0</v>
      </c>
      <c r="AM131" s="20">
        <f>MAX(0,MIN(AC131,Parámetros!$B$11)-MAX(AB131,0))+MAX(0,MIN(AC131,1+Parámetros!$B$11)-MAX(AB131,AD131))+MAX(0,MIN(AC131,2)-MAX(AB131,1+AD131))</f>
        <v>0</v>
      </c>
      <c r="AN131" s="20">
        <f t="shared" si="39"/>
        <v>0</v>
      </c>
      <c r="AO131" s="20">
        <f>AE131*(MAX(0,MIN(AC131,Parámetros!$B$11)-MAX(AB131,0))+MAX(0,MIN(AC131,1)-MAX(AB131,AD131)))+AF131*(MAX(0,MIN(AC131,1+Parámetros!$B$11)-MAX(AB131,1))+MAX(0,MIN(AC131,2)-MAX(AB131,1+AD131)))</f>
        <v>0</v>
      </c>
    </row>
    <row r="132" spans="1:41" x14ac:dyDescent="0.25">
      <c r="A132" s="15"/>
      <c r="B132" s="8"/>
      <c r="C132" s="5" t="str">
        <f>IF(B132="","",IFERROR(INDEX(Trabajadores!$B$5:$B$204,MATCH(B132,Trabajadores!$A$5:$A$204,0)),"Cédula no registrada"))</f>
        <v/>
      </c>
      <c r="D132" s="11"/>
      <c r="E132" s="11"/>
      <c r="F132" s="8"/>
      <c r="G132" s="18" t="str">
        <f>IF(A132="","",IFERROR(INDEX(Trabajadores!$E$5:$E$204,MATCH(B132,Trabajadores!$A$5:$A$204,0))/Parámetros!$B$6,0)+IF(IFERROR(INDEX(Trabajadores!$E$5:$E$204,MATCH(B132,Trabajadores!$A$5:$A$204,0)),"")="",Parámetros!$B$7,0))</f>
        <v/>
      </c>
      <c r="H132" s="5" t="str">
        <f t="shared" si="20"/>
        <v/>
      </c>
      <c r="I132" s="5" t="str">
        <f>IF(A132="","",IF(COUNTIF(Festivos!$A$5:$A$451,A132)&gt;0,"Festivo",IF(WEEKDAY(A132,2)=7,"Domingo",IF(AND(AF132=1,AC132&gt;1),IF(COUNTIF(Festivos!$A$5:$A$451,A132+1)&gt;0,"Festivo","Domingo")&amp;" desde las 00:00",""))))</f>
        <v/>
      </c>
      <c r="J132" s="19" t="str">
        <f t="shared" si="21"/>
        <v/>
      </c>
      <c r="K132" s="19" t="str">
        <f t="shared" si="22"/>
        <v/>
      </c>
      <c r="L132" s="19" t="str">
        <f t="shared" si="23"/>
        <v/>
      </c>
      <c r="M132" s="19" t="str">
        <f t="shared" si="24"/>
        <v/>
      </c>
      <c r="N132" s="19" t="str">
        <f t="shared" si="25"/>
        <v/>
      </c>
      <c r="O132" s="19" t="str">
        <f t="shared" si="26"/>
        <v/>
      </c>
      <c r="P132" s="19" t="str">
        <f t="shared" si="27"/>
        <v/>
      </c>
      <c r="Q132" s="19" t="str">
        <f t="shared" si="28"/>
        <v/>
      </c>
      <c r="R132" s="19" t="str">
        <f t="shared" si="29"/>
        <v/>
      </c>
      <c r="S132" s="17" t="str">
        <f>IF(B132="","",IFERROR(INDEX(Trabajadores!$G$5:$G$204,MATCH(B132,Trabajadores!$A$5:$A$204,0)),""))</f>
        <v/>
      </c>
      <c r="T132" s="17" t="str">
        <f>IF(OR(OR(A132="",D132="",E132=""),S132=""),"",ROUND(S132*(N(L132)*Parámetros!$B$8+N(M132)*(1+Parámetros!$B$9)+N(N132)*(1+Parámetros!$B$10)+N(O132)*(1+AG132)+N(P132)*(1+AG132+Parámetros!$B$8)+N(Q132)*(1+AG132+Parámetros!$B$9)+N(R132)*(1+AG132+Parámetros!$B$10)),0))</f>
        <v/>
      </c>
      <c r="U132" s="5" t="str">
        <f>IF(OR(A132="",D132="",E132=""),"",IF(N(M132)+N(N132)+N(Q132)+N(R132)&gt;Parámetros!$B$12,"Supera el límite de horas extras diarias",IF(C132="Cédula no registrada","Registre la cédula en «Trabajadores»","")))</f>
        <v/>
      </c>
      <c r="X132" s="20">
        <f t="shared" si="30"/>
        <v>0</v>
      </c>
      <c r="Y132" s="20">
        <f t="shared" si="31"/>
        <v>0</v>
      </c>
      <c r="Z132" s="20">
        <f t="shared" si="32"/>
        <v>0</v>
      </c>
      <c r="AA132" s="20">
        <f t="shared" si="33"/>
        <v>0</v>
      </c>
      <c r="AB132" s="20">
        <f t="shared" si="34"/>
        <v>0</v>
      </c>
      <c r="AC132" s="20">
        <f t="shared" si="35"/>
        <v>0</v>
      </c>
      <c r="AD132" s="20">
        <f>IF(A132="",21/24,MOD(VLOOKUP(A132,Parámetros!$A$24:$B$25,2,TRUE()),1))</f>
        <v>0.875</v>
      </c>
      <c r="AE132" s="5">
        <f>IF(A132="",0,IF(OR(WEEKDAY(A132,2)=7,COUNTIF(Festivos!$A$5:$A$451,A132)&gt;0),1,0))</f>
        <v>0</v>
      </c>
      <c r="AF132" s="5">
        <f>IF(A132="",0,IF(OR(WEEKDAY(A132+1,2)=7,COUNTIF(Festivos!$A$5:$A$451,A132+1)&gt;0),1,0))</f>
        <v>0</v>
      </c>
      <c r="AG132" s="9">
        <f>IF(A132="",0,VLOOKUP(A132,Parámetros!$A$18:$B$21,2,TRUE()))</f>
        <v>0</v>
      </c>
      <c r="AH132" s="20">
        <f t="shared" si="36"/>
        <v>0</v>
      </c>
      <c r="AI132" s="20">
        <f>MAX(0,MIN(AB132,Parámetros!$B$11)-MAX(X132,0))+MAX(0,MIN(AB132,1+Parámetros!$B$11)-MAX(X132,AD132))+MAX(0,MIN(AB132,2)-MAX(X132,1+AD132))</f>
        <v>0</v>
      </c>
      <c r="AJ132" s="20">
        <f t="shared" si="37"/>
        <v>0</v>
      </c>
      <c r="AK132" s="20">
        <f>AE132*(MAX(0,MIN(AB132,Parámetros!$B$11)-MAX(X132,0))+MAX(0,MIN(AB132,1)-MAX(X132,AD132)))+AF132*(MAX(0,MIN(AB132,1+Parámetros!$B$11)-MAX(X132,1))+MAX(0,MIN(AB132,2)-MAX(X132,1+AD132)))</f>
        <v>0</v>
      </c>
      <c r="AL132" s="20">
        <f t="shared" si="38"/>
        <v>0</v>
      </c>
      <c r="AM132" s="20">
        <f>MAX(0,MIN(AC132,Parámetros!$B$11)-MAX(AB132,0))+MAX(0,MIN(AC132,1+Parámetros!$B$11)-MAX(AB132,AD132))+MAX(0,MIN(AC132,2)-MAX(AB132,1+AD132))</f>
        <v>0</v>
      </c>
      <c r="AN132" s="20">
        <f t="shared" si="39"/>
        <v>0</v>
      </c>
      <c r="AO132" s="20">
        <f>AE132*(MAX(0,MIN(AC132,Parámetros!$B$11)-MAX(AB132,0))+MAX(0,MIN(AC132,1)-MAX(AB132,AD132)))+AF132*(MAX(0,MIN(AC132,1+Parámetros!$B$11)-MAX(AB132,1))+MAX(0,MIN(AC132,2)-MAX(AB132,1+AD132)))</f>
        <v>0</v>
      </c>
    </row>
    <row r="133" spans="1:41" x14ac:dyDescent="0.25">
      <c r="A133" s="15"/>
      <c r="B133" s="8"/>
      <c r="C133" s="5" t="str">
        <f>IF(B133="","",IFERROR(INDEX(Trabajadores!$B$5:$B$204,MATCH(B133,Trabajadores!$A$5:$A$204,0)),"Cédula no registrada"))</f>
        <v/>
      </c>
      <c r="D133" s="11"/>
      <c r="E133" s="11"/>
      <c r="F133" s="8"/>
      <c r="G133" s="18" t="str">
        <f>IF(A133="","",IFERROR(INDEX(Trabajadores!$E$5:$E$204,MATCH(B133,Trabajadores!$A$5:$A$204,0))/Parámetros!$B$6,0)+IF(IFERROR(INDEX(Trabajadores!$E$5:$E$204,MATCH(B133,Trabajadores!$A$5:$A$204,0)),"")="",Parámetros!$B$7,0))</f>
        <v/>
      </c>
      <c r="H133" s="5" t="str">
        <f t="shared" ref="H133:H196" si="40">IF(A133="","",CHOOSE(WEEKDAY(A133,2),"Lunes","Martes","Miércoles","Jueves","Viernes","Sábado","Domingo"))</f>
        <v/>
      </c>
      <c r="I133" s="5" t="str">
        <f>IF(A133="","",IF(COUNTIF(Festivos!$A$5:$A$451,A133)&gt;0,"Festivo",IF(WEEKDAY(A133,2)=7,"Domingo",IF(AND(AF133=1,AC133&gt;1),IF(COUNTIF(Festivos!$A$5:$A$451,A133+1)&gt;0,"Festivo","Domingo")&amp;" desde las 00:00",""))))</f>
        <v/>
      </c>
      <c r="J133" s="19" t="str">
        <f t="shared" ref="J133:J196" si="41">IF(OR(A133="",D133="",E133=""),"",ROUND((Z133)*24,2))</f>
        <v/>
      </c>
      <c r="K133" s="19" t="str">
        <f t="shared" ref="K133:K196" si="42">IF(OR(A133="",D133="",E133=""),"",ROUND((AH133-AI133-AJ133+AK133)*24,2))</f>
        <v/>
      </c>
      <c r="L133" s="19" t="str">
        <f t="shared" ref="L133:L196" si="43">IF(OR(A133="",D133="",E133=""),"",ROUND((AI133-AK133)*24,2))</f>
        <v/>
      </c>
      <c r="M133" s="19" t="str">
        <f t="shared" ref="M133:M196" si="44">IF(OR(A133="",D133="",E133=""),"",ROUND((AL133-AM133-AN133+AO133)*24,2))</f>
        <v/>
      </c>
      <c r="N133" s="19" t="str">
        <f t="shared" ref="N133:N196" si="45">IF(OR(A133="",D133="",E133=""),"",ROUND((AM133-AO133)*24,2))</f>
        <v/>
      </c>
      <c r="O133" s="19" t="str">
        <f t="shared" ref="O133:O196" si="46">IF(OR(A133="",D133="",E133=""),"",ROUND((AJ133-AK133)*24,2))</f>
        <v/>
      </c>
      <c r="P133" s="19" t="str">
        <f t="shared" ref="P133:P196" si="47">IF(OR(A133="",D133="",E133=""),"",ROUND((AK133)*24,2))</f>
        <v/>
      </c>
      <c r="Q133" s="19" t="str">
        <f t="shared" ref="Q133:Q196" si="48">IF(OR(A133="",D133="",E133=""),"",ROUND((AN133-AO133)*24,2))</f>
        <v/>
      </c>
      <c r="R133" s="19" t="str">
        <f t="shared" ref="R133:R196" si="49">IF(OR(A133="",D133="",E133=""),"",ROUND((AO133)*24,2))</f>
        <v/>
      </c>
      <c r="S133" s="17" t="str">
        <f>IF(B133="","",IFERROR(INDEX(Trabajadores!$G$5:$G$204,MATCH(B133,Trabajadores!$A$5:$A$204,0)),""))</f>
        <v/>
      </c>
      <c r="T133" s="17" t="str">
        <f>IF(OR(OR(A133="",D133="",E133=""),S133=""),"",ROUND(S133*(N(L133)*Parámetros!$B$8+N(M133)*(1+Parámetros!$B$9)+N(N133)*(1+Parámetros!$B$10)+N(O133)*(1+AG133)+N(P133)*(1+AG133+Parámetros!$B$8)+N(Q133)*(1+AG133+Parámetros!$B$9)+N(R133)*(1+AG133+Parámetros!$B$10)),0))</f>
        <v/>
      </c>
      <c r="U133" s="5" t="str">
        <f>IF(OR(A133="",D133="",E133=""),"",IF(N(M133)+N(N133)+N(Q133)+N(R133)&gt;Parámetros!$B$12,"Supera el límite de horas extras diarias",IF(C133="Cédula no registrada","Registre la cédula en «Trabajadores»","")))</f>
        <v/>
      </c>
      <c r="X133" s="20">
        <f t="shared" ref="X133:X196" si="50">IF(OR(A133="",D133="",E133=""),0,MOD(D133,1))</f>
        <v>0</v>
      </c>
      <c r="Y133" s="20">
        <f t="shared" ref="Y133:Y196" si="51">IF(OR(A133="",D133="",E133=""),0,IF(MOD(E133,1)&gt;X133,MOD(E133,1)-X133,MOD(E133,1)+1-X133))</f>
        <v>0</v>
      </c>
      <c r="Z133" s="20">
        <f t="shared" ref="Z133:Z196" si="52">MAX(0,Y133-N(F133)/1440)</f>
        <v>0</v>
      </c>
      <c r="AA133" s="20">
        <f t="shared" ref="AA133:AA196" si="53">IF(G133="",0,MAX(0,N(G133))/24)</f>
        <v>0</v>
      </c>
      <c r="AB133" s="20">
        <f t="shared" ref="AB133:AB196" si="54">X133+MIN(Z133,AA133)</f>
        <v>0</v>
      </c>
      <c r="AC133" s="20">
        <f t="shared" ref="AC133:AC196" si="55">X133+Z133</f>
        <v>0</v>
      </c>
      <c r="AD133" s="20">
        <f>IF(A133="",21/24,MOD(VLOOKUP(A133,Parámetros!$A$24:$B$25,2,TRUE()),1))</f>
        <v>0.875</v>
      </c>
      <c r="AE133" s="5">
        <f>IF(A133="",0,IF(OR(WEEKDAY(A133,2)=7,COUNTIF(Festivos!$A$5:$A$451,A133)&gt;0),1,0))</f>
        <v>0</v>
      </c>
      <c r="AF133" s="5">
        <f>IF(A133="",0,IF(OR(WEEKDAY(A133+1,2)=7,COUNTIF(Festivos!$A$5:$A$451,A133+1)&gt;0),1,0))</f>
        <v>0</v>
      </c>
      <c r="AG133" s="9">
        <f>IF(A133="",0,VLOOKUP(A133,Parámetros!$A$18:$B$21,2,TRUE()))</f>
        <v>0</v>
      </c>
      <c r="AH133" s="20">
        <f t="shared" ref="AH133:AH196" si="56">AB133-X133</f>
        <v>0</v>
      </c>
      <c r="AI133" s="20">
        <f>MAX(0,MIN(AB133,Parámetros!$B$11)-MAX(X133,0))+MAX(0,MIN(AB133,1+Parámetros!$B$11)-MAX(X133,AD133))+MAX(0,MIN(AB133,2)-MAX(X133,1+AD133))</f>
        <v>0</v>
      </c>
      <c r="AJ133" s="20">
        <f t="shared" ref="AJ133:AJ196" si="57">AE133*MAX(0,MIN(AB133,1)-MAX(X133,0))+AF133*MAX(0,MIN(AB133,2)-MAX(X133,1))</f>
        <v>0</v>
      </c>
      <c r="AK133" s="20">
        <f>AE133*(MAX(0,MIN(AB133,Parámetros!$B$11)-MAX(X133,0))+MAX(0,MIN(AB133,1)-MAX(X133,AD133)))+AF133*(MAX(0,MIN(AB133,1+Parámetros!$B$11)-MAX(X133,1))+MAX(0,MIN(AB133,2)-MAX(X133,1+AD133)))</f>
        <v>0</v>
      </c>
      <c r="AL133" s="20">
        <f t="shared" ref="AL133:AL196" si="58">AC133-AB133</f>
        <v>0</v>
      </c>
      <c r="AM133" s="20">
        <f>MAX(0,MIN(AC133,Parámetros!$B$11)-MAX(AB133,0))+MAX(0,MIN(AC133,1+Parámetros!$B$11)-MAX(AB133,AD133))+MAX(0,MIN(AC133,2)-MAX(AB133,1+AD133))</f>
        <v>0</v>
      </c>
      <c r="AN133" s="20">
        <f t="shared" ref="AN133:AN196" si="59">AE133*MAX(0,MIN(AC133,1)-MAX(AB133,0))+AF133*MAX(0,MIN(AC133,2)-MAX(AB133,1))</f>
        <v>0</v>
      </c>
      <c r="AO133" s="20">
        <f>AE133*(MAX(0,MIN(AC133,Parámetros!$B$11)-MAX(AB133,0))+MAX(0,MIN(AC133,1)-MAX(AB133,AD133)))+AF133*(MAX(0,MIN(AC133,1+Parámetros!$B$11)-MAX(AB133,1))+MAX(0,MIN(AC133,2)-MAX(AB133,1+AD133)))</f>
        <v>0</v>
      </c>
    </row>
    <row r="134" spans="1:41" x14ac:dyDescent="0.25">
      <c r="A134" s="15"/>
      <c r="B134" s="8"/>
      <c r="C134" s="5" t="str">
        <f>IF(B134="","",IFERROR(INDEX(Trabajadores!$B$5:$B$204,MATCH(B134,Trabajadores!$A$5:$A$204,0)),"Cédula no registrada"))</f>
        <v/>
      </c>
      <c r="D134" s="11"/>
      <c r="E134" s="11"/>
      <c r="F134" s="8"/>
      <c r="G134" s="18" t="str">
        <f>IF(A134="","",IFERROR(INDEX(Trabajadores!$E$5:$E$204,MATCH(B134,Trabajadores!$A$5:$A$204,0))/Parámetros!$B$6,0)+IF(IFERROR(INDEX(Trabajadores!$E$5:$E$204,MATCH(B134,Trabajadores!$A$5:$A$204,0)),"")="",Parámetros!$B$7,0))</f>
        <v/>
      </c>
      <c r="H134" s="5" t="str">
        <f t="shared" si="40"/>
        <v/>
      </c>
      <c r="I134" s="5" t="str">
        <f>IF(A134="","",IF(COUNTIF(Festivos!$A$5:$A$451,A134)&gt;0,"Festivo",IF(WEEKDAY(A134,2)=7,"Domingo",IF(AND(AF134=1,AC134&gt;1),IF(COUNTIF(Festivos!$A$5:$A$451,A134+1)&gt;0,"Festivo","Domingo")&amp;" desde las 00:00",""))))</f>
        <v/>
      </c>
      <c r="J134" s="19" t="str">
        <f t="shared" si="41"/>
        <v/>
      </c>
      <c r="K134" s="19" t="str">
        <f t="shared" si="42"/>
        <v/>
      </c>
      <c r="L134" s="19" t="str">
        <f t="shared" si="43"/>
        <v/>
      </c>
      <c r="M134" s="19" t="str">
        <f t="shared" si="44"/>
        <v/>
      </c>
      <c r="N134" s="19" t="str">
        <f t="shared" si="45"/>
        <v/>
      </c>
      <c r="O134" s="19" t="str">
        <f t="shared" si="46"/>
        <v/>
      </c>
      <c r="P134" s="19" t="str">
        <f t="shared" si="47"/>
        <v/>
      </c>
      <c r="Q134" s="19" t="str">
        <f t="shared" si="48"/>
        <v/>
      </c>
      <c r="R134" s="19" t="str">
        <f t="shared" si="49"/>
        <v/>
      </c>
      <c r="S134" s="17" t="str">
        <f>IF(B134="","",IFERROR(INDEX(Trabajadores!$G$5:$G$204,MATCH(B134,Trabajadores!$A$5:$A$204,0)),""))</f>
        <v/>
      </c>
      <c r="T134" s="17" t="str">
        <f>IF(OR(OR(A134="",D134="",E134=""),S134=""),"",ROUND(S134*(N(L134)*Parámetros!$B$8+N(M134)*(1+Parámetros!$B$9)+N(N134)*(1+Parámetros!$B$10)+N(O134)*(1+AG134)+N(P134)*(1+AG134+Parámetros!$B$8)+N(Q134)*(1+AG134+Parámetros!$B$9)+N(R134)*(1+AG134+Parámetros!$B$10)),0))</f>
        <v/>
      </c>
      <c r="U134" s="5" t="str">
        <f>IF(OR(A134="",D134="",E134=""),"",IF(N(M134)+N(N134)+N(Q134)+N(R134)&gt;Parámetros!$B$12,"Supera el límite de horas extras diarias",IF(C134="Cédula no registrada","Registre la cédula en «Trabajadores»","")))</f>
        <v/>
      </c>
      <c r="X134" s="20">
        <f t="shared" si="50"/>
        <v>0</v>
      </c>
      <c r="Y134" s="20">
        <f t="shared" si="51"/>
        <v>0</v>
      </c>
      <c r="Z134" s="20">
        <f t="shared" si="52"/>
        <v>0</v>
      </c>
      <c r="AA134" s="20">
        <f t="shared" si="53"/>
        <v>0</v>
      </c>
      <c r="AB134" s="20">
        <f t="shared" si="54"/>
        <v>0</v>
      </c>
      <c r="AC134" s="20">
        <f t="shared" si="55"/>
        <v>0</v>
      </c>
      <c r="AD134" s="20">
        <f>IF(A134="",21/24,MOD(VLOOKUP(A134,Parámetros!$A$24:$B$25,2,TRUE()),1))</f>
        <v>0.875</v>
      </c>
      <c r="AE134" s="5">
        <f>IF(A134="",0,IF(OR(WEEKDAY(A134,2)=7,COUNTIF(Festivos!$A$5:$A$451,A134)&gt;0),1,0))</f>
        <v>0</v>
      </c>
      <c r="AF134" s="5">
        <f>IF(A134="",0,IF(OR(WEEKDAY(A134+1,2)=7,COUNTIF(Festivos!$A$5:$A$451,A134+1)&gt;0),1,0))</f>
        <v>0</v>
      </c>
      <c r="AG134" s="9">
        <f>IF(A134="",0,VLOOKUP(A134,Parámetros!$A$18:$B$21,2,TRUE()))</f>
        <v>0</v>
      </c>
      <c r="AH134" s="20">
        <f t="shared" si="56"/>
        <v>0</v>
      </c>
      <c r="AI134" s="20">
        <f>MAX(0,MIN(AB134,Parámetros!$B$11)-MAX(X134,0))+MAX(0,MIN(AB134,1+Parámetros!$B$11)-MAX(X134,AD134))+MAX(0,MIN(AB134,2)-MAX(X134,1+AD134))</f>
        <v>0</v>
      </c>
      <c r="AJ134" s="20">
        <f t="shared" si="57"/>
        <v>0</v>
      </c>
      <c r="AK134" s="20">
        <f>AE134*(MAX(0,MIN(AB134,Parámetros!$B$11)-MAX(X134,0))+MAX(0,MIN(AB134,1)-MAX(X134,AD134)))+AF134*(MAX(0,MIN(AB134,1+Parámetros!$B$11)-MAX(X134,1))+MAX(0,MIN(AB134,2)-MAX(X134,1+AD134)))</f>
        <v>0</v>
      </c>
      <c r="AL134" s="20">
        <f t="shared" si="58"/>
        <v>0</v>
      </c>
      <c r="AM134" s="20">
        <f>MAX(0,MIN(AC134,Parámetros!$B$11)-MAX(AB134,0))+MAX(0,MIN(AC134,1+Parámetros!$B$11)-MAX(AB134,AD134))+MAX(0,MIN(AC134,2)-MAX(AB134,1+AD134))</f>
        <v>0</v>
      </c>
      <c r="AN134" s="20">
        <f t="shared" si="59"/>
        <v>0</v>
      </c>
      <c r="AO134" s="20">
        <f>AE134*(MAX(0,MIN(AC134,Parámetros!$B$11)-MAX(AB134,0))+MAX(0,MIN(AC134,1)-MAX(AB134,AD134)))+AF134*(MAX(0,MIN(AC134,1+Parámetros!$B$11)-MAX(AB134,1))+MAX(0,MIN(AC134,2)-MAX(AB134,1+AD134)))</f>
        <v>0</v>
      </c>
    </row>
    <row r="135" spans="1:41" x14ac:dyDescent="0.25">
      <c r="A135" s="15"/>
      <c r="B135" s="8"/>
      <c r="C135" s="5" t="str">
        <f>IF(B135="","",IFERROR(INDEX(Trabajadores!$B$5:$B$204,MATCH(B135,Trabajadores!$A$5:$A$204,0)),"Cédula no registrada"))</f>
        <v/>
      </c>
      <c r="D135" s="11"/>
      <c r="E135" s="11"/>
      <c r="F135" s="8"/>
      <c r="G135" s="18" t="str">
        <f>IF(A135="","",IFERROR(INDEX(Trabajadores!$E$5:$E$204,MATCH(B135,Trabajadores!$A$5:$A$204,0))/Parámetros!$B$6,0)+IF(IFERROR(INDEX(Trabajadores!$E$5:$E$204,MATCH(B135,Trabajadores!$A$5:$A$204,0)),"")="",Parámetros!$B$7,0))</f>
        <v/>
      </c>
      <c r="H135" s="5" t="str">
        <f t="shared" si="40"/>
        <v/>
      </c>
      <c r="I135" s="5" t="str">
        <f>IF(A135="","",IF(COUNTIF(Festivos!$A$5:$A$451,A135)&gt;0,"Festivo",IF(WEEKDAY(A135,2)=7,"Domingo",IF(AND(AF135=1,AC135&gt;1),IF(COUNTIF(Festivos!$A$5:$A$451,A135+1)&gt;0,"Festivo","Domingo")&amp;" desde las 00:00",""))))</f>
        <v/>
      </c>
      <c r="J135" s="19" t="str">
        <f t="shared" si="41"/>
        <v/>
      </c>
      <c r="K135" s="19" t="str">
        <f t="shared" si="42"/>
        <v/>
      </c>
      <c r="L135" s="19" t="str">
        <f t="shared" si="43"/>
        <v/>
      </c>
      <c r="M135" s="19" t="str">
        <f t="shared" si="44"/>
        <v/>
      </c>
      <c r="N135" s="19" t="str">
        <f t="shared" si="45"/>
        <v/>
      </c>
      <c r="O135" s="19" t="str">
        <f t="shared" si="46"/>
        <v/>
      </c>
      <c r="P135" s="19" t="str">
        <f t="shared" si="47"/>
        <v/>
      </c>
      <c r="Q135" s="19" t="str">
        <f t="shared" si="48"/>
        <v/>
      </c>
      <c r="R135" s="19" t="str">
        <f t="shared" si="49"/>
        <v/>
      </c>
      <c r="S135" s="17" t="str">
        <f>IF(B135="","",IFERROR(INDEX(Trabajadores!$G$5:$G$204,MATCH(B135,Trabajadores!$A$5:$A$204,0)),""))</f>
        <v/>
      </c>
      <c r="T135" s="17" t="str">
        <f>IF(OR(OR(A135="",D135="",E135=""),S135=""),"",ROUND(S135*(N(L135)*Parámetros!$B$8+N(M135)*(1+Parámetros!$B$9)+N(N135)*(1+Parámetros!$B$10)+N(O135)*(1+AG135)+N(P135)*(1+AG135+Parámetros!$B$8)+N(Q135)*(1+AG135+Parámetros!$B$9)+N(R135)*(1+AG135+Parámetros!$B$10)),0))</f>
        <v/>
      </c>
      <c r="U135" s="5" t="str">
        <f>IF(OR(A135="",D135="",E135=""),"",IF(N(M135)+N(N135)+N(Q135)+N(R135)&gt;Parámetros!$B$12,"Supera el límite de horas extras diarias",IF(C135="Cédula no registrada","Registre la cédula en «Trabajadores»","")))</f>
        <v/>
      </c>
      <c r="X135" s="20">
        <f t="shared" si="50"/>
        <v>0</v>
      </c>
      <c r="Y135" s="20">
        <f t="shared" si="51"/>
        <v>0</v>
      </c>
      <c r="Z135" s="20">
        <f t="shared" si="52"/>
        <v>0</v>
      </c>
      <c r="AA135" s="20">
        <f t="shared" si="53"/>
        <v>0</v>
      </c>
      <c r="AB135" s="20">
        <f t="shared" si="54"/>
        <v>0</v>
      </c>
      <c r="AC135" s="20">
        <f t="shared" si="55"/>
        <v>0</v>
      </c>
      <c r="AD135" s="20">
        <f>IF(A135="",21/24,MOD(VLOOKUP(A135,Parámetros!$A$24:$B$25,2,TRUE()),1))</f>
        <v>0.875</v>
      </c>
      <c r="AE135" s="5">
        <f>IF(A135="",0,IF(OR(WEEKDAY(A135,2)=7,COUNTIF(Festivos!$A$5:$A$451,A135)&gt;0),1,0))</f>
        <v>0</v>
      </c>
      <c r="AF135" s="5">
        <f>IF(A135="",0,IF(OR(WEEKDAY(A135+1,2)=7,COUNTIF(Festivos!$A$5:$A$451,A135+1)&gt;0),1,0))</f>
        <v>0</v>
      </c>
      <c r="AG135" s="9">
        <f>IF(A135="",0,VLOOKUP(A135,Parámetros!$A$18:$B$21,2,TRUE()))</f>
        <v>0</v>
      </c>
      <c r="AH135" s="20">
        <f t="shared" si="56"/>
        <v>0</v>
      </c>
      <c r="AI135" s="20">
        <f>MAX(0,MIN(AB135,Parámetros!$B$11)-MAX(X135,0))+MAX(0,MIN(AB135,1+Parámetros!$B$11)-MAX(X135,AD135))+MAX(0,MIN(AB135,2)-MAX(X135,1+AD135))</f>
        <v>0</v>
      </c>
      <c r="AJ135" s="20">
        <f t="shared" si="57"/>
        <v>0</v>
      </c>
      <c r="AK135" s="20">
        <f>AE135*(MAX(0,MIN(AB135,Parámetros!$B$11)-MAX(X135,0))+MAX(0,MIN(AB135,1)-MAX(X135,AD135)))+AF135*(MAX(0,MIN(AB135,1+Parámetros!$B$11)-MAX(X135,1))+MAX(0,MIN(AB135,2)-MAX(X135,1+AD135)))</f>
        <v>0</v>
      </c>
      <c r="AL135" s="20">
        <f t="shared" si="58"/>
        <v>0</v>
      </c>
      <c r="AM135" s="20">
        <f>MAX(0,MIN(AC135,Parámetros!$B$11)-MAX(AB135,0))+MAX(0,MIN(AC135,1+Parámetros!$B$11)-MAX(AB135,AD135))+MAX(0,MIN(AC135,2)-MAX(AB135,1+AD135))</f>
        <v>0</v>
      </c>
      <c r="AN135" s="20">
        <f t="shared" si="59"/>
        <v>0</v>
      </c>
      <c r="AO135" s="20">
        <f>AE135*(MAX(0,MIN(AC135,Parámetros!$B$11)-MAX(AB135,0))+MAX(0,MIN(AC135,1)-MAX(AB135,AD135)))+AF135*(MAX(0,MIN(AC135,1+Parámetros!$B$11)-MAX(AB135,1))+MAX(0,MIN(AC135,2)-MAX(AB135,1+AD135)))</f>
        <v>0</v>
      </c>
    </row>
    <row r="136" spans="1:41" x14ac:dyDescent="0.25">
      <c r="A136" s="15"/>
      <c r="B136" s="8"/>
      <c r="C136" s="5" t="str">
        <f>IF(B136="","",IFERROR(INDEX(Trabajadores!$B$5:$B$204,MATCH(B136,Trabajadores!$A$5:$A$204,0)),"Cédula no registrada"))</f>
        <v/>
      </c>
      <c r="D136" s="11"/>
      <c r="E136" s="11"/>
      <c r="F136" s="8"/>
      <c r="G136" s="18" t="str">
        <f>IF(A136="","",IFERROR(INDEX(Trabajadores!$E$5:$E$204,MATCH(B136,Trabajadores!$A$5:$A$204,0))/Parámetros!$B$6,0)+IF(IFERROR(INDEX(Trabajadores!$E$5:$E$204,MATCH(B136,Trabajadores!$A$5:$A$204,0)),"")="",Parámetros!$B$7,0))</f>
        <v/>
      </c>
      <c r="H136" s="5" t="str">
        <f t="shared" si="40"/>
        <v/>
      </c>
      <c r="I136" s="5" t="str">
        <f>IF(A136="","",IF(COUNTIF(Festivos!$A$5:$A$451,A136)&gt;0,"Festivo",IF(WEEKDAY(A136,2)=7,"Domingo",IF(AND(AF136=1,AC136&gt;1),IF(COUNTIF(Festivos!$A$5:$A$451,A136+1)&gt;0,"Festivo","Domingo")&amp;" desde las 00:00",""))))</f>
        <v/>
      </c>
      <c r="J136" s="19" t="str">
        <f t="shared" si="41"/>
        <v/>
      </c>
      <c r="K136" s="19" t="str">
        <f t="shared" si="42"/>
        <v/>
      </c>
      <c r="L136" s="19" t="str">
        <f t="shared" si="43"/>
        <v/>
      </c>
      <c r="M136" s="19" t="str">
        <f t="shared" si="44"/>
        <v/>
      </c>
      <c r="N136" s="19" t="str">
        <f t="shared" si="45"/>
        <v/>
      </c>
      <c r="O136" s="19" t="str">
        <f t="shared" si="46"/>
        <v/>
      </c>
      <c r="P136" s="19" t="str">
        <f t="shared" si="47"/>
        <v/>
      </c>
      <c r="Q136" s="19" t="str">
        <f t="shared" si="48"/>
        <v/>
      </c>
      <c r="R136" s="19" t="str">
        <f t="shared" si="49"/>
        <v/>
      </c>
      <c r="S136" s="17" t="str">
        <f>IF(B136="","",IFERROR(INDEX(Trabajadores!$G$5:$G$204,MATCH(B136,Trabajadores!$A$5:$A$204,0)),""))</f>
        <v/>
      </c>
      <c r="T136" s="17" t="str">
        <f>IF(OR(OR(A136="",D136="",E136=""),S136=""),"",ROUND(S136*(N(L136)*Parámetros!$B$8+N(M136)*(1+Parámetros!$B$9)+N(N136)*(1+Parámetros!$B$10)+N(O136)*(1+AG136)+N(P136)*(1+AG136+Parámetros!$B$8)+N(Q136)*(1+AG136+Parámetros!$B$9)+N(R136)*(1+AG136+Parámetros!$B$10)),0))</f>
        <v/>
      </c>
      <c r="U136" s="5" t="str">
        <f>IF(OR(A136="",D136="",E136=""),"",IF(N(M136)+N(N136)+N(Q136)+N(R136)&gt;Parámetros!$B$12,"Supera el límite de horas extras diarias",IF(C136="Cédula no registrada","Registre la cédula en «Trabajadores»","")))</f>
        <v/>
      </c>
      <c r="X136" s="20">
        <f t="shared" si="50"/>
        <v>0</v>
      </c>
      <c r="Y136" s="20">
        <f t="shared" si="51"/>
        <v>0</v>
      </c>
      <c r="Z136" s="20">
        <f t="shared" si="52"/>
        <v>0</v>
      </c>
      <c r="AA136" s="20">
        <f t="shared" si="53"/>
        <v>0</v>
      </c>
      <c r="AB136" s="20">
        <f t="shared" si="54"/>
        <v>0</v>
      </c>
      <c r="AC136" s="20">
        <f t="shared" si="55"/>
        <v>0</v>
      </c>
      <c r="AD136" s="20">
        <f>IF(A136="",21/24,MOD(VLOOKUP(A136,Parámetros!$A$24:$B$25,2,TRUE()),1))</f>
        <v>0.875</v>
      </c>
      <c r="AE136" s="5">
        <f>IF(A136="",0,IF(OR(WEEKDAY(A136,2)=7,COUNTIF(Festivos!$A$5:$A$451,A136)&gt;0),1,0))</f>
        <v>0</v>
      </c>
      <c r="AF136" s="5">
        <f>IF(A136="",0,IF(OR(WEEKDAY(A136+1,2)=7,COUNTIF(Festivos!$A$5:$A$451,A136+1)&gt;0),1,0))</f>
        <v>0</v>
      </c>
      <c r="AG136" s="9">
        <f>IF(A136="",0,VLOOKUP(A136,Parámetros!$A$18:$B$21,2,TRUE()))</f>
        <v>0</v>
      </c>
      <c r="AH136" s="20">
        <f t="shared" si="56"/>
        <v>0</v>
      </c>
      <c r="AI136" s="20">
        <f>MAX(0,MIN(AB136,Parámetros!$B$11)-MAX(X136,0))+MAX(0,MIN(AB136,1+Parámetros!$B$11)-MAX(X136,AD136))+MAX(0,MIN(AB136,2)-MAX(X136,1+AD136))</f>
        <v>0</v>
      </c>
      <c r="AJ136" s="20">
        <f t="shared" si="57"/>
        <v>0</v>
      </c>
      <c r="AK136" s="20">
        <f>AE136*(MAX(0,MIN(AB136,Parámetros!$B$11)-MAX(X136,0))+MAX(0,MIN(AB136,1)-MAX(X136,AD136)))+AF136*(MAX(0,MIN(AB136,1+Parámetros!$B$11)-MAX(X136,1))+MAX(0,MIN(AB136,2)-MAX(X136,1+AD136)))</f>
        <v>0</v>
      </c>
      <c r="AL136" s="20">
        <f t="shared" si="58"/>
        <v>0</v>
      </c>
      <c r="AM136" s="20">
        <f>MAX(0,MIN(AC136,Parámetros!$B$11)-MAX(AB136,0))+MAX(0,MIN(AC136,1+Parámetros!$B$11)-MAX(AB136,AD136))+MAX(0,MIN(AC136,2)-MAX(AB136,1+AD136))</f>
        <v>0</v>
      </c>
      <c r="AN136" s="20">
        <f t="shared" si="59"/>
        <v>0</v>
      </c>
      <c r="AO136" s="20">
        <f>AE136*(MAX(0,MIN(AC136,Parámetros!$B$11)-MAX(AB136,0))+MAX(0,MIN(AC136,1)-MAX(AB136,AD136)))+AF136*(MAX(0,MIN(AC136,1+Parámetros!$B$11)-MAX(AB136,1))+MAX(0,MIN(AC136,2)-MAX(AB136,1+AD136)))</f>
        <v>0</v>
      </c>
    </row>
    <row r="137" spans="1:41" x14ac:dyDescent="0.25">
      <c r="A137" s="15"/>
      <c r="B137" s="8"/>
      <c r="C137" s="5" t="str">
        <f>IF(B137="","",IFERROR(INDEX(Trabajadores!$B$5:$B$204,MATCH(B137,Trabajadores!$A$5:$A$204,0)),"Cédula no registrada"))</f>
        <v/>
      </c>
      <c r="D137" s="11"/>
      <c r="E137" s="11"/>
      <c r="F137" s="8"/>
      <c r="G137" s="18" t="str">
        <f>IF(A137="","",IFERROR(INDEX(Trabajadores!$E$5:$E$204,MATCH(B137,Trabajadores!$A$5:$A$204,0))/Parámetros!$B$6,0)+IF(IFERROR(INDEX(Trabajadores!$E$5:$E$204,MATCH(B137,Trabajadores!$A$5:$A$204,0)),"")="",Parámetros!$B$7,0))</f>
        <v/>
      </c>
      <c r="H137" s="5" t="str">
        <f t="shared" si="40"/>
        <v/>
      </c>
      <c r="I137" s="5" t="str">
        <f>IF(A137="","",IF(COUNTIF(Festivos!$A$5:$A$451,A137)&gt;0,"Festivo",IF(WEEKDAY(A137,2)=7,"Domingo",IF(AND(AF137=1,AC137&gt;1),IF(COUNTIF(Festivos!$A$5:$A$451,A137+1)&gt;0,"Festivo","Domingo")&amp;" desde las 00:00",""))))</f>
        <v/>
      </c>
      <c r="J137" s="19" t="str">
        <f t="shared" si="41"/>
        <v/>
      </c>
      <c r="K137" s="19" t="str">
        <f t="shared" si="42"/>
        <v/>
      </c>
      <c r="L137" s="19" t="str">
        <f t="shared" si="43"/>
        <v/>
      </c>
      <c r="M137" s="19" t="str">
        <f t="shared" si="44"/>
        <v/>
      </c>
      <c r="N137" s="19" t="str">
        <f t="shared" si="45"/>
        <v/>
      </c>
      <c r="O137" s="19" t="str">
        <f t="shared" si="46"/>
        <v/>
      </c>
      <c r="P137" s="19" t="str">
        <f t="shared" si="47"/>
        <v/>
      </c>
      <c r="Q137" s="19" t="str">
        <f t="shared" si="48"/>
        <v/>
      </c>
      <c r="R137" s="19" t="str">
        <f t="shared" si="49"/>
        <v/>
      </c>
      <c r="S137" s="17" t="str">
        <f>IF(B137="","",IFERROR(INDEX(Trabajadores!$G$5:$G$204,MATCH(B137,Trabajadores!$A$5:$A$204,0)),""))</f>
        <v/>
      </c>
      <c r="T137" s="17" t="str">
        <f>IF(OR(OR(A137="",D137="",E137=""),S137=""),"",ROUND(S137*(N(L137)*Parámetros!$B$8+N(M137)*(1+Parámetros!$B$9)+N(N137)*(1+Parámetros!$B$10)+N(O137)*(1+AG137)+N(P137)*(1+AG137+Parámetros!$B$8)+N(Q137)*(1+AG137+Parámetros!$B$9)+N(R137)*(1+AG137+Parámetros!$B$10)),0))</f>
        <v/>
      </c>
      <c r="U137" s="5" t="str">
        <f>IF(OR(A137="",D137="",E137=""),"",IF(N(M137)+N(N137)+N(Q137)+N(R137)&gt;Parámetros!$B$12,"Supera el límite de horas extras diarias",IF(C137="Cédula no registrada","Registre la cédula en «Trabajadores»","")))</f>
        <v/>
      </c>
      <c r="X137" s="20">
        <f t="shared" si="50"/>
        <v>0</v>
      </c>
      <c r="Y137" s="20">
        <f t="shared" si="51"/>
        <v>0</v>
      </c>
      <c r="Z137" s="20">
        <f t="shared" si="52"/>
        <v>0</v>
      </c>
      <c r="AA137" s="20">
        <f t="shared" si="53"/>
        <v>0</v>
      </c>
      <c r="AB137" s="20">
        <f t="shared" si="54"/>
        <v>0</v>
      </c>
      <c r="AC137" s="20">
        <f t="shared" si="55"/>
        <v>0</v>
      </c>
      <c r="AD137" s="20">
        <f>IF(A137="",21/24,MOD(VLOOKUP(A137,Parámetros!$A$24:$B$25,2,TRUE()),1))</f>
        <v>0.875</v>
      </c>
      <c r="AE137" s="5">
        <f>IF(A137="",0,IF(OR(WEEKDAY(A137,2)=7,COUNTIF(Festivos!$A$5:$A$451,A137)&gt;0),1,0))</f>
        <v>0</v>
      </c>
      <c r="AF137" s="5">
        <f>IF(A137="",0,IF(OR(WEEKDAY(A137+1,2)=7,COUNTIF(Festivos!$A$5:$A$451,A137+1)&gt;0),1,0))</f>
        <v>0</v>
      </c>
      <c r="AG137" s="9">
        <f>IF(A137="",0,VLOOKUP(A137,Parámetros!$A$18:$B$21,2,TRUE()))</f>
        <v>0</v>
      </c>
      <c r="AH137" s="20">
        <f t="shared" si="56"/>
        <v>0</v>
      </c>
      <c r="AI137" s="20">
        <f>MAX(0,MIN(AB137,Parámetros!$B$11)-MAX(X137,0))+MAX(0,MIN(AB137,1+Parámetros!$B$11)-MAX(X137,AD137))+MAX(0,MIN(AB137,2)-MAX(X137,1+AD137))</f>
        <v>0</v>
      </c>
      <c r="AJ137" s="20">
        <f t="shared" si="57"/>
        <v>0</v>
      </c>
      <c r="AK137" s="20">
        <f>AE137*(MAX(0,MIN(AB137,Parámetros!$B$11)-MAX(X137,0))+MAX(0,MIN(AB137,1)-MAX(X137,AD137)))+AF137*(MAX(0,MIN(AB137,1+Parámetros!$B$11)-MAX(X137,1))+MAX(0,MIN(AB137,2)-MAX(X137,1+AD137)))</f>
        <v>0</v>
      </c>
      <c r="AL137" s="20">
        <f t="shared" si="58"/>
        <v>0</v>
      </c>
      <c r="AM137" s="20">
        <f>MAX(0,MIN(AC137,Parámetros!$B$11)-MAX(AB137,0))+MAX(0,MIN(AC137,1+Parámetros!$B$11)-MAX(AB137,AD137))+MAX(0,MIN(AC137,2)-MAX(AB137,1+AD137))</f>
        <v>0</v>
      </c>
      <c r="AN137" s="20">
        <f t="shared" si="59"/>
        <v>0</v>
      </c>
      <c r="AO137" s="20">
        <f>AE137*(MAX(0,MIN(AC137,Parámetros!$B$11)-MAX(AB137,0))+MAX(0,MIN(AC137,1)-MAX(AB137,AD137)))+AF137*(MAX(0,MIN(AC137,1+Parámetros!$B$11)-MAX(AB137,1))+MAX(0,MIN(AC137,2)-MAX(AB137,1+AD137)))</f>
        <v>0</v>
      </c>
    </row>
    <row r="138" spans="1:41" x14ac:dyDescent="0.25">
      <c r="A138" s="15"/>
      <c r="B138" s="8"/>
      <c r="C138" s="5" t="str">
        <f>IF(B138="","",IFERROR(INDEX(Trabajadores!$B$5:$B$204,MATCH(B138,Trabajadores!$A$5:$A$204,0)),"Cédula no registrada"))</f>
        <v/>
      </c>
      <c r="D138" s="11"/>
      <c r="E138" s="11"/>
      <c r="F138" s="8"/>
      <c r="G138" s="18" t="str">
        <f>IF(A138="","",IFERROR(INDEX(Trabajadores!$E$5:$E$204,MATCH(B138,Trabajadores!$A$5:$A$204,0))/Parámetros!$B$6,0)+IF(IFERROR(INDEX(Trabajadores!$E$5:$E$204,MATCH(B138,Trabajadores!$A$5:$A$204,0)),"")="",Parámetros!$B$7,0))</f>
        <v/>
      </c>
      <c r="H138" s="5" t="str">
        <f t="shared" si="40"/>
        <v/>
      </c>
      <c r="I138" s="5" t="str">
        <f>IF(A138="","",IF(COUNTIF(Festivos!$A$5:$A$451,A138)&gt;0,"Festivo",IF(WEEKDAY(A138,2)=7,"Domingo",IF(AND(AF138=1,AC138&gt;1),IF(COUNTIF(Festivos!$A$5:$A$451,A138+1)&gt;0,"Festivo","Domingo")&amp;" desde las 00:00",""))))</f>
        <v/>
      </c>
      <c r="J138" s="19" t="str">
        <f t="shared" si="41"/>
        <v/>
      </c>
      <c r="K138" s="19" t="str">
        <f t="shared" si="42"/>
        <v/>
      </c>
      <c r="L138" s="19" t="str">
        <f t="shared" si="43"/>
        <v/>
      </c>
      <c r="M138" s="19" t="str">
        <f t="shared" si="44"/>
        <v/>
      </c>
      <c r="N138" s="19" t="str">
        <f t="shared" si="45"/>
        <v/>
      </c>
      <c r="O138" s="19" t="str">
        <f t="shared" si="46"/>
        <v/>
      </c>
      <c r="P138" s="19" t="str">
        <f t="shared" si="47"/>
        <v/>
      </c>
      <c r="Q138" s="19" t="str">
        <f t="shared" si="48"/>
        <v/>
      </c>
      <c r="R138" s="19" t="str">
        <f t="shared" si="49"/>
        <v/>
      </c>
      <c r="S138" s="17" t="str">
        <f>IF(B138="","",IFERROR(INDEX(Trabajadores!$G$5:$G$204,MATCH(B138,Trabajadores!$A$5:$A$204,0)),""))</f>
        <v/>
      </c>
      <c r="T138" s="17" t="str">
        <f>IF(OR(OR(A138="",D138="",E138=""),S138=""),"",ROUND(S138*(N(L138)*Parámetros!$B$8+N(M138)*(1+Parámetros!$B$9)+N(N138)*(1+Parámetros!$B$10)+N(O138)*(1+AG138)+N(P138)*(1+AG138+Parámetros!$B$8)+N(Q138)*(1+AG138+Parámetros!$B$9)+N(R138)*(1+AG138+Parámetros!$B$10)),0))</f>
        <v/>
      </c>
      <c r="U138" s="5" t="str">
        <f>IF(OR(A138="",D138="",E138=""),"",IF(N(M138)+N(N138)+N(Q138)+N(R138)&gt;Parámetros!$B$12,"Supera el límite de horas extras diarias",IF(C138="Cédula no registrada","Registre la cédula en «Trabajadores»","")))</f>
        <v/>
      </c>
      <c r="X138" s="20">
        <f t="shared" si="50"/>
        <v>0</v>
      </c>
      <c r="Y138" s="20">
        <f t="shared" si="51"/>
        <v>0</v>
      </c>
      <c r="Z138" s="20">
        <f t="shared" si="52"/>
        <v>0</v>
      </c>
      <c r="AA138" s="20">
        <f t="shared" si="53"/>
        <v>0</v>
      </c>
      <c r="AB138" s="20">
        <f t="shared" si="54"/>
        <v>0</v>
      </c>
      <c r="AC138" s="20">
        <f t="shared" si="55"/>
        <v>0</v>
      </c>
      <c r="AD138" s="20">
        <f>IF(A138="",21/24,MOD(VLOOKUP(A138,Parámetros!$A$24:$B$25,2,TRUE()),1))</f>
        <v>0.875</v>
      </c>
      <c r="AE138" s="5">
        <f>IF(A138="",0,IF(OR(WEEKDAY(A138,2)=7,COUNTIF(Festivos!$A$5:$A$451,A138)&gt;0),1,0))</f>
        <v>0</v>
      </c>
      <c r="AF138" s="5">
        <f>IF(A138="",0,IF(OR(WEEKDAY(A138+1,2)=7,COUNTIF(Festivos!$A$5:$A$451,A138+1)&gt;0),1,0))</f>
        <v>0</v>
      </c>
      <c r="AG138" s="9">
        <f>IF(A138="",0,VLOOKUP(A138,Parámetros!$A$18:$B$21,2,TRUE()))</f>
        <v>0</v>
      </c>
      <c r="AH138" s="20">
        <f t="shared" si="56"/>
        <v>0</v>
      </c>
      <c r="AI138" s="20">
        <f>MAX(0,MIN(AB138,Parámetros!$B$11)-MAX(X138,0))+MAX(0,MIN(AB138,1+Parámetros!$B$11)-MAX(X138,AD138))+MAX(0,MIN(AB138,2)-MAX(X138,1+AD138))</f>
        <v>0</v>
      </c>
      <c r="AJ138" s="20">
        <f t="shared" si="57"/>
        <v>0</v>
      </c>
      <c r="AK138" s="20">
        <f>AE138*(MAX(0,MIN(AB138,Parámetros!$B$11)-MAX(X138,0))+MAX(0,MIN(AB138,1)-MAX(X138,AD138)))+AF138*(MAX(0,MIN(AB138,1+Parámetros!$B$11)-MAX(X138,1))+MAX(0,MIN(AB138,2)-MAX(X138,1+AD138)))</f>
        <v>0</v>
      </c>
      <c r="AL138" s="20">
        <f t="shared" si="58"/>
        <v>0</v>
      </c>
      <c r="AM138" s="20">
        <f>MAX(0,MIN(AC138,Parámetros!$B$11)-MAX(AB138,0))+MAX(0,MIN(AC138,1+Parámetros!$B$11)-MAX(AB138,AD138))+MAX(0,MIN(AC138,2)-MAX(AB138,1+AD138))</f>
        <v>0</v>
      </c>
      <c r="AN138" s="20">
        <f t="shared" si="59"/>
        <v>0</v>
      </c>
      <c r="AO138" s="20">
        <f>AE138*(MAX(0,MIN(AC138,Parámetros!$B$11)-MAX(AB138,0))+MAX(0,MIN(AC138,1)-MAX(AB138,AD138)))+AF138*(MAX(0,MIN(AC138,1+Parámetros!$B$11)-MAX(AB138,1))+MAX(0,MIN(AC138,2)-MAX(AB138,1+AD138)))</f>
        <v>0</v>
      </c>
    </row>
    <row r="139" spans="1:41" x14ac:dyDescent="0.25">
      <c r="A139" s="15"/>
      <c r="B139" s="8"/>
      <c r="C139" s="5" t="str">
        <f>IF(B139="","",IFERROR(INDEX(Trabajadores!$B$5:$B$204,MATCH(B139,Trabajadores!$A$5:$A$204,0)),"Cédula no registrada"))</f>
        <v/>
      </c>
      <c r="D139" s="11"/>
      <c r="E139" s="11"/>
      <c r="F139" s="8"/>
      <c r="G139" s="18" t="str">
        <f>IF(A139="","",IFERROR(INDEX(Trabajadores!$E$5:$E$204,MATCH(B139,Trabajadores!$A$5:$A$204,0))/Parámetros!$B$6,0)+IF(IFERROR(INDEX(Trabajadores!$E$5:$E$204,MATCH(B139,Trabajadores!$A$5:$A$204,0)),"")="",Parámetros!$B$7,0))</f>
        <v/>
      </c>
      <c r="H139" s="5" t="str">
        <f t="shared" si="40"/>
        <v/>
      </c>
      <c r="I139" s="5" t="str">
        <f>IF(A139="","",IF(COUNTIF(Festivos!$A$5:$A$451,A139)&gt;0,"Festivo",IF(WEEKDAY(A139,2)=7,"Domingo",IF(AND(AF139=1,AC139&gt;1),IF(COUNTIF(Festivos!$A$5:$A$451,A139+1)&gt;0,"Festivo","Domingo")&amp;" desde las 00:00",""))))</f>
        <v/>
      </c>
      <c r="J139" s="19" t="str">
        <f t="shared" si="41"/>
        <v/>
      </c>
      <c r="K139" s="19" t="str">
        <f t="shared" si="42"/>
        <v/>
      </c>
      <c r="L139" s="19" t="str">
        <f t="shared" si="43"/>
        <v/>
      </c>
      <c r="M139" s="19" t="str">
        <f t="shared" si="44"/>
        <v/>
      </c>
      <c r="N139" s="19" t="str">
        <f t="shared" si="45"/>
        <v/>
      </c>
      <c r="O139" s="19" t="str">
        <f t="shared" si="46"/>
        <v/>
      </c>
      <c r="P139" s="19" t="str">
        <f t="shared" si="47"/>
        <v/>
      </c>
      <c r="Q139" s="19" t="str">
        <f t="shared" si="48"/>
        <v/>
      </c>
      <c r="R139" s="19" t="str">
        <f t="shared" si="49"/>
        <v/>
      </c>
      <c r="S139" s="17" t="str">
        <f>IF(B139="","",IFERROR(INDEX(Trabajadores!$G$5:$G$204,MATCH(B139,Trabajadores!$A$5:$A$204,0)),""))</f>
        <v/>
      </c>
      <c r="T139" s="17" t="str">
        <f>IF(OR(OR(A139="",D139="",E139=""),S139=""),"",ROUND(S139*(N(L139)*Parámetros!$B$8+N(M139)*(1+Parámetros!$B$9)+N(N139)*(1+Parámetros!$B$10)+N(O139)*(1+AG139)+N(P139)*(1+AG139+Parámetros!$B$8)+N(Q139)*(1+AG139+Parámetros!$B$9)+N(R139)*(1+AG139+Parámetros!$B$10)),0))</f>
        <v/>
      </c>
      <c r="U139" s="5" t="str">
        <f>IF(OR(A139="",D139="",E139=""),"",IF(N(M139)+N(N139)+N(Q139)+N(R139)&gt;Parámetros!$B$12,"Supera el límite de horas extras diarias",IF(C139="Cédula no registrada","Registre la cédula en «Trabajadores»","")))</f>
        <v/>
      </c>
      <c r="X139" s="20">
        <f t="shared" si="50"/>
        <v>0</v>
      </c>
      <c r="Y139" s="20">
        <f t="shared" si="51"/>
        <v>0</v>
      </c>
      <c r="Z139" s="20">
        <f t="shared" si="52"/>
        <v>0</v>
      </c>
      <c r="AA139" s="20">
        <f t="shared" si="53"/>
        <v>0</v>
      </c>
      <c r="AB139" s="20">
        <f t="shared" si="54"/>
        <v>0</v>
      </c>
      <c r="AC139" s="20">
        <f t="shared" si="55"/>
        <v>0</v>
      </c>
      <c r="AD139" s="20">
        <f>IF(A139="",21/24,MOD(VLOOKUP(A139,Parámetros!$A$24:$B$25,2,TRUE()),1))</f>
        <v>0.875</v>
      </c>
      <c r="AE139" s="5">
        <f>IF(A139="",0,IF(OR(WEEKDAY(A139,2)=7,COUNTIF(Festivos!$A$5:$A$451,A139)&gt;0),1,0))</f>
        <v>0</v>
      </c>
      <c r="AF139" s="5">
        <f>IF(A139="",0,IF(OR(WEEKDAY(A139+1,2)=7,COUNTIF(Festivos!$A$5:$A$451,A139+1)&gt;0),1,0))</f>
        <v>0</v>
      </c>
      <c r="AG139" s="9">
        <f>IF(A139="",0,VLOOKUP(A139,Parámetros!$A$18:$B$21,2,TRUE()))</f>
        <v>0</v>
      </c>
      <c r="AH139" s="20">
        <f t="shared" si="56"/>
        <v>0</v>
      </c>
      <c r="AI139" s="20">
        <f>MAX(0,MIN(AB139,Parámetros!$B$11)-MAX(X139,0))+MAX(0,MIN(AB139,1+Parámetros!$B$11)-MAX(X139,AD139))+MAX(0,MIN(AB139,2)-MAX(X139,1+AD139))</f>
        <v>0</v>
      </c>
      <c r="AJ139" s="20">
        <f t="shared" si="57"/>
        <v>0</v>
      </c>
      <c r="AK139" s="20">
        <f>AE139*(MAX(0,MIN(AB139,Parámetros!$B$11)-MAX(X139,0))+MAX(0,MIN(AB139,1)-MAX(X139,AD139)))+AF139*(MAX(0,MIN(AB139,1+Parámetros!$B$11)-MAX(X139,1))+MAX(0,MIN(AB139,2)-MAX(X139,1+AD139)))</f>
        <v>0</v>
      </c>
      <c r="AL139" s="20">
        <f t="shared" si="58"/>
        <v>0</v>
      </c>
      <c r="AM139" s="20">
        <f>MAX(0,MIN(AC139,Parámetros!$B$11)-MAX(AB139,0))+MAX(0,MIN(AC139,1+Parámetros!$B$11)-MAX(AB139,AD139))+MAX(0,MIN(AC139,2)-MAX(AB139,1+AD139))</f>
        <v>0</v>
      </c>
      <c r="AN139" s="20">
        <f t="shared" si="59"/>
        <v>0</v>
      </c>
      <c r="AO139" s="20">
        <f>AE139*(MAX(0,MIN(AC139,Parámetros!$B$11)-MAX(AB139,0))+MAX(0,MIN(AC139,1)-MAX(AB139,AD139)))+AF139*(MAX(0,MIN(AC139,1+Parámetros!$B$11)-MAX(AB139,1))+MAX(0,MIN(AC139,2)-MAX(AB139,1+AD139)))</f>
        <v>0</v>
      </c>
    </row>
    <row r="140" spans="1:41" x14ac:dyDescent="0.25">
      <c r="A140" s="15"/>
      <c r="B140" s="8"/>
      <c r="C140" s="5" t="str">
        <f>IF(B140="","",IFERROR(INDEX(Trabajadores!$B$5:$B$204,MATCH(B140,Trabajadores!$A$5:$A$204,0)),"Cédula no registrada"))</f>
        <v/>
      </c>
      <c r="D140" s="11"/>
      <c r="E140" s="11"/>
      <c r="F140" s="8"/>
      <c r="G140" s="18" t="str">
        <f>IF(A140="","",IFERROR(INDEX(Trabajadores!$E$5:$E$204,MATCH(B140,Trabajadores!$A$5:$A$204,0))/Parámetros!$B$6,0)+IF(IFERROR(INDEX(Trabajadores!$E$5:$E$204,MATCH(B140,Trabajadores!$A$5:$A$204,0)),"")="",Parámetros!$B$7,0))</f>
        <v/>
      </c>
      <c r="H140" s="5" t="str">
        <f t="shared" si="40"/>
        <v/>
      </c>
      <c r="I140" s="5" t="str">
        <f>IF(A140="","",IF(COUNTIF(Festivos!$A$5:$A$451,A140)&gt;0,"Festivo",IF(WEEKDAY(A140,2)=7,"Domingo",IF(AND(AF140=1,AC140&gt;1),IF(COUNTIF(Festivos!$A$5:$A$451,A140+1)&gt;0,"Festivo","Domingo")&amp;" desde las 00:00",""))))</f>
        <v/>
      </c>
      <c r="J140" s="19" t="str">
        <f t="shared" si="41"/>
        <v/>
      </c>
      <c r="K140" s="19" t="str">
        <f t="shared" si="42"/>
        <v/>
      </c>
      <c r="L140" s="19" t="str">
        <f t="shared" si="43"/>
        <v/>
      </c>
      <c r="M140" s="19" t="str">
        <f t="shared" si="44"/>
        <v/>
      </c>
      <c r="N140" s="19" t="str">
        <f t="shared" si="45"/>
        <v/>
      </c>
      <c r="O140" s="19" t="str">
        <f t="shared" si="46"/>
        <v/>
      </c>
      <c r="P140" s="19" t="str">
        <f t="shared" si="47"/>
        <v/>
      </c>
      <c r="Q140" s="19" t="str">
        <f t="shared" si="48"/>
        <v/>
      </c>
      <c r="R140" s="19" t="str">
        <f t="shared" si="49"/>
        <v/>
      </c>
      <c r="S140" s="17" t="str">
        <f>IF(B140="","",IFERROR(INDEX(Trabajadores!$G$5:$G$204,MATCH(B140,Trabajadores!$A$5:$A$204,0)),""))</f>
        <v/>
      </c>
      <c r="T140" s="17" t="str">
        <f>IF(OR(OR(A140="",D140="",E140=""),S140=""),"",ROUND(S140*(N(L140)*Parámetros!$B$8+N(M140)*(1+Parámetros!$B$9)+N(N140)*(1+Parámetros!$B$10)+N(O140)*(1+AG140)+N(P140)*(1+AG140+Parámetros!$B$8)+N(Q140)*(1+AG140+Parámetros!$B$9)+N(R140)*(1+AG140+Parámetros!$B$10)),0))</f>
        <v/>
      </c>
      <c r="U140" s="5" t="str">
        <f>IF(OR(A140="",D140="",E140=""),"",IF(N(M140)+N(N140)+N(Q140)+N(R140)&gt;Parámetros!$B$12,"Supera el límite de horas extras diarias",IF(C140="Cédula no registrada","Registre la cédula en «Trabajadores»","")))</f>
        <v/>
      </c>
      <c r="X140" s="20">
        <f t="shared" si="50"/>
        <v>0</v>
      </c>
      <c r="Y140" s="20">
        <f t="shared" si="51"/>
        <v>0</v>
      </c>
      <c r="Z140" s="20">
        <f t="shared" si="52"/>
        <v>0</v>
      </c>
      <c r="AA140" s="20">
        <f t="shared" si="53"/>
        <v>0</v>
      </c>
      <c r="AB140" s="20">
        <f t="shared" si="54"/>
        <v>0</v>
      </c>
      <c r="AC140" s="20">
        <f t="shared" si="55"/>
        <v>0</v>
      </c>
      <c r="AD140" s="20">
        <f>IF(A140="",21/24,MOD(VLOOKUP(A140,Parámetros!$A$24:$B$25,2,TRUE()),1))</f>
        <v>0.875</v>
      </c>
      <c r="AE140" s="5">
        <f>IF(A140="",0,IF(OR(WEEKDAY(A140,2)=7,COUNTIF(Festivos!$A$5:$A$451,A140)&gt;0),1,0))</f>
        <v>0</v>
      </c>
      <c r="AF140" s="5">
        <f>IF(A140="",0,IF(OR(WEEKDAY(A140+1,2)=7,COUNTIF(Festivos!$A$5:$A$451,A140+1)&gt;0),1,0))</f>
        <v>0</v>
      </c>
      <c r="AG140" s="9">
        <f>IF(A140="",0,VLOOKUP(A140,Parámetros!$A$18:$B$21,2,TRUE()))</f>
        <v>0</v>
      </c>
      <c r="AH140" s="20">
        <f t="shared" si="56"/>
        <v>0</v>
      </c>
      <c r="AI140" s="20">
        <f>MAX(0,MIN(AB140,Parámetros!$B$11)-MAX(X140,0))+MAX(0,MIN(AB140,1+Parámetros!$B$11)-MAX(X140,AD140))+MAX(0,MIN(AB140,2)-MAX(X140,1+AD140))</f>
        <v>0</v>
      </c>
      <c r="AJ140" s="20">
        <f t="shared" si="57"/>
        <v>0</v>
      </c>
      <c r="AK140" s="20">
        <f>AE140*(MAX(0,MIN(AB140,Parámetros!$B$11)-MAX(X140,0))+MAX(0,MIN(AB140,1)-MAX(X140,AD140)))+AF140*(MAX(0,MIN(AB140,1+Parámetros!$B$11)-MAX(X140,1))+MAX(0,MIN(AB140,2)-MAX(X140,1+AD140)))</f>
        <v>0</v>
      </c>
      <c r="AL140" s="20">
        <f t="shared" si="58"/>
        <v>0</v>
      </c>
      <c r="AM140" s="20">
        <f>MAX(0,MIN(AC140,Parámetros!$B$11)-MAX(AB140,0))+MAX(0,MIN(AC140,1+Parámetros!$B$11)-MAX(AB140,AD140))+MAX(0,MIN(AC140,2)-MAX(AB140,1+AD140))</f>
        <v>0</v>
      </c>
      <c r="AN140" s="20">
        <f t="shared" si="59"/>
        <v>0</v>
      </c>
      <c r="AO140" s="20">
        <f>AE140*(MAX(0,MIN(AC140,Parámetros!$B$11)-MAX(AB140,0))+MAX(0,MIN(AC140,1)-MAX(AB140,AD140)))+AF140*(MAX(0,MIN(AC140,1+Parámetros!$B$11)-MAX(AB140,1))+MAX(0,MIN(AC140,2)-MAX(AB140,1+AD140)))</f>
        <v>0</v>
      </c>
    </row>
    <row r="141" spans="1:41" x14ac:dyDescent="0.25">
      <c r="A141" s="15"/>
      <c r="B141" s="8"/>
      <c r="C141" s="5" t="str">
        <f>IF(B141="","",IFERROR(INDEX(Trabajadores!$B$5:$B$204,MATCH(B141,Trabajadores!$A$5:$A$204,0)),"Cédula no registrada"))</f>
        <v/>
      </c>
      <c r="D141" s="11"/>
      <c r="E141" s="11"/>
      <c r="F141" s="8"/>
      <c r="G141" s="18" t="str">
        <f>IF(A141="","",IFERROR(INDEX(Trabajadores!$E$5:$E$204,MATCH(B141,Trabajadores!$A$5:$A$204,0))/Parámetros!$B$6,0)+IF(IFERROR(INDEX(Trabajadores!$E$5:$E$204,MATCH(B141,Trabajadores!$A$5:$A$204,0)),"")="",Parámetros!$B$7,0))</f>
        <v/>
      </c>
      <c r="H141" s="5" t="str">
        <f t="shared" si="40"/>
        <v/>
      </c>
      <c r="I141" s="5" t="str">
        <f>IF(A141="","",IF(COUNTIF(Festivos!$A$5:$A$451,A141)&gt;0,"Festivo",IF(WEEKDAY(A141,2)=7,"Domingo",IF(AND(AF141=1,AC141&gt;1),IF(COUNTIF(Festivos!$A$5:$A$451,A141+1)&gt;0,"Festivo","Domingo")&amp;" desde las 00:00",""))))</f>
        <v/>
      </c>
      <c r="J141" s="19" t="str">
        <f t="shared" si="41"/>
        <v/>
      </c>
      <c r="K141" s="19" t="str">
        <f t="shared" si="42"/>
        <v/>
      </c>
      <c r="L141" s="19" t="str">
        <f t="shared" si="43"/>
        <v/>
      </c>
      <c r="M141" s="19" t="str">
        <f t="shared" si="44"/>
        <v/>
      </c>
      <c r="N141" s="19" t="str">
        <f t="shared" si="45"/>
        <v/>
      </c>
      <c r="O141" s="19" t="str">
        <f t="shared" si="46"/>
        <v/>
      </c>
      <c r="P141" s="19" t="str">
        <f t="shared" si="47"/>
        <v/>
      </c>
      <c r="Q141" s="19" t="str">
        <f t="shared" si="48"/>
        <v/>
      </c>
      <c r="R141" s="19" t="str">
        <f t="shared" si="49"/>
        <v/>
      </c>
      <c r="S141" s="17" t="str">
        <f>IF(B141="","",IFERROR(INDEX(Trabajadores!$G$5:$G$204,MATCH(B141,Trabajadores!$A$5:$A$204,0)),""))</f>
        <v/>
      </c>
      <c r="T141" s="17" t="str">
        <f>IF(OR(OR(A141="",D141="",E141=""),S141=""),"",ROUND(S141*(N(L141)*Parámetros!$B$8+N(M141)*(1+Parámetros!$B$9)+N(N141)*(1+Parámetros!$B$10)+N(O141)*(1+AG141)+N(P141)*(1+AG141+Parámetros!$B$8)+N(Q141)*(1+AG141+Parámetros!$B$9)+N(R141)*(1+AG141+Parámetros!$B$10)),0))</f>
        <v/>
      </c>
      <c r="U141" s="5" t="str">
        <f>IF(OR(A141="",D141="",E141=""),"",IF(N(M141)+N(N141)+N(Q141)+N(R141)&gt;Parámetros!$B$12,"Supera el límite de horas extras diarias",IF(C141="Cédula no registrada","Registre la cédula en «Trabajadores»","")))</f>
        <v/>
      </c>
      <c r="X141" s="20">
        <f t="shared" si="50"/>
        <v>0</v>
      </c>
      <c r="Y141" s="20">
        <f t="shared" si="51"/>
        <v>0</v>
      </c>
      <c r="Z141" s="20">
        <f t="shared" si="52"/>
        <v>0</v>
      </c>
      <c r="AA141" s="20">
        <f t="shared" si="53"/>
        <v>0</v>
      </c>
      <c r="AB141" s="20">
        <f t="shared" si="54"/>
        <v>0</v>
      </c>
      <c r="AC141" s="20">
        <f t="shared" si="55"/>
        <v>0</v>
      </c>
      <c r="AD141" s="20">
        <f>IF(A141="",21/24,MOD(VLOOKUP(A141,Parámetros!$A$24:$B$25,2,TRUE()),1))</f>
        <v>0.875</v>
      </c>
      <c r="AE141" s="5">
        <f>IF(A141="",0,IF(OR(WEEKDAY(A141,2)=7,COUNTIF(Festivos!$A$5:$A$451,A141)&gt;0),1,0))</f>
        <v>0</v>
      </c>
      <c r="AF141" s="5">
        <f>IF(A141="",0,IF(OR(WEEKDAY(A141+1,2)=7,COUNTIF(Festivos!$A$5:$A$451,A141+1)&gt;0),1,0))</f>
        <v>0</v>
      </c>
      <c r="AG141" s="9">
        <f>IF(A141="",0,VLOOKUP(A141,Parámetros!$A$18:$B$21,2,TRUE()))</f>
        <v>0</v>
      </c>
      <c r="AH141" s="20">
        <f t="shared" si="56"/>
        <v>0</v>
      </c>
      <c r="AI141" s="20">
        <f>MAX(0,MIN(AB141,Parámetros!$B$11)-MAX(X141,0))+MAX(0,MIN(AB141,1+Parámetros!$B$11)-MAX(X141,AD141))+MAX(0,MIN(AB141,2)-MAX(X141,1+AD141))</f>
        <v>0</v>
      </c>
      <c r="AJ141" s="20">
        <f t="shared" si="57"/>
        <v>0</v>
      </c>
      <c r="AK141" s="20">
        <f>AE141*(MAX(0,MIN(AB141,Parámetros!$B$11)-MAX(X141,0))+MAX(0,MIN(AB141,1)-MAX(X141,AD141)))+AF141*(MAX(0,MIN(AB141,1+Parámetros!$B$11)-MAX(X141,1))+MAX(0,MIN(AB141,2)-MAX(X141,1+AD141)))</f>
        <v>0</v>
      </c>
      <c r="AL141" s="20">
        <f t="shared" si="58"/>
        <v>0</v>
      </c>
      <c r="AM141" s="20">
        <f>MAX(0,MIN(AC141,Parámetros!$B$11)-MAX(AB141,0))+MAX(0,MIN(AC141,1+Parámetros!$B$11)-MAX(AB141,AD141))+MAX(0,MIN(AC141,2)-MAX(AB141,1+AD141))</f>
        <v>0</v>
      </c>
      <c r="AN141" s="20">
        <f t="shared" si="59"/>
        <v>0</v>
      </c>
      <c r="AO141" s="20">
        <f>AE141*(MAX(0,MIN(AC141,Parámetros!$B$11)-MAX(AB141,0))+MAX(0,MIN(AC141,1)-MAX(AB141,AD141)))+AF141*(MAX(0,MIN(AC141,1+Parámetros!$B$11)-MAX(AB141,1))+MAX(0,MIN(AC141,2)-MAX(AB141,1+AD141)))</f>
        <v>0</v>
      </c>
    </row>
    <row r="142" spans="1:41" x14ac:dyDescent="0.25">
      <c r="A142" s="15"/>
      <c r="B142" s="8"/>
      <c r="C142" s="5" t="str">
        <f>IF(B142="","",IFERROR(INDEX(Trabajadores!$B$5:$B$204,MATCH(B142,Trabajadores!$A$5:$A$204,0)),"Cédula no registrada"))</f>
        <v/>
      </c>
      <c r="D142" s="11"/>
      <c r="E142" s="11"/>
      <c r="F142" s="8"/>
      <c r="G142" s="18" t="str">
        <f>IF(A142="","",IFERROR(INDEX(Trabajadores!$E$5:$E$204,MATCH(B142,Trabajadores!$A$5:$A$204,0))/Parámetros!$B$6,0)+IF(IFERROR(INDEX(Trabajadores!$E$5:$E$204,MATCH(B142,Trabajadores!$A$5:$A$204,0)),"")="",Parámetros!$B$7,0))</f>
        <v/>
      </c>
      <c r="H142" s="5" t="str">
        <f t="shared" si="40"/>
        <v/>
      </c>
      <c r="I142" s="5" t="str">
        <f>IF(A142="","",IF(COUNTIF(Festivos!$A$5:$A$451,A142)&gt;0,"Festivo",IF(WEEKDAY(A142,2)=7,"Domingo",IF(AND(AF142=1,AC142&gt;1),IF(COUNTIF(Festivos!$A$5:$A$451,A142+1)&gt;0,"Festivo","Domingo")&amp;" desde las 00:00",""))))</f>
        <v/>
      </c>
      <c r="J142" s="19" t="str">
        <f t="shared" si="41"/>
        <v/>
      </c>
      <c r="K142" s="19" t="str">
        <f t="shared" si="42"/>
        <v/>
      </c>
      <c r="L142" s="19" t="str">
        <f t="shared" si="43"/>
        <v/>
      </c>
      <c r="M142" s="19" t="str">
        <f t="shared" si="44"/>
        <v/>
      </c>
      <c r="N142" s="19" t="str">
        <f t="shared" si="45"/>
        <v/>
      </c>
      <c r="O142" s="19" t="str">
        <f t="shared" si="46"/>
        <v/>
      </c>
      <c r="P142" s="19" t="str">
        <f t="shared" si="47"/>
        <v/>
      </c>
      <c r="Q142" s="19" t="str">
        <f t="shared" si="48"/>
        <v/>
      </c>
      <c r="R142" s="19" t="str">
        <f t="shared" si="49"/>
        <v/>
      </c>
      <c r="S142" s="17" t="str">
        <f>IF(B142="","",IFERROR(INDEX(Trabajadores!$G$5:$G$204,MATCH(B142,Trabajadores!$A$5:$A$204,0)),""))</f>
        <v/>
      </c>
      <c r="T142" s="17" t="str">
        <f>IF(OR(OR(A142="",D142="",E142=""),S142=""),"",ROUND(S142*(N(L142)*Parámetros!$B$8+N(M142)*(1+Parámetros!$B$9)+N(N142)*(1+Parámetros!$B$10)+N(O142)*(1+AG142)+N(P142)*(1+AG142+Parámetros!$B$8)+N(Q142)*(1+AG142+Parámetros!$B$9)+N(R142)*(1+AG142+Parámetros!$B$10)),0))</f>
        <v/>
      </c>
      <c r="U142" s="5" t="str">
        <f>IF(OR(A142="",D142="",E142=""),"",IF(N(M142)+N(N142)+N(Q142)+N(R142)&gt;Parámetros!$B$12,"Supera el límite de horas extras diarias",IF(C142="Cédula no registrada","Registre la cédula en «Trabajadores»","")))</f>
        <v/>
      </c>
      <c r="X142" s="20">
        <f t="shared" si="50"/>
        <v>0</v>
      </c>
      <c r="Y142" s="20">
        <f t="shared" si="51"/>
        <v>0</v>
      </c>
      <c r="Z142" s="20">
        <f t="shared" si="52"/>
        <v>0</v>
      </c>
      <c r="AA142" s="20">
        <f t="shared" si="53"/>
        <v>0</v>
      </c>
      <c r="AB142" s="20">
        <f t="shared" si="54"/>
        <v>0</v>
      </c>
      <c r="AC142" s="20">
        <f t="shared" si="55"/>
        <v>0</v>
      </c>
      <c r="AD142" s="20">
        <f>IF(A142="",21/24,MOD(VLOOKUP(A142,Parámetros!$A$24:$B$25,2,TRUE()),1))</f>
        <v>0.875</v>
      </c>
      <c r="AE142" s="5">
        <f>IF(A142="",0,IF(OR(WEEKDAY(A142,2)=7,COUNTIF(Festivos!$A$5:$A$451,A142)&gt;0),1,0))</f>
        <v>0</v>
      </c>
      <c r="AF142" s="5">
        <f>IF(A142="",0,IF(OR(WEEKDAY(A142+1,2)=7,COUNTIF(Festivos!$A$5:$A$451,A142+1)&gt;0),1,0))</f>
        <v>0</v>
      </c>
      <c r="AG142" s="9">
        <f>IF(A142="",0,VLOOKUP(A142,Parámetros!$A$18:$B$21,2,TRUE()))</f>
        <v>0</v>
      </c>
      <c r="AH142" s="20">
        <f t="shared" si="56"/>
        <v>0</v>
      </c>
      <c r="AI142" s="20">
        <f>MAX(0,MIN(AB142,Parámetros!$B$11)-MAX(X142,0))+MAX(0,MIN(AB142,1+Parámetros!$B$11)-MAX(X142,AD142))+MAX(0,MIN(AB142,2)-MAX(X142,1+AD142))</f>
        <v>0</v>
      </c>
      <c r="AJ142" s="20">
        <f t="shared" si="57"/>
        <v>0</v>
      </c>
      <c r="AK142" s="20">
        <f>AE142*(MAX(0,MIN(AB142,Parámetros!$B$11)-MAX(X142,0))+MAX(0,MIN(AB142,1)-MAX(X142,AD142)))+AF142*(MAX(0,MIN(AB142,1+Parámetros!$B$11)-MAX(X142,1))+MAX(0,MIN(AB142,2)-MAX(X142,1+AD142)))</f>
        <v>0</v>
      </c>
      <c r="AL142" s="20">
        <f t="shared" si="58"/>
        <v>0</v>
      </c>
      <c r="AM142" s="20">
        <f>MAX(0,MIN(AC142,Parámetros!$B$11)-MAX(AB142,0))+MAX(0,MIN(AC142,1+Parámetros!$B$11)-MAX(AB142,AD142))+MAX(0,MIN(AC142,2)-MAX(AB142,1+AD142))</f>
        <v>0</v>
      </c>
      <c r="AN142" s="20">
        <f t="shared" si="59"/>
        <v>0</v>
      </c>
      <c r="AO142" s="20">
        <f>AE142*(MAX(0,MIN(AC142,Parámetros!$B$11)-MAX(AB142,0))+MAX(0,MIN(AC142,1)-MAX(AB142,AD142)))+AF142*(MAX(0,MIN(AC142,1+Parámetros!$B$11)-MAX(AB142,1))+MAX(0,MIN(AC142,2)-MAX(AB142,1+AD142)))</f>
        <v>0</v>
      </c>
    </row>
    <row r="143" spans="1:41" x14ac:dyDescent="0.25">
      <c r="A143" s="15"/>
      <c r="B143" s="8"/>
      <c r="C143" s="5" t="str">
        <f>IF(B143="","",IFERROR(INDEX(Trabajadores!$B$5:$B$204,MATCH(B143,Trabajadores!$A$5:$A$204,0)),"Cédula no registrada"))</f>
        <v/>
      </c>
      <c r="D143" s="11"/>
      <c r="E143" s="11"/>
      <c r="F143" s="8"/>
      <c r="G143" s="18" t="str">
        <f>IF(A143="","",IFERROR(INDEX(Trabajadores!$E$5:$E$204,MATCH(B143,Trabajadores!$A$5:$A$204,0))/Parámetros!$B$6,0)+IF(IFERROR(INDEX(Trabajadores!$E$5:$E$204,MATCH(B143,Trabajadores!$A$5:$A$204,0)),"")="",Parámetros!$B$7,0))</f>
        <v/>
      </c>
      <c r="H143" s="5" t="str">
        <f t="shared" si="40"/>
        <v/>
      </c>
      <c r="I143" s="5" t="str">
        <f>IF(A143="","",IF(COUNTIF(Festivos!$A$5:$A$451,A143)&gt;0,"Festivo",IF(WEEKDAY(A143,2)=7,"Domingo",IF(AND(AF143=1,AC143&gt;1),IF(COUNTIF(Festivos!$A$5:$A$451,A143+1)&gt;0,"Festivo","Domingo")&amp;" desde las 00:00",""))))</f>
        <v/>
      </c>
      <c r="J143" s="19" t="str">
        <f t="shared" si="41"/>
        <v/>
      </c>
      <c r="K143" s="19" t="str">
        <f t="shared" si="42"/>
        <v/>
      </c>
      <c r="L143" s="19" t="str">
        <f t="shared" si="43"/>
        <v/>
      </c>
      <c r="M143" s="19" t="str">
        <f t="shared" si="44"/>
        <v/>
      </c>
      <c r="N143" s="19" t="str">
        <f t="shared" si="45"/>
        <v/>
      </c>
      <c r="O143" s="19" t="str">
        <f t="shared" si="46"/>
        <v/>
      </c>
      <c r="P143" s="19" t="str">
        <f t="shared" si="47"/>
        <v/>
      </c>
      <c r="Q143" s="19" t="str">
        <f t="shared" si="48"/>
        <v/>
      </c>
      <c r="R143" s="19" t="str">
        <f t="shared" si="49"/>
        <v/>
      </c>
      <c r="S143" s="17" t="str">
        <f>IF(B143="","",IFERROR(INDEX(Trabajadores!$G$5:$G$204,MATCH(B143,Trabajadores!$A$5:$A$204,0)),""))</f>
        <v/>
      </c>
      <c r="T143" s="17" t="str">
        <f>IF(OR(OR(A143="",D143="",E143=""),S143=""),"",ROUND(S143*(N(L143)*Parámetros!$B$8+N(M143)*(1+Parámetros!$B$9)+N(N143)*(1+Parámetros!$B$10)+N(O143)*(1+AG143)+N(P143)*(1+AG143+Parámetros!$B$8)+N(Q143)*(1+AG143+Parámetros!$B$9)+N(R143)*(1+AG143+Parámetros!$B$10)),0))</f>
        <v/>
      </c>
      <c r="U143" s="5" t="str">
        <f>IF(OR(A143="",D143="",E143=""),"",IF(N(M143)+N(N143)+N(Q143)+N(R143)&gt;Parámetros!$B$12,"Supera el límite de horas extras diarias",IF(C143="Cédula no registrada","Registre la cédula en «Trabajadores»","")))</f>
        <v/>
      </c>
      <c r="X143" s="20">
        <f t="shared" si="50"/>
        <v>0</v>
      </c>
      <c r="Y143" s="20">
        <f t="shared" si="51"/>
        <v>0</v>
      </c>
      <c r="Z143" s="20">
        <f t="shared" si="52"/>
        <v>0</v>
      </c>
      <c r="AA143" s="20">
        <f t="shared" si="53"/>
        <v>0</v>
      </c>
      <c r="AB143" s="20">
        <f t="shared" si="54"/>
        <v>0</v>
      </c>
      <c r="AC143" s="20">
        <f t="shared" si="55"/>
        <v>0</v>
      </c>
      <c r="AD143" s="20">
        <f>IF(A143="",21/24,MOD(VLOOKUP(A143,Parámetros!$A$24:$B$25,2,TRUE()),1))</f>
        <v>0.875</v>
      </c>
      <c r="AE143" s="5">
        <f>IF(A143="",0,IF(OR(WEEKDAY(A143,2)=7,COUNTIF(Festivos!$A$5:$A$451,A143)&gt;0),1,0))</f>
        <v>0</v>
      </c>
      <c r="AF143" s="5">
        <f>IF(A143="",0,IF(OR(WEEKDAY(A143+1,2)=7,COUNTIF(Festivos!$A$5:$A$451,A143+1)&gt;0),1,0))</f>
        <v>0</v>
      </c>
      <c r="AG143" s="9">
        <f>IF(A143="",0,VLOOKUP(A143,Parámetros!$A$18:$B$21,2,TRUE()))</f>
        <v>0</v>
      </c>
      <c r="AH143" s="20">
        <f t="shared" si="56"/>
        <v>0</v>
      </c>
      <c r="AI143" s="20">
        <f>MAX(0,MIN(AB143,Parámetros!$B$11)-MAX(X143,0))+MAX(0,MIN(AB143,1+Parámetros!$B$11)-MAX(X143,AD143))+MAX(0,MIN(AB143,2)-MAX(X143,1+AD143))</f>
        <v>0</v>
      </c>
      <c r="AJ143" s="20">
        <f t="shared" si="57"/>
        <v>0</v>
      </c>
      <c r="AK143" s="20">
        <f>AE143*(MAX(0,MIN(AB143,Parámetros!$B$11)-MAX(X143,0))+MAX(0,MIN(AB143,1)-MAX(X143,AD143)))+AF143*(MAX(0,MIN(AB143,1+Parámetros!$B$11)-MAX(X143,1))+MAX(0,MIN(AB143,2)-MAX(X143,1+AD143)))</f>
        <v>0</v>
      </c>
      <c r="AL143" s="20">
        <f t="shared" si="58"/>
        <v>0</v>
      </c>
      <c r="AM143" s="20">
        <f>MAX(0,MIN(AC143,Parámetros!$B$11)-MAX(AB143,0))+MAX(0,MIN(AC143,1+Parámetros!$B$11)-MAX(AB143,AD143))+MAX(0,MIN(AC143,2)-MAX(AB143,1+AD143))</f>
        <v>0</v>
      </c>
      <c r="AN143" s="20">
        <f t="shared" si="59"/>
        <v>0</v>
      </c>
      <c r="AO143" s="20">
        <f>AE143*(MAX(0,MIN(AC143,Parámetros!$B$11)-MAX(AB143,0))+MAX(0,MIN(AC143,1)-MAX(AB143,AD143)))+AF143*(MAX(0,MIN(AC143,1+Parámetros!$B$11)-MAX(AB143,1))+MAX(0,MIN(AC143,2)-MAX(AB143,1+AD143)))</f>
        <v>0</v>
      </c>
    </row>
    <row r="144" spans="1:41" x14ac:dyDescent="0.25">
      <c r="A144" s="15"/>
      <c r="B144" s="8"/>
      <c r="C144" s="5" t="str">
        <f>IF(B144="","",IFERROR(INDEX(Trabajadores!$B$5:$B$204,MATCH(B144,Trabajadores!$A$5:$A$204,0)),"Cédula no registrada"))</f>
        <v/>
      </c>
      <c r="D144" s="11"/>
      <c r="E144" s="11"/>
      <c r="F144" s="8"/>
      <c r="G144" s="18" t="str">
        <f>IF(A144="","",IFERROR(INDEX(Trabajadores!$E$5:$E$204,MATCH(B144,Trabajadores!$A$5:$A$204,0))/Parámetros!$B$6,0)+IF(IFERROR(INDEX(Trabajadores!$E$5:$E$204,MATCH(B144,Trabajadores!$A$5:$A$204,0)),"")="",Parámetros!$B$7,0))</f>
        <v/>
      </c>
      <c r="H144" s="5" t="str">
        <f t="shared" si="40"/>
        <v/>
      </c>
      <c r="I144" s="5" t="str">
        <f>IF(A144="","",IF(COUNTIF(Festivos!$A$5:$A$451,A144)&gt;0,"Festivo",IF(WEEKDAY(A144,2)=7,"Domingo",IF(AND(AF144=1,AC144&gt;1),IF(COUNTIF(Festivos!$A$5:$A$451,A144+1)&gt;0,"Festivo","Domingo")&amp;" desde las 00:00",""))))</f>
        <v/>
      </c>
      <c r="J144" s="19" t="str">
        <f t="shared" si="41"/>
        <v/>
      </c>
      <c r="K144" s="19" t="str">
        <f t="shared" si="42"/>
        <v/>
      </c>
      <c r="L144" s="19" t="str">
        <f t="shared" si="43"/>
        <v/>
      </c>
      <c r="M144" s="19" t="str">
        <f t="shared" si="44"/>
        <v/>
      </c>
      <c r="N144" s="19" t="str">
        <f t="shared" si="45"/>
        <v/>
      </c>
      <c r="O144" s="19" t="str">
        <f t="shared" si="46"/>
        <v/>
      </c>
      <c r="P144" s="19" t="str">
        <f t="shared" si="47"/>
        <v/>
      </c>
      <c r="Q144" s="19" t="str">
        <f t="shared" si="48"/>
        <v/>
      </c>
      <c r="R144" s="19" t="str">
        <f t="shared" si="49"/>
        <v/>
      </c>
      <c r="S144" s="17" t="str">
        <f>IF(B144="","",IFERROR(INDEX(Trabajadores!$G$5:$G$204,MATCH(B144,Trabajadores!$A$5:$A$204,0)),""))</f>
        <v/>
      </c>
      <c r="T144" s="17" t="str">
        <f>IF(OR(OR(A144="",D144="",E144=""),S144=""),"",ROUND(S144*(N(L144)*Parámetros!$B$8+N(M144)*(1+Parámetros!$B$9)+N(N144)*(1+Parámetros!$B$10)+N(O144)*(1+AG144)+N(P144)*(1+AG144+Parámetros!$B$8)+N(Q144)*(1+AG144+Parámetros!$B$9)+N(R144)*(1+AG144+Parámetros!$B$10)),0))</f>
        <v/>
      </c>
      <c r="U144" s="5" t="str">
        <f>IF(OR(A144="",D144="",E144=""),"",IF(N(M144)+N(N144)+N(Q144)+N(R144)&gt;Parámetros!$B$12,"Supera el límite de horas extras diarias",IF(C144="Cédula no registrada","Registre la cédula en «Trabajadores»","")))</f>
        <v/>
      </c>
      <c r="X144" s="20">
        <f t="shared" si="50"/>
        <v>0</v>
      </c>
      <c r="Y144" s="20">
        <f t="shared" si="51"/>
        <v>0</v>
      </c>
      <c r="Z144" s="20">
        <f t="shared" si="52"/>
        <v>0</v>
      </c>
      <c r="AA144" s="20">
        <f t="shared" si="53"/>
        <v>0</v>
      </c>
      <c r="AB144" s="20">
        <f t="shared" si="54"/>
        <v>0</v>
      </c>
      <c r="AC144" s="20">
        <f t="shared" si="55"/>
        <v>0</v>
      </c>
      <c r="AD144" s="20">
        <f>IF(A144="",21/24,MOD(VLOOKUP(A144,Parámetros!$A$24:$B$25,2,TRUE()),1))</f>
        <v>0.875</v>
      </c>
      <c r="AE144" s="5">
        <f>IF(A144="",0,IF(OR(WEEKDAY(A144,2)=7,COUNTIF(Festivos!$A$5:$A$451,A144)&gt;0),1,0))</f>
        <v>0</v>
      </c>
      <c r="AF144" s="5">
        <f>IF(A144="",0,IF(OR(WEEKDAY(A144+1,2)=7,COUNTIF(Festivos!$A$5:$A$451,A144+1)&gt;0),1,0))</f>
        <v>0</v>
      </c>
      <c r="AG144" s="9">
        <f>IF(A144="",0,VLOOKUP(A144,Parámetros!$A$18:$B$21,2,TRUE()))</f>
        <v>0</v>
      </c>
      <c r="AH144" s="20">
        <f t="shared" si="56"/>
        <v>0</v>
      </c>
      <c r="AI144" s="20">
        <f>MAX(0,MIN(AB144,Parámetros!$B$11)-MAX(X144,0))+MAX(0,MIN(AB144,1+Parámetros!$B$11)-MAX(X144,AD144))+MAX(0,MIN(AB144,2)-MAX(X144,1+AD144))</f>
        <v>0</v>
      </c>
      <c r="AJ144" s="20">
        <f t="shared" si="57"/>
        <v>0</v>
      </c>
      <c r="AK144" s="20">
        <f>AE144*(MAX(0,MIN(AB144,Parámetros!$B$11)-MAX(X144,0))+MAX(0,MIN(AB144,1)-MAX(X144,AD144)))+AF144*(MAX(0,MIN(AB144,1+Parámetros!$B$11)-MAX(X144,1))+MAX(0,MIN(AB144,2)-MAX(X144,1+AD144)))</f>
        <v>0</v>
      </c>
      <c r="AL144" s="20">
        <f t="shared" si="58"/>
        <v>0</v>
      </c>
      <c r="AM144" s="20">
        <f>MAX(0,MIN(AC144,Parámetros!$B$11)-MAX(AB144,0))+MAX(0,MIN(AC144,1+Parámetros!$B$11)-MAX(AB144,AD144))+MAX(0,MIN(AC144,2)-MAX(AB144,1+AD144))</f>
        <v>0</v>
      </c>
      <c r="AN144" s="20">
        <f t="shared" si="59"/>
        <v>0</v>
      </c>
      <c r="AO144" s="20">
        <f>AE144*(MAX(0,MIN(AC144,Parámetros!$B$11)-MAX(AB144,0))+MAX(0,MIN(AC144,1)-MAX(AB144,AD144)))+AF144*(MAX(0,MIN(AC144,1+Parámetros!$B$11)-MAX(AB144,1))+MAX(0,MIN(AC144,2)-MAX(AB144,1+AD144)))</f>
        <v>0</v>
      </c>
    </row>
    <row r="145" spans="1:41" x14ac:dyDescent="0.25">
      <c r="A145" s="15"/>
      <c r="B145" s="8"/>
      <c r="C145" s="5" t="str">
        <f>IF(B145="","",IFERROR(INDEX(Trabajadores!$B$5:$B$204,MATCH(B145,Trabajadores!$A$5:$A$204,0)),"Cédula no registrada"))</f>
        <v/>
      </c>
      <c r="D145" s="11"/>
      <c r="E145" s="11"/>
      <c r="F145" s="8"/>
      <c r="G145" s="18" t="str">
        <f>IF(A145="","",IFERROR(INDEX(Trabajadores!$E$5:$E$204,MATCH(B145,Trabajadores!$A$5:$A$204,0))/Parámetros!$B$6,0)+IF(IFERROR(INDEX(Trabajadores!$E$5:$E$204,MATCH(B145,Trabajadores!$A$5:$A$204,0)),"")="",Parámetros!$B$7,0))</f>
        <v/>
      </c>
      <c r="H145" s="5" t="str">
        <f t="shared" si="40"/>
        <v/>
      </c>
      <c r="I145" s="5" t="str">
        <f>IF(A145="","",IF(COUNTIF(Festivos!$A$5:$A$451,A145)&gt;0,"Festivo",IF(WEEKDAY(A145,2)=7,"Domingo",IF(AND(AF145=1,AC145&gt;1),IF(COUNTIF(Festivos!$A$5:$A$451,A145+1)&gt;0,"Festivo","Domingo")&amp;" desde las 00:00",""))))</f>
        <v/>
      </c>
      <c r="J145" s="19" t="str">
        <f t="shared" si="41"/>
        <v/>
      </c>
      <c r="K145" s="19" t="str">
        <f t="shared" si="42"/>
        <v/>
      </c>
      <c r="L145" s="19" t="str">
        <f t="shared" si="43"/>
        <v/>
      </c>
      <c r="M145" s="19" t="str">
        <f t="shared" si="44"/>
        <v/>
      </c>
      <c r="N145" s="19" t="str">
        <f t="shared" si="45"/>
        <v/>
      </c>
      <c r="O145" s="19" t="str">
        <f t="shared" si="46"/>
        <v/>
      </c>
      <c r="P145" s="19" t="str">
        <f t="shared" si="47"/>
        <v/>
      </c>
      <c r="Q145" s="19" t="str">
        <f t="shared" si="48"/>
        <v/>
      </c>
      <c r="R145" s="19" t="str">
        <f t="shared" si="49"/>
        <v/>
      </c>
      <c r="S145" s="17" t="str">
        <f>IF(B145="","",IFERROR(INDEX(Trabajadores!$G$5:$G$204,MATCH(B145,Trabajadores!$A$5:$A$204,0)),""))</f>
        <v/>
      </c>
      <c r="T145" s="17" t="str">
        <f>IF(OR(OR(A145="",D145="",E145=""),S145=""),"",ROUND(S145*(N(L145)*Parámetros!$B$8+N(M145)*(1+Parámetros!$B$9)+N(N145)*(1+Parámetros!$B$10)+N(O145)*(1+AG145)+N(P145)*(1+AG145+Parámetros!$B$8)+N(Q145)*(1+AG145+Parámetros!$B$9)+N(R145)*(1+AG145+Parámetros!$B$10)),0))</f>
        <v/>
      </c>
      <c r="U145" s="5" t="str">
        <f>IF(OR(A145="",D145="",E145=""),"",IF(N(M145)+N(N145)+N(Q145)+N(R145)&gt;Parámetros!$B$12,"Supera el límite de horas extras diarias",IF(C145="Cédula no registrada","Registre la cédula en «Trabajadores»","")))</f>
        <v/>
      </c>
      <c r="X145" s="20">
        <f t="shared" si="50"/>
        <v>0</v>
      </c>
      <c r="Y145" s="20">
        <f t="shared" si="51"/>
        <v>0</v>
      </c>
      <c r="Z145" s="20">
        <f t="shared" si="52"/>
        <v>0</v>
      </c>
      <c r="AA145" s="20">
        <f t="shared" si="53"/>
        <v>0</v>
      </c>
      <c r="AB145" s="20">
        <f t="shared" si="54"/>
        <v>0</v>
      </c>
      <c r="AC145" s="20">
        <f t="shared" si="55"/>
        <v>0</v>
      </c>
      <c r="AD145" s="20">
        <f>IF(A145="",21/24,MOD(VLOOKUP(A145,Parámetros!$A$24:$B$25,2,TRUE()),1))</f>
        <v>0.875</v>
      </c>
      <c r="AE145" s="5">
        <f>IF(A145="",0,IF(OR(WEEKDAY(A145,2)=7,COUNTIF(Festivos!$A$5:$A$451,A145)&gt;0),1,0))</f>
        <v>0</v>
      </c>
      <c r="AF145" s="5">
        <f>IF(A145="",0,IF(OR(WEEKDAY(A145+1,2)=7,COUNTIF(Festivos!$A$5:$A$451,A145+1)&gt;0),1,0))</f>
        <v>0</v>
      </c>
      <c r="AG145" s="9">
        <f>IF(A145="",0,VLOOKUP(A145,Parámetros!$A$18:$B$21,2,TRUE()))</f>
        <v>0</v>
      </c>
      <c r="AH145" s="20">
        <f t="shared" si="56"/>
        <v>0</v>
      </c>
      <c r="AI145" s="20">
        <f>MAX(0,MIN(AB145,Parámetros!$B$11)-MAX(X145,0))+MAX(0,MIN(AB145,1+Parámetros!$B$11)-MAX(X145,AD145))+MAX(0,MIN(AB145,2)-MAX(X145,1+AD145))</f>
        <v>0</v>
      </c>
      <c r="AJ145" s="20">
        <f t="shared" si="57"/>
        <v>0</v>
      </c>
      <c r="AK145" s="20">
        <f>AE145*(MAX(0,MIN(AB145,Parámetros!$B$11)-MAX(X145,0))+MAX(0,MIN(AB145,1)-MAX(X145,AD145)))+AF145*(MAX(0,MIN(AB145,1+Parámetros!$B$11)-MAX(X145,1))+MAX(0,MIN(AB145,2)-MAX(X145,1+AD145)))</f>
        <v>0</v>
      </c>
      <c r="AL145" s="20">
        <f t="shared" si="58"/>
        <v>0</v>
      </c>
      <c r="AM145" s="20">
        <f>MAX(0,MIN(AC145,Parámetros!$B$11)-MAX(AB145,0))+MAX(0,MIN(AC145,1+Parámetros!$B$11)-MAX(AB145,AD145))+MAX(0,MIN(AC145,2)-MAX(AB145,1+AD145))</f>
        <v>0</v>
      </c>
      <c r="AN145" s="20">
        <f t="shared" si="59"/>
        <v>0</v>
      </c>
      <c r="AO145" s="20">
        <f>AE145*(MAX(0,MIN(AC145,Parámetros!$B$11)-MAX(AB145,0))+MAX(0,MIN(AC145,1)-MAX(AB145,AD145)))+AF145*(MAX(0,MIN(AC145,1+Parámetros!$B$11)-MAX(AB145,1))+MAX(0,MIN(AC145,2)-MAX(AB145,1+AD145)))</f>
        <v>0</v>
      </c>
    </row>
    <row r="146" spans="1:41" x14ac:dyDescent="0.25">
      <c r="A146" s="15"/>
      <c r="B146" s="8"/>
      <c r="C146" s="5" t="str">
        <f>IF(B146="","",IFERROR(INDEX(Trabajadores!$B$5:$B$204,MATCH(B146,Trabajadores!$A$5:$A$204,0)),"Cédula no registrada"))</f>
        <v/>
      </c>
      <c r="D146" s="11"/>
      <c r="E146" s="11"/>
      <c r="F146" s="8"/>
      <c r="G146" s="18" t="str">
        <f>IF(A146="","",IFERROR(INDEX(Trabajadores!$E$5:$E$204,MATCH(B146,Trabajadores!$A$5:$A$204,0))/Parámetros!$B$6,0)+IF(IFERROR(INDEX(Trabajadores!$E$5:$E$204,MATCH(B146,Trabajadores!$A$5:$A$204,0)),"")="",Parámetros!$B$7,0))</f>
        <v/>
      </c>
      <c r="H146" s="5" t="str">
        <f t="shared" si="40"/>
        <v/>
      </c>
      <c r="I146" s="5" t="str">
        <f>IF(A146="","",IF(COUNTIF(Festivos!$A$5:$A$451,A146)&gt;0,"Festivo",IF(WEEKDAY(A146,2)=7,"Domingo",IF(AND(AF146=1,AC146&gt;1),IF(COUNTIF(Festivos!$A$5:$A$451,A146+1)&gt;0,"Festivo","Domingo")&amp;" desde las 00:00",""))))</f>
        <v/>
      </c>
      <c r="J146" s="19" t="str">
        <f t="shared" si="41"/>
        <v/>
      </c>
      <c r="K146" s="19" t="str">
        <f t="shared" si="42"/>
        <v/>
      </c>
      <c r="L146" s="19" t="str">
        <f t="shared" si="43"/>
        <v/>
      </c>
      <c r="M146" s="19" t="str">
        <f t="shared" si="44"/>
        <v/>
      </c>
      <c r="N146" s="19" t="str">
        <f t="shared" si="45"/>
        <v/>
      </c>
      <c r="O146" s="19" t="str">
        <f t="shared" si="46"/>
        <v/>
      </c>
      <c r="P146" s="19" t="str">
        <f t="shared" si="47"/>
        <v/>
      </c>
      <c r="Q146" s="19" t="str">
        <f t="shared" si="48"/>
        <v/>
      </c>
      <c r="R146" s="19" t="str">
        <f t="shared" si="49"/>
        <v/>
      </c>
      <c r="S146" s="17" t="str">
        <f>IF(B146="","",IFERROR(INDEX(Trabajadores!$G$5:$G$204,MATCH(B146,Trabajadores!$A$5:$A$204,0)),""))</f>
        <v/>
      </c>
      <c r="T146" s="17" t="str">
        <f>IF(OR(OR(A146="",D146="",E146=""),S146=""),"",ROUND(S146*(N(L146)*Parámetros!$B$8+N(M146)*(1+Parámetros!$B$9)+N(N146)*(1+Parámetros!$B$10)+N(O146)*(1+AG146)+N(P146)*(1+AG146+Parámetros!$B$8)+N(Q146)*(1+AG146+Parámetros!$B$9)+N(R146)*(1+AG146+Parámetros!$B$10)),0))</f>
        <v/>
      </c>
      <c r="U146" s="5" t="str">
        <f>IF(OR(A146="",D146="",E146=""),"",IF(N(M146)+N(N146)+N(Q146)+N(R146)&gt;Parámetros!$B$12,"Supera el límite de horas extras diarias",IF(C146="Cédula no registrada","Registre la cédula en «Trabajadores»","")))</f>
        <v/>
      </c>
      <c r="X146" s="20">
        <f t="shared" si="50"/>
        <v>0</v>
      </c>
      <c r="Y146" s="20">
        <f t="shared" si="51"/>
        <v>0</v>
      </c>
      <c r="Z146" s="20">
        <f t="shared" si="52"/>
        <v>0</v>
      </c>
      <c r="AA146" s="20">
        <f t="shared" si="53"/>
        <v>0</v>
      </c>
      <c r="AB146" s="20">
        <f t="shared" si="54"/>
        <v>0</v>
      </c>
      <c r="AC146" s="20">
        <f t="shared" si="55"/>
        <v>0</v>
      </c>
      <c r="AD146" s="20">
        <f>IF(A146="",21/24,MOD(VLOOKUP(A146,Parámetros!$A$24:$B$25,2,TRUE()),1))</f>
        <v>0.875</v>
      </c>
      <c r="AE146" s="5">
        <f>IF(A146="",0,IF(OR(WEEKDAY(A146,2)=7,COUNTIF(Festivos!$A$5:$A$451,A146)&gt;0),1,0))</f>
        <v>0</v>
      </c>
      <c r="AF146" s="5">
        <f>IF(A146="",0,IF(OR(WEEKDAY(A146+1,2)=7,COUNTIF(Festivos!$A$5:$A$451,A146+1)&gt;0),1,0))</f>
        <v>0</v>
      </c>
      <c r="AG146" s="9">
        <f>IF(A146="",0,VLOOKUP(A146,Parámetros!$A$18:$B$21,2,TRUE()))</f>
        <v>0</v>
      </c>
      <c r="AH146" s="20">
        <f t="shared" si="56"/>
        <v>0</v>
      </c>
      <c r="AI146" s="20">
        <f>MAX(0,MIN(AB146,Parámetros!$B$11)-MAX(X146,0))+MAX(0,MIN(AB146,1+Parámetros!$B$11)-MAX(X146,AD146))+MAX(0,MIN(AB146,2)-MAX(X146,1+AD146))</f>
        <v>0</v>
      </c>
      <c r="AJ146" s="20">
        <f t="shared" si="57"/>
        <v>0</v>
      </c>
      <c r="AK146" s="20">
        <f>AE146*(MAX(0,MIN(AB146,Parámetros!$B$11)-MAX(X146,0))+MAX(0,MIN(AB146,1)-MAX(X146,AD146)))+AF146*(MAX(0,MIN(AB146,1+Parámetros!$B$11)-MAX(X146,1))+MAX(0,MIN(AB146,2)-MAX(X146,1+AD146)))</f>
        <v>0</v>
      </c>
      <c r="AL146" s="20">
        <f t="shared" si="58"/>
        <v>0</v>
      </c>
      <c r="AM146" s="20">
        <f>MAX(0,MIN(AC146,Parámetros!$B$11)-MAX(AB146,0))+MAX(0,MIN(AC146,1+Parámetros!$B$11)-MAX(AB146,AD146))+MAX(0,MIN(AC146,2)-MAX(AB146,1+AD146))</f>
        <v>0</v>
      </c>
      <c r="AN146" s="20">
        <f t="shared" si="59"/>
        <v>0</v>
      </c>
      <c r="AO146" s="20">
        <f>AE146*(MAX(0,MIN(AC146,Parámetros!$B$11)-MAX(AB146,0))+MAX(0,MIN(AC146,1)-MAX(AB146,AD146)))+AF146*(MAX(0,MIN(AC146,1+Parámetros!$B$11)-MAX(AB146,1))+MAX(0,MIN(AC146,2)-MAX(AB146,1+AD146)))</f>
        <v>0</v>
      </c>
    </row>
    <row r="147" spans="1:41" x14ac:dyDescent="0.25">
      <c r="A147" s="15"/>
      <c r="B147" s="8"/>
      <c r="C147" s="5" t="str">
        <f>IF(B147="","",IFERROR(INDEX(Trabajadores!$B$5:$B$204,MATCH(B147,Trabajadores!$A$5:$A$204,0)),"Cédula no registrada"))</f>
        <v/>
      </c>
      <c r="D147" s="11"/>
      <c r="E147" s="11"/>
      <c r="F147" s="8"/>
      <c r="G147" s="18" t="str">
        <f>IF(A147="","",IFERROR(INDEX(Trabajadores!$E$5:$E$204,MATCH(B147,Trabajadores!$A$5:$A$204,0))/Parámetros!$B$6,0)+IF(IFERROR(INDEX(Trabajadores!$E$5:$E$204,MATCH(B147,Trabajadores!$A$5:$A$204,0)),"")="",Parámetros!$B$7,0))</f>
        <v/>
      </c>
      <c r="H147" s="5" t="str">
        <f t="shared" si="40"/>
        <v/>
      </c>
      <c r="I147" s="5" t="str">
        <f>IF(A147="","",IF(COUNTIF(Festivos!$A$5:$A$451,A147)&gt;0,"Festivo",IF(WEEKDAY(A147,2)=7,"Domingo",IF(AND(AF147=1,AC147&gt;1),IF(COUNTIF(Festivos!$A$5:$A$451,A147+1)&gt;0,"Festivo","Domingo")&amp;" desde las 00:00",""))))</f>
        <v/>
      </c>
      <c r="J147" s="19" t="str">
        <f t="shared" si="41"/>
        <v/>
      </c>
      <c r="K147" s="19" t="str">
        <f t="shared" si="42"/>
        <v/>
      </c>
      <c r="L147" s="19" t="str">
        <f t="shared" si="43"/>
        <v/>
      </c>
      <c r="M147" s="19" t="str">
        <f t="shared" si="44"/>
        <v/>
      </c>
      <c r="N147" s="19" t="str">
        <f t="shared" si="45"/>
        <v/>
      </c>
      <c r="O147" s="19" t="str">
        <f t="shared" si="46"/>
        <v/>
      </c>
      <c r="P147" s="19" t="str">
        <f t="shared" si="47"/>
        <v/>
      </c>
      <c r="Q147" s="19" t="str">
        <f t="shared" si="48"/>
        <v/>
      </c>
      <c r="R147" s="19" t="str">
        <f t="shared" si="49"/>
        <v/>
      </c>
      <c r="S147" s="17" t="str">
        <f>IF(B147="","",IFERROR(INDEX(Trabajadores!$G$5:$G$204,MATCH(B147,Trabajadores!$A$5:$A$204,0)),""))</f>
        <v/>
      </c>
      <c r="T147" s="17" t="str">
        <f>IF(OR(OR(A147="",D147="",E147=""),S147=""),"",ROUND(S147*(N(L147)*Parámetros!$B$8+N(M147)*(1+Parámetros!$B$9)+N(N147)*(1+Parámetros!$B$10)+N(O147)*(1+AG147)+N(P147)*(1+AG147+Parámetros!$B$8)+N(Q147)*(1+AG147+Parámetros!$B$9)+N(R147)*(1+AG147+Parámetros!$B$10)),0))</f>
        <v/>
      </c>
      <c r="U147" s="5" t="str">
        <f>IF(OR(A147="",D147="",E147=""),"",IF(N(M147)+N(N147)+N(Q147)+N(R147)&gt;Parámetros!$B$12,"Supera el límite de horas extras diarias",IF(C147="Cédula no registrada","Registre la cédula en «Trabajadores»","")))</f>
        <v/>
      </c>
      <c r="X147" s="20">
        <f t="shared" si="50"/>
        <v>0</v>
      </c>
      <c r="Y147" s="20">
        <f t="shared" si="51"/>
        <v>0</v>
      </c>
      <c r="Z147" s="20">
        <f t="shared" si="52"/>
        <v>0</v>
      </c>
      <c r="AA147" s="20">
        <f t="shared" si="53"/>
        <v>0</v>
      </c>
      <c r="AB147" s="20">
        <f t="shared" si="54"/>
        <v>0</v>
      </c>
      <c r="AC147" s="20">
        <f t="shared" si="55"/>
        <v>0</v>
      </c>
      <c r="AD147" s="20">
        <f>IF(A147="",21/24,MOD(VLOOKUP(A147,Parámetros!$A$24:$B$25,2,TRUE()),1))</f>
        <v>0.875</v>
      </c>
      <c r="AE147" s="5">
        <f>IF(A147="",0,IF(OR(WEEKDAY(A147,2)=7,COUNTIF(Festivos!$A$5:$A$451,A147)&gt;0),1,0))</f>
        <v>0</v>
      </c>
      <c r="AF147" s="5">
        <f>IF(A147="",0,IF(OR(WEEKDAY(A147+1,2)=7,COUNTIF(Festivos!$A$5:$A$451,A147+1)&gt;0),1,0))</f>
        <v>0</v>
      </c>
      <c r="AG147" s="9">
        <f>IF(A147="",0,VLOOKUP(A147,Parámetros!$A$18:$B$21,2,TRUE()))</f>
        <v>0</v>
      </c>
      <c r="AH147" s="20">
        <f t="shared" si="56"/>
        <v>0</v>
      </c>
      <c r="AI147" s="20">
        <f>MAX(0,MIN(AB147,Parámetros!$B$11)-MAX(X147,0))+MAX(0,MIN(AB147,1+Parámetros!$B$11)-MAX(X147,AD147))+MAX(0,MIN(AB147,2)-MAX(X147,1+AD147))</f>
        <v>0</v>
      </c>
      <c r="AJ147" s="20">
        <f t="shared" si="57"/>
        <v>0</v>
      </c>
      <c r="AK147" s="20">
        <f>AE147*(MAX(0,MIN(AB147,Parámetros!$B$11)-MAX(X147,0))+MAX(0,MIN(AB147,1)-MAX(X147,AD147)))+AF147*(MAX(0,MIN(AB147,1+Parámetros!$B$11)-MAX(X147,1))+MAX(0,MIN(AB147,2)-MAX(X147,1+AD147)))</f>
        <v>0</v>
      </c>
      <c r="AL147" s="20">
        <f t="shared" si="58"/>
        <v>0</v>
      </c>
      <c r="AM147" s="20">
        <f>MAX(0,MIN(AC147,Parámetros!$B$11)-MAX(AB147,0))+MAX(0,MIN(AC147,1+Parámetros!$B$11)-MAX(AB147,AD147))+MAX(0,MIN(AC147,2)-MAX(AB147,1+AD147))</f>
        <v>0</v>
      </c>
      <c r="AN147" s="20">
        <f t="shared" si="59"/>
        <v>0</v>
      </c>
      <c r="AO147" s="20">
        <f>AE147*(MAX(0,MIN(AC147,Parámetros!$B$11)-MAX(AB147,0))+MAX(0,MIN(AC147,1)-MAX(AB147,AD147)))+AF147*(MAX(0,MIN(AC147,1+Parámetros!$B$11)-MAX(AB147,1))+MAX(0,MIN(AC147,2)-MAX(AB147,1+AD147)))</f>
        <v>0</v>
      </c>
    </row>
    <row r="148" spans="1:41" x14ac:dyDescent="0.25">
      <c r="A148" s="15"/>
      <c r="B148" s="8"/>
      <c r="C148" s="5" t="str">
        <f>IF(B148="","",IFERROR(INDEX(Trabajadores!$B$5:$B$204,MATCH(B148,Trabajadores!$A$5:$A$204,0)),"Cédula no registrada"))</f>
        <v/>
      </c>
      <c r="D148" s="11"/>
      <c r="E148" s="11"/>
      <c r="F148" s="8"/>
      <c r="G148" s="18" t="str">
        <f>IF(A148="","",IFERROR(INDEX(Trabajadores!$E$5:$E$204,MATCH(B148,Trabajadores!$A$5:$A$204,0))/Parámetros!$B$6,0)+IF(IFERROR(INDEX(Trabajadores!$E$5:$E$204,MATCH(B148,Trabajadores!$A$5:$A$204,0)),"")="",Parámetros!$B$7,0))</f>
        <v/>
      </c>
      <c r="H148" s="5" t="str">
        <f t="shared" si="40"/>
        <v/>
      </c>
      <c r="I148" s="5" t="str">
        <f>IF(A148="","",IF(COUNTIF(Festivos!$A$5:$A$451,A148)&gt;0,"Festivo",IF(WEEKDAY(A148,2)=7,"Domingo",IF(AND(AF148=1,AC148&gt;1),IF(COUNTIF(Festivos!$A$5:$A$451,A148+1)&gt;0,"Festivo","Domingo")&amp;" desde las 00:00",""))))</f>
        <v/>
      </c>
      <c r="J148" s="19" t="str">
        <f t="shared" si="41"/>
        <v/>
      </c>
      <c r="K148" s="19" t="str">
        <f t="shared" si="42"/>
        <v/>
      </c>
      <c r="L148" s="19" t="str">
        <f t="shared" si="43"/>
        <v/>
      </c>
      <c r="M148" s="19" t="str">
        <f t="shared" si="44"/>
        <v/>
      </c>
      <c r="N148" s="19" t="str">
        <f t="shared" si="45"/>
        <v/>
      </c>
      <c r="O148" s="19" t="str">
        <f t="shared" si="46"/>
        <v/>
      </c>
      <c r="P148" s="19" t="str">
        <f t="shared" si="47"/>
        <v/>
      </c>
      <c r="Q148" s="19" t="str">
        <f t="shared" si="48"/>
        <v/>
      </c>
      <c r="R148" s="19" t="str">
        <f t="shared" si="49"/>
        <v/>
      </c>
      <c r="S148" s="17" t="str">
        <f>IF(B148="","",IFERROR(INDEX(Trabajadores!$G$5:$G$204,MATCH(B148,Trabajadores!$A$5:$A$204,0)),""))</f>
        <v/>
      </c>
      <c r="T148" s="17" t="str">
        <f>IF(OR(OR(A148="",D148="",E148=""),S148=""),"",ROUND(S148*(N(L148)*Parámetros!$B$8+N(M148)*(1+Parámetros!$B$9)+N(N148)*(1+Parámetros!$B$10)+N(O148)*(1+AG148)+N(P148)*(1+AG148+Parámetros!$B$8)+N(Q148)*(1+AG148+Parámetros!$B$9)+N(R148)*(1+AG148+Parámetros!$B$10)),0))</f>
        <v/>
      </c>
      <c r="U148" s="5" t="str">
        <f>IF(OR(A148="",D148="",E148=""),"",IF(N(M148)+N(N148)+N(Q148)+N(R148)&gt;Parámetros!$B$12,"Supera el límite de horas extras diarias",IF(C148="Cédula no registrada","Registre la cédula en «Trabajadores»","")))</f>
        <v/>
      </c>
      <c r="X148" s="20">
        <f t="shared" si="50"/>
        <v>0</v>
      </c>
      <c r="Y148" s="20">
        <f t="shared" si="51"/>
        <v>0</v>
      </c>
      <c r="Z148" s="20">
        <f t="shared" si="52"/>
        <v>0</v>
      </c>
      <c r="AA148" s="20">
        <f t="shared" si="53"/>
        <v>0</v>
      </c>
      <c r="AB148" s="20">
        <f t="shared" si="54"/>
        <v>0</v>
      </c>
      <c r="AC148" s="20">
        <f t="shared" si="55"/>
        <v>0</v>
      </c>
      <c r="AD148" s="20">
        <f>IF(A148="",21/24,MOD(VLOOKUP(A148,Parámetros!$A$24:$B$25,2,TRUE()),1))</f>
        <v>0.875</v>
      </c>
      <c r="AE148" s="5">
        <f>IF(A148="",0,IF(OR(WEEKDAY(A148,2)=7,COUNTIF(Festivos!$A$5:$A$451,A148)&gt;0),1,0))</f>
        <v>0</v>
      </c>
      <c r="AF148" s="5">
        <f>IF(A148="",0,IF(OR(WEEKDAY(A148+1,2)=7,COUNTIF(Festivos!$A$5:$A$451,A148+1)&gt;0),1,0))</f>
        <v>0</v>
      </c>
      <c r="AG148" s="9">
        <f>IF(A148="",0,VLOOKUP(A148,Parámetros!$A$18:$B$21,2,TRUE()))</f>
        <v>0</v>
      </c>
      <c r="AH148" s="20">
        <f t="shared" si="56"/>
        <v>0</v>
      </c>
      <c r="AI148" s="20">
        <f>MAX(0,MIN(AB148,Parámetros!$B$11)-MAX(X148,0))+MAX(0,MIN(AB148,1+Parámetros!$B$11)-MAX(X148,AD148))+MAX(0,MIN(AB148,2)-MAX(X148,1+AD148))</f>
        <v>0</v>
      </c>
      <c r="AJ148" s="20">
        <f t="shared" si="57"/>
        <v>0</v>
      </c>
      <c r="AK148" s="20">
        <f>AE148*(MAX(0,MIN(AB148,Parámetros!$B$11)-MAX(X148,0))+MAX(0,MIN(AB148,1)-MAX(X148,AD148)))+AF148*(MAX(0,MIN(AB148,1+Parámetros!$B$11)-MAX(X148,1))+MAX(0,MIN(AB148,2)-MAX(X148,1+AD148)))</f>
        <v>0</v>
      </c>
      <c r="AL148" s="20">
        <f t="shared" si="58"/>
        <v>0</v>
      </c>
      <c r="AM148" s="20">
        <f>MAX(0,MIN(AC148,Parámetros!$B$11)-MAX(AB148,0))+MAX(0,MIN(AC148,1+Parámetros!$B$11)-MAX(AB148,AD148))+MAX(0,MIN(AC148,2)-MAX(AB148,1+AD148))</f>
        <v>0</v>
      </c>
      <c r="AN148" s="20">
        <f t="shared" si="59"/>
        <v>0</v>
      </c>
      <c r="AO148" s="20">
        <f>AE148*(MAX(0,MIN(AC148,Parámetros!$B$11)-MAX(AB148,0))+MAX(0,MIN(AC148,1)-MAX(AB148,AD148)))+AF148*(MAX(0,MIN(AC148,1+Parámetros!$B$11)-MAX(AB148,1))+MAX(0,MIN(AC148,2)-MAX(AB148,1+AD148)))</f>
        <v>0</v>
      </c>
    </row>
    <row r="149" spans="1:41" x14ac:dyDescent="0.25">
      <c r="A149" s="15"/>
      <c r="B149" s="8"/>
      <c r="C149" s="5" t="str">
        <f>IF(B149="","",IFERROR(INDEX(Trabajadores!$B$5:$B$204,MATCH(B149,Trabajadores!$A$5:$A$204,0)),"Cédula no registrada"))</f>
        <v/>
      </c>
      <c r="D149" s="11"/>
      <c r="E149" s="11"/>
      <c r="F149" s="8"/>
      <c r="G149" s="18" t="str">
        <f>IF(A149="","",IFERROR(INDEX(Trabajadores!$E$5:$E$204,MATCH(B149,Trabajadores!$A$5:$A$204,0))/Parámetros!$B$6,0)+IF(IFERROR(INDEX(Trabajadores!$E$5:$E$204,MATCH(B149,Trabajadores!$A$5:$A$204,0)),"")="",Parámetros!$B$7,0))</f>
        <v/>
      </c>
      <c r="H149" s="5" t="str">
        <f t="shared" si="40"/>
        <v/>
      </c>
      <c r="I149" s="5" t="str">
        <f>IF(A149="","",IF(COUNTIF(Festivos!$A$5:$A$451,A149)&gt;0,"Festivo",IF(WEEKDAY(A149,2)=7,"Domingo",IF(AND(AF149=1,AC149&gt;1),IF(COUNTIF(Festivos!$A$5:$A$451,A149+1)&gt;0,"Festivo","Domingo")&amp;" desde las 00:00",""))))</f>
        <v/>
      </c>
      <c r="J149" s="19" t="str">
        <f t="shared" si="41"/>
        <v/>
      </c>
      <c r="K149" s="19" t="str">
        <f t="shared" si="42"/>
        <v/>
      </c>
      <c r="L149" s="19" t="str">
        <f t="shared" si="43"/>
        <v/>
      </c>
      <c r="M149" s="19" t="str">
        <f t="shared" si="44"/>
        <v/>
      </c>
      <c r="N149" s="19" t="str">
        <f t="shared" si="45"/>
        <v/>
      </c>
      <c r="O149" s="19" t="str">
        <f t="shared" si="46"/>
        <v/>
      </c>
      <c r="P149" s="19" t="str">
        <f t="shared" si="47"/>
        <v/>
      </c>
      <c r="Q149" s="19" t="str">
        <f t="shared" si="48"/>
        <v/>
      </c>
      <c r="R149" s="19" t="str">
        <f t="shared" si="49"/>
        <v/>
      </c>
      <c r="S149" s="17" t="str">
        <f>IF(B149="","",IFERROR(INDEX(Trabajadores!$G$5:$G$204,MATCH(B149,Trabajadores!$A$5:$A$204,0)),""))</f>
        <v/>
      </c>
      <c r="T149" s="17" t="str">
        <f>IF(OR(OR(A149="",D149="",E149=""),S149=""),"",ROUND(S149*(N(L149)*Parámetros!$B$8+N(M149)*(1+Parámetros!$B$9)+N(N149)*(1+Parámetros!$B$10)+N(O149)*(1+AG149)+N(P149)*(1+AG149+Parámetros!$B$8)+N(Q149)*(1+AG149+Parámetros!$B$9)+N(R149)*(1+AG149+Parámetros!$B$10)),0))</f>
        <v/>
      </c>
      <c r="U149" s="5" t="str">
        <f>IF(OR(A149="",D149="",E149=""),"",IF(N(M149)+N(N149)+N(Q149)+N(R149)&gt;Parámetros!$B$12,"Supera el límite de horas extras diarias",IF(C149="Cédula no registrada","Registre la cédula en «Trabajadores»","")))</f>
        <v/>
      </c>
      <c r="X149" s="20">
        <f t="shared" si="50"/>
        <v>0</v>
      </c>
      <c r="Y149" s="20">
        <f t="shared" si="51"/>
        <v>0</v>
      </c>
      <c r="Z149" s="20">
        <f t="shared" si="52"/>
        <v>0</v>
      </c>
      <c r="AA149" s="20">
        <f t="shared" si="53"/>
        <v>0</v>
      </c>
      <c r="AB149" s="20">
        <f t="shared" si="54"/>
        <v>0</v>
      </c>
      <c r="AC149" s="20">
        <f t="shared" si="55"/>
        <v>0</v>
      </c>
      <c r="AD149" s="20">
        <f>IF(A149="",21/24,MOD(VLOOKUP(A149,Parámetros!$A$24:$B$25,2,TRUE()),1))</f>
        <v>0.875</v>
      </c>
      <c r="AE149" s="5">
        <f>IF(A149="",0,IF(OR(WEEKDAY(A149,2)=7,COUNTIF(Festivos!$A$5:$A$451,A149)&gt;0),1,0))</f>
        <v>0</v>
      </c>
      <c r="AF149" s="5">
        <f>IF(A149="",0,IF(OR(WEEKDAY(A149+1,2)=7,COUNTIF(Festivos!$A$5:$A$451,A149+1)&gt;0),1,0))</f>
        <v>0</v>
      </c>
      <c r="AG149" s="9">
        <f>IF(A149="",0,VLOOKUP(A149,Parámetros!$A$18:$B$21,2,TRUE()))</f>
        <v>0</v>
      </c>
      <c r="AH149" s="20">
        <f t="shared" si="56"/>
        <v>0</v>
      </c>
      <c r="AI149" s="20">
        <f>MAX(0,MIN(AB149,Parámetros!$B$11)-MAX(X149,0))+MAX(0,MIN(AB149,1+Parámetros!$B$11)-MAX(X149,AD149))+MAX(0,MIN(AB149,2)-MAX(X149,1+AD149))</f>
        <v>0</v>
      </c>
      <c r="AJ149" s="20">
        <f t="shared" si="57"/>
        <v>0</v>
      </c>
      <c r="AK149" s="20">
        <f>AE149*(MAX(0,MIN(AB149,Parámetros!$B$11)-MAX(X149,0))+MAX(0,MIN(AB149,1)-MAX(X149,AD149)))+AF149*(MAX(0,MIN(AB149,1+Parámetros!$B$11)-MAX(X149,1))+MAX(0,MIN(AB149,2)-MAX(X149,1+AD149)))</f>
        <v>0</v>
      </c>
      <c r="AL149" s="20">
        <f t="shared" si="58"/>
        <v>0</v>
      </c>
      <c r="AM149" s="20">
        <f>MAX(0,MIN(AC149,Parámetros!$B$11)-MAX(AB149,0))+MAX(0,MIN(AC149,1+Parámetros!$B$11)-MAX(AB149,AD149))+MAX(0,MIN(AC149,2)-MAX(AB149,1+AD149))</f>
        <v>0</v>
      </c>
      <c r="AN149" s="20">
        <f t="shared" si="59"/>
        <v>0</v>
      </c>
      <c r="AO149" s="20">
        <f>AE149*(MAX(0,MIN(AC149,Parámetros!$B$11)-MAX(AB149,0))+MAX(0,MIN(AC149,1)-MAX(AB149,AD149)))+AF149*(MAX(0,MIN(AC149,1+Parámetros!$B$11)-MAX(AB149,1))+MAX(0,MIN(AC149,2)-MAX(AB149,1+AD149)))</f>
        <v>0</v>
      </c>
    </row>
    <row r="150" spans="1:41" x14ac:dyDescent="0.25">
      <c r="A150" s="15"/>
      <c r="B150" s="8"/>
      <c r="C150" s="5" t="str">
        <f>IF(B150="","",IFERROR(INDEX(Trabajadores!$B$5:$B$204,MATCH(B150,Trabajadores!$A$5:$A$204,0)),"Cédula no registrada"))</f>
        <v/>
      </c>
      <c r="D150" s="11"/>
      <c r="E150" s="11"/>
      <c r="F150" s="8"/>
      <c r="G150" s="18" t="str">
        <f>IF(A150="","",IFERROR(INDEX(Trabajadores!$E$5:$E$204,MATCH(B150,Trabajadores!$A$5:$A$204,0))/Parámetros!$B$6,0)+IF(IFERROR(INDEX(Trabajadores!$E$5:$E$204,MATCH(B150,Trabajadores!$A$5:$A$204,0)),"")="",Parámetros!$B$7,0))</f>
        <v/>
      </c>
      <c r="H150" s="5" t="str">
        <f t="shared" si="40"/>
        <v/>
      </c>
      <c r="I150" s="5" t="str">
        <f>IF(A150="","",IF(COUNTIF(Festivos!$A$5:$A$451,A150)&gt;0,"Festivo",IF(WEEKDAY(A150,2)=7,"Domingo",IF(AND(AF150=1,AC150&gt;1),IF(COUNTIF(Festivos!$A$5:$A$451,A150+1)&gt;0,"Festivo","Domingo")&amp;" desde las 00:00",""))))</f>
        <v/>
      </c>
      <c r="J150" s="19" t="str">
        <f t="shared" si="41"/>
        <v/>
      </c>
      <c r="K150" s="19" t="str">
        <f t="shared" si="42"/>
        <v/>
      </c>
      <c r="L150" s="19" t="str">
        <f t="shared" si="43"/>
        <v/>
      </c>
      <c r="M150" s="19" t="str">
        <f t="shared" si="44"/>
        <v/>
      </c>
      <c r="N150" s="19" t="str">
        <f t="shared" si="45"/>
        <v/>
      </c>
      <c r="O150" s="19" t="str">
        <f t="shared" si="46"/>
        <v/>
      </c>
      <c r="P150" s="19" t="str">
        <f t="shared" si="47"/>
        <v/>
      </c>
      <c r="Q150" s="19" t="str">
        <f t="shared" si="48"/>
        <v/>
      </c>
      <c r="R150" s="19" t="str">
        <f t="shared" si="49"/>
        <v/>
      </c>
      <c r="S150" s="17" t="str">
        <f>IF(B150="","",IFERROR(INDEX(Trabajadores!$G$5:$G$204,MATCH(B150,Trabajadores!$A$5:$A$204,0)),""))</f>
        <v/>
      </c>
      <c r="T150" s="17" t="str">
        <f>IF(OR(OR(A150="",D150="",E150=""),S150=""),"",ROUND(S150*(N(L150)*Parámetros!$B$8+N(M150)*(1+Parámetros!$B$9)+N(N150)*(1+Parámetros!$B$10)+N(O150)*(1+AG150)+N(P150)*(1+AG150+Parámetros!$B$8)+N(Q150)*(1+AG150+Parámetros!$B$9)+N(R150)*(1+AG150+Parámetros!$B$10)),0))</f>
        <v/>
      </c>
      <c r="U150" s="5" t="str">
        <f>IF(OR(A150="",D150="",E150=""),"",IF(N(M150)+N(N150)+N(Q150)+N(R150)&gt;Parámetros!$B$12,"Supera el límite de horas extras diarias",IF(C150="Cédula no registrada","Registre la cédula en «Trabajadores»","")))</f>
        <v/>
      </c>
      <c r="X150" s="20">
        <f t="shared" si="50"/>
        <v>0</v>
      </c>
      <c r="Y150" s="20">
        <f t="shared" si="51"/>
        <v>0</v>
      </c>
      <c r="Z150" s="20">
        <f t="shared" si="52"/>
        <v>0</v>
      </c>
      <c r="AA150" s="20">
        <f t="shared" si="53"/>
        <v>0</v>
      </c>
      <c r="AB150" s="20">
        <f t="shared" si="54"/>
        <v>0</v>
      </c>
      <c r="AC150" s="20">
        <f t="shared" si="55"/>
        <v>0</v>
      </c>
      <c r="AD150" s="20">
        <f>IF(A150="",21/24,MOD(VLOOKUP(A150,Parámetros!$A$24:$B$25,2,TRUE()),1))</f>
        <v>0.875</v>
      </c>
      <c r="AE150" s="5">
        <f>IF(A150="",0,IF(OR(WEEKDAY(A150,2)=7,COUNTIF(Festivos!$A$5:$A$451,A150)&gt;0),1,0))</f>
        <v>0</v>
      </c>
      <c r="AF150" s="5">
        <f>IF(A150="",0,IF(OR(WEEKDAY(A150+1,2)=7,COUNTIF(Festivos!$A$5:$A$451,A150+1)&gt;0),1,0))</f>
        <v>0</v>
      </c>
      <c r="AG150" s="9">
        <f>IF(A150="",0,VLOOKUP(A150,Parámetros!$A$18:$B$21,2,TRUE()))</f>
        <v>0</v>
      </c>
      <c r="AH150" s="20">
        <f t="shared" si="56"/>
        <v>0</v>
      </c>
      <c r="AI150" s="20">
        <f>MAX(0,MIN(AB150,Parámetros!$B$11)-MAX(X150,0))+MAX(0,MIN(AB150,1+Parámetros!$B$11)-MAX(X150,AD150))+MAX(0,MIN(AB150,2)-MAX(X150,1+AD150))</f>
        <v>0</v>
      </c>
      <c r="AJ150" s="20">
        <f t="shared" si="57"/>
        <v>0</v>
      </c>
      <c r="AK150" s="20">
        <f>AE150*(MAX(0,MIN(AB150,Parámetros!$B$11)-MAX(X150,0))+MAX(0,MIN(AB150,1)-MAX(X150,AD150)))+AF150*(MAX(0,MIN(AB150,1+Parámetros!$B$11)-MAX(X150,1))+MAX(0,MIN(AB150,2)-MAX(X150,1+AD150)))</f>
        <v>0</v>
      </c>
      <c r="AL150" s="20">
        <f t="shared" si="58"/>
        <v>0</v>
      </c>
      <c r="AM150" s="20">
        <f>MAX(0,MIN(AC150,Parámetros!$B$11)-MAX(AB150,0))+MAX(0,MIN(AC150,1+Parámetros!$B$11)-MAX(AB150,AD150))+MAX(0,MIN(AC150,2)-MAX(AB150,1+AD150))</f>
        <v>0</v>
      </c>
      <c r="AN150" s="20">
        <f t="shared" si="59"/>
        <v>0</v>
      </c>
      <c r="AO150" s="20">
        <f>AE150*(MAX(0,MIN(AC150,Parámetros!$B$11)-MAX(AB150,0))+MAX(0,MIN(AC150,1)-MAX(AB150,AD150)))+AF150*(MAX(0,MIN(AC150,1+Parámetros!$B$11)-MAX(AB150,1))+MAX(0,MIN(AC150,2)-MAX(AB150,1+AD150)))</f>
        <v>0</v>
      </c>
    </row>
    <row r="151" spans="1:41" x14ac:dyDescent="0.25">
      <c r="A151" s="15"/>
      <c r="B151" s="8"/>
      <c r="C151" s="5" t="str">
        <f>IF(B151="","",IFERROR(INDEX(Trabajadores!$B$5:$B$204,MATCH(B151,Trabajadores!$A$5:$A$204,0)),"Cédula no registrada"))</f>
        <v/>
      </c>
      <c r="D151" s="11"/>
      <c r="E151" s="11"/>
      <c r="F151" s="8"/>
      <c r="G151" s="18" t="str">
        <f>IF(A151="","",IFERROR(INDEX(Trabajadores!$E$5:$E$204,MATCH(B151,Trabajadores!$A$5:$A$204,0))/Parámetros!$B$6,0)+IF(IFERROR(INDEX(Trabajadores!$E$5:$E$204,MATCH(B151,Trabajadores!$A$5:$A$204,0)),"")="",Parámetros!$B$7,0))</f>
        <v/>
      </c>
      <c r="H151" s="5" t="str">
        <f t="shared" si="40"/>
        <v/>
      </c>
      <c r="I151" s="5" t="str">
        <f>IF(A151="","",IF(COUNTIF(Festivos!$A$5:$A$451,A151)&gt;0,"Festivo",IF(WEEKDAY(A151,2)=7,"Domingo",IF(AND(AF151=1,AC151&gt;1),IF(COUNTIF(Festivos!$A$5:$A$451,A151+1)&gt;0,"Festivo","Domingo")&amp;" desde las 00:00",""))))</f>
        <v/>
      </c>
      <c r="J151" s="19" t="str">
        <f t="shared" si="41"/>
        <v/>
      </c>
      <c r="K151" s="19" t="str">
        <f t="shared" si="42"/>
        <v/>
      </c>
      <c r="L151" s="19" t="str">
        <f t="shared" si="43"/>
        <v/>
      </c>
      <c r="M151" s="19" t="str">
        <f t="shared" si="44"/>
        <v/>
      </c>
      <c r="N151" s="19" t="str">
        <f t="shared" si="45"/>
        <v/>
      </c>
      <c r="O151" s="19" t="str">
        <f t="shared" si="46"/>
        <v/>
      </c>
      <c r="P151" s="19" t="str">
        <f t="shared" si="47"/>
        <v/>
      </c>
      <c r="Q151" s="19" t="str">
        <f t="shared" si="48"/>
        <v/>
      </c>
      <c r="R151" s="19" t="str">
        <f t="shared" si="49"/>
        <v/>
      </c>
      <c r="S151" s="17" t="str">
        <f>IF(B151="","",IFERROR(INDEX(Trabajadores!$G$5:$G$204,MATCH(B151,Trabajadores!$A$5:$A$204,0)),""))</f>
        <v/>
      </c>
      <c r="T151" s="17" t="str">
        <f>IF(OR(OR(A151="",D151="",E151=""),S151=""),"",ROUND(S151*(N(L151)*Parámetros!$B$8+N(M151)*(1+Parámetros!$B$9)+N(N151)*(1+Parámetros!$B$10)+N(O151)*(1+AG151)+N(P151)*(1+AG151+Parámetros!$B$8)+N(Q151)*(1+AG151+Parámetros!$B$9)+N(R151)*(1+AG151+Parámetros!$B$10)),0))</f>
        <v/>
      </c>
      <c r="U151" s="5" t="str">
        <f>IF(OR(A151="",D151="",E151=""),"",IF(N(M151)+N(N151)+N(Q151)+N(R151)&gt;Parámetros!$B$12,"Supera el límite de horas extras diarias",IF(C151="Cédula no registrada","Registre la cédula en «Trabajadores»","")))</f>
        <v/>
      </c>
      <c r="X151" s="20">
        <f t="shared" si="50"/>
        <v>0</v>
      </c>
      <c r="Y151" s="20">
        <f t="shared" si="51"/>
        <v>0</v>
      </c>
      <c r="Z151" s="20">
        <f t="shared" si="52"/>
        <v>0</v>
      </c>
      <c r="AA151" s="20">
        <f t="shared" si="53"/>
        <v>0</v>
      </c>
      <c r="AB151" s="20">
        <f t="shared" si="54"/>
        <v>0</v>
      </c>
      <c r="AC151" s="20">
        <f t="shared" si="55"/>
        <v>0</v>
      </c>
      <c r="AD151" s="20">
        <f>IF(A151="",21/24,MOD(VLOOKUP(A151,Parámetros!$A$24:$B$25,2,TRUE()),1))</f>
        <v>0.875</v>
      </c>
      <c r="AE151" s="5">
        <f>IF(A151="",0,IF(OR(WEEKDAY(A151,2)=7,COUNTIF(Festivos!$A$5:$A$451,A151)&gt;0),1,0))</f>
        <v>0</v>
      </c>
      <c r="AF151" s="5">
        <f>IF(A151="",0,IF(OR(WEEKDAY(A151+1,2)=7,COUNTIF(Festivos!$A$5:$A$451,A151+1)&gt;0),1,0))</f>
        <v>0</v>
      </c>
      <c r="AG151" s="9">
        <f>IF(A151="",0,VLOOKUP(A151,Parámetros!$A$18:$B$21,2,TRUE()))</f>
        <v>0</v>
      </c>
      <c r="AH151" s="20">
        <f t="shared" si="56"/>
        <v>0</v>
      </c>
      <c r="AI151" s="20">
        <f>MAX(0,MIN(AB151,Parámetros!$B$11)-MAX(X151,0))+MAX(0,MIN(AB151,1+Parámetros!$B$11)-MAX(X151,AD151))+MAX(0,MIN(AB151,2)-MAX(X151,1+AD151))</f>
        <v>0</v>
      </c>
      <c r="AJ151" s="20">
        <f t="shared" si="57"/>
        <v>0</v>
      </c>
      <c r="AK151" s="20">
        <f>AE151*(MAX(0,MIN(AB151,Parámetros!$B$11)-MAX(X151,0))+MAX(0,MIN(AB151,1)-MAX(X151,AD151)))+AF151*(MAX(0,MIN(AB151,1+Parámetros!$B$11)-MAX(X151,1))+MAX(0,MIN(AB151,2)-MAX(X151,1+AD151)))</f>
        <v>0</v>
      </c>
      <c r="AL151" s="20">
        <f t="shared" si="58"/>
        <v>0</v>
      </c>
      <c r="AM151" s="20">
        <f>MAX(0,MIN(AC151,Parámetros!$B$11)-MAX(AB151,0))+MAX(0,MIN(AC151,1+Parámetros!$B$11)-MAX(AB151,AD151))+MAX(0,MIN(AC151,2)-MAX(AB151,1+AD151))</f>
        <v>0</v>
      </c>
      <c r="AN151" s="20">
        <f t="shared" si="59"/>
        <v>0</v>
      </c>
      <c r="AO151" s="20">
        <f>AE151*(MAX(0,MIN(AC151,Parámetros!$B$11)-MAX(AB151,0))+MAX(0,MIN(AC151,1)-MAX(AB151,AD151)))+AF151*(MAX(0,MIN(AC151,1+Parámetros!$B$11)-MAX(AB151,1))+MAX(0,MIN(AC151,2)-MAX(AB151,1+AD151)))</f>
        <v>0</v>
      </c>
    </row>
    <row r="152" spans="1:41" x14ac:dyDescent="0.25">
      <c r="A152" s="15"/>
      <c r="B152" s="8"/>
      <c r="C152" s="5" t="str">
        <f>IF(B152="","",IFERROR(INDEX(Trabajadores!$B$5:$B$204,MATCH(B152,Trabajadores!$A$5:$A$204,0)),"Cédula no registrada"))</f>
        <v/>
      </c>
      <c r="D152" s="11"/>
      <c r="E152" s="11"/>
      <c r="F152" s="8"/>
      <c r="G152" s="18" t="str">
        <f>IF(A152="","",IFERROR(INDEX(Trabajadores!$E$5:$E$204,MATCH(B152,Trabajadores!$A$5:$A$204,0))/Parámetros!$B$6,0)+IF(IFERROR(INDEX(Trabajadores!$E$5:$E$204,MATCH(B152,Trabajadores!$A$5:$A$204,0)),"")="",Parámetros!$B$7,0))</f>
        <v/>
      </c>
      <c r="H152" s="5" t="str">
        <f t="shared" si="40"/>
        <v/>
      </c>
      <c r="I152" s="5" t="str">
        <f>IF(A152="","",IF(COUNTIF(Festivos!$A$5:$A$451,A152)&gt;0,"Festivo",IF(WEEKDAY(A152,2)=7,"Domingo",IF(AND(AF152=1,AC152&gt;1),IF(COUNTIF(Festivos!$A$5:$A$451,A152+1)&gt;0,"Festivo","Domingo")&amp;" desde las 00:00",""))))</f>
        <v/>
      </c>
      <c r="J152" s="19" t="str">
        <f t="shared" si="41"/>
        <v/>
      </c>
      <c r="K152" s="19" t="str">
        <f t="shared" si="42"/>
        <v/>
      </c>
      <c r="L152" s="19" t="str">
        <f t="shared" si="43"/>
        <v/>
      </c>
      <c r="M152" s="19" t="str">
        <f t="shared" si="44"/>
        <v/>
      </c>
      <c r="N152" s="19" t="str">
        <f t="shared" si="45"/>
        <v/>
      </c>
      <c r="O152" s="19" t="str">
        <f t="shared" si="46"/>
        <v/>
      </c>
      <c r="P152" s="19" t="str">
        <f t="shared" si="47"/>
        <v/>
      </c>
      <c r="Q152" s="19" t="str">
        <f t="shared" si="48"/>
        <v/>
      </c>
      <c r="R152" s="19" t="str">
        <f t="shared" si="49"/>
        <v/>
      </c>
      <c r="S152" s="17" t="str">
        <f>IF(B152="","",IFERROR(INDEX(Trabajadores!$G$5:$G$204,MATCH(B152,Trabajadores!$A$5:$A$204,0)),""))</f>
        <v/>
      </c>
      <c r="T152" s="17" t="str">
        <f>IF(OR(OR(A152="",D152="",E152=""),S152=""),"",ROUND(S152*(N(L152)*Parámetros!$B$8+N(M152)*(1+Parámetros!$B$9)+N(N152)*(1+Parámetros!$B$10)+N(O152)*(1+AG152)+N(P152)*(1+AG152+Parámetros!$B$8)+N(Q152)*(1+AG152+Parámetros!$B$9)+N(R152)*(1+AG152+Parámetros!$B$10)),0))</f>
        <v/>
      </c>
      <c r="U152" s="5" t="str">
        <f>IF(OR(A152="",D152="",E152=""),"",IF(N(M152)+N(N152)+N(Q152)+N(R152)&gt;Parámetros!$B$12,"Supera el límite de horas extras diarias",IF(C152="Cédula no registrada","Registre la cédula en «Trabajadores»","")))</f>
        <v/>
      </c>
      <c r="X152" s="20">
        <f t="shared" si="50"/>
        <v>0</v>
      </c>
      <c r="Y152" s="20">
        <f t="shared" si="51"/>
        <v>0</v>
      </c>
      <c r="Z152" s="20">
        <f t="shared" si="52"/>
        <v>0</v>
      </c>
      <c r="AA152" s="20">
        <f t="shared" si="53"/>
        <v>0</v>
      </c>
      <c r="AB152" s="20">
        <f t="shared" si="54"/>
        <v>0</v>
      </c>
      <c r="AC152" s="20">
        <f t="shared" si="55"/>
        <v>0</v>
      </c>
      <c r="AD152" s="20">
        <f>IF(A152="",21/24,MOD(VLOOKUP(A152,Parámetros!$A$24:$B$25,2,TRUE()),1))</f>
        <v>0.875</v>
      </c>
      <c r="AE152" s="5">
        <f>IF(A152="",0,IF(OR(WEEKDAY(A152,2)=7,COUNTIF(Festivos!$A$5:$A$451,A152)&gt;0),1,0))</f>
        <v>0</v>
      </c>
      <c r="AF152" s="5">
        <f>IF(A152="",0,IF(OR(WEEKDAY(A152+1,2)=7,COUNTIF(Festivos!$A$5:$A$451,A152+1)&gt;0),1,0))</f>
        <v>0</v>
      </c>
      <c r="AG152" s="9">
        <f>IF(A152="",0,VLOOKUP(A152,Parámetros!$A$18:$B$21,2,TRUE()))</f>
        <v>0</v>
      </c>
      <c r="AH152" s="20">
        <f t="shared" si="56"/>
        <v>0</v>
      </c>
      <c r="AI152" s="20">
        <f>MAX(0,MIN(AB152,Parámetros!$B$11)-MAX(X152,0))+MAX(0,MIN(AB152,1+Parámetros!$B$11)-MAX(X152,AD152))+MAX(0,MIN(AB152,2)-MAX(X152,1+AD152))</f>
        <v>0</v>
      </c>
      <c r="AJ152" s="20">
        <f t="shared" si="57"/>
        <v>0</v>
      </c>
      <c r="AK152" s="20">
        <f>AE152*(MAX(0,MIN(AB152,Parámetros!$B$11)-MAX(X152,0))+MAX(0,MIN(AB152,1)-MAX(X152,AD152)))+AF152*(MAX(0,MIN(AB152,1+Parámetros!$B$11)-MAX(X152,1))+MAX(0,MIN(AB152,2)-MAX(X152,1+AD152)))</f>
        <v>0</v>
      </c>
      <c r="AL152" s="20">
        <f t="shared" si="58"/>
        <v>0</v>
      </c>
      <c r="AM152" s="20">
        <f>MAX(0,MIN(AC152,Parámetros!$B$11)-MAX(AB152,0))+MAX(0,MIN(AC152,1+Parámetros!$B$11)-MAX(AB152,AD152))+MAX(0,MIN(AC152,2)-MAX(AB152,1+AD152))</f>
        <v>0</v>
      </c>
      <c r="AN152" s="20">
        <f t="shared" si="59"/>
        <v>0</v>
      </c>
      <c r="AO152" s="20">
        <f>AE152*(MAX(0,MIN(AC152,Parámetros!$B$11)-MAX(AB152,0))+MAX(0,MIN(AC152,1)-MAX(AB152,AD152)))+AF152*(MAX(0,MIN(AC152,1+Parámetros!$B$11)-MAX(AB152,1))+MAX(0,MIN(AC152,2)-MAX(AB152,1+AD152)))</f>
        <v>0</v>
      </c>
    </row>
    <row r="153" spans="1:41" x14ac:dyDescent="0.25">
      <c r="A153" s="15"/>
      <c r="B153" s="8"/>
      <c r="C153" s="5" t="str">
        <f>IF(B153="","",IFERROR(INDEX(Trabajadores!$B$5:$B$204,MATCH(B153,Trabajadores!$A$5:$A$204,0)),"Cédula no registrada"))</f>
        <v/>
      </c>
      <c r="D153" s="11"/>
      <c r="E153" s="11"/>
      <c r="F153" s="8"/>
      <c r="G153" s="18" t="str">
        <f>IF(A153="","",IFERROR(INDEX(Trabajadores!$E$5:$E$204,MATCH(B153,Trabajadores!$A$5:$A$204,0))/Parámetros!$B$6,0)+IF(IFERROR(INDEX(Trabajadores!$E$5:$E$204,MATCH(B153,Trabajadores!$A$5:$A$204,0)),"")="",Parámetros!$B$7,0))</f>
        <v/>
      </c>
      <c r="H153" s="5" t="str">
        <f t="shared" si="40"/>
        <v/>
      </c>
      <c r="I153" s="5" t="str">
        <f>IF(A153="","",IF(COUNTIF(Festivos!$A$5:$A$451,A153)&gt;0,"Festivo",IF(WEEKDAY(A153,2)=7,"Domingo",IF(AND(AF153=1,AC153&gt;1),IF(COUNTIF(Festivos!$A$5:$A$451,A153+1)&gt;0,"Festivo","Domingo")&amp;" desde las 00:00",""))))</f>
        <v/>
      </c>
      <c r="J153" s="19" t="str">
        <f t="shared" si="41"/>
        <v/>
      </c>
      <c r="K153" s="19" t="str">
        <f t="shared" si="42"/>
        <v/>
      </c>
      <c r="L153" s="19" t="str">
        <f t="shared" si="43"/>
        <v/>
      </c>
      <c r="M153" s="19" t="str">
        <f t="shared" si="44"/>
        <v/>
      </c>
      <c r="N153" s="19" t="str">
        <f t="shared" si="45"/>
        <v/>
      </c>
      <c r="O153" s="19" t="str">
        <f t="shared" si="46"/>
        <v/>
      </c>
      <c r="P153" s="19" t="str">
        <f t="shared" si="47"/>
        <v/>
      </c>
      <c r="Q153" s="19" t="str">
        <f t="shared" si="48"/>
        <v/>
      </c>
      <c r="R153" s="19" t="str">
        <f t="shared" si="49"/>
        <v/>
      </c>
      <c r="S153" s="17" t="str">
        <f>IF(B153="","",IFERROR(INDEX(Trabajadores!$G$5:$G$204,MATCH(B153,Trabajadores!$A$5:$A$204,0)),""))</f>
        <v/>
      </c>
      <c r="T153" s="17" t="str">
        <f>IF(OR(OR(A153="",D153="",E153=""),S153=""),"",ROUND(S153*(N(L153)*Parámetros!$B$8+N(M153)*(1+Parámetros!$B$9)+N(N153)*(1+Parámetros!$B$10)+N(O153)*(1+AG153)+N(P153)*(1+AG153+Parámetros!$B$8)+N(Q153)*(1+AG153+Parámetros!$B$9)+N(R153)*(1+AG153+Parámetros!$B$10)),0))</f>
        <v/>
      </c>
      <c r="U153" s="5" t="str">
        <f>IF(OR(A153="",D153="",E153=""),"",IF(N(M153)+N(N153)+N(Q153)+N(R153)&gt;Parámetros!$B$12,"Supera el límite de horas extras diarias",IF(C153="Cédula no registrada","Registre la cédula en «Trabajadores»","")))</f>
        <v/>
      </c>
      <c r="X153" s="20">
        <f t="shared" si="50"/>
        <v>0</v>
      </c>
      <c r="Y153" s="20">
        <f t="shared" si="51"/>
        <v>0</v>
      </c>
      <c r="Z153" s="20">
        <f t="shared" si="52"/>
        <v>0</v>
      </c>
      <c r="AA153" s="20">
        <f t="shared" si="53"/>
        <v>0</v>
      </c>
      <c r="AB153" s="20">
        <f t="shared" si="54"/>
        <v>0</v>
      </c>
      <c r="AC153" s="20">
        <f t="shared" si="55"/>
        <v>0</v>
      </c>
      <c r="AD153" s="20">
        <f>IF(A153="",21/24,MOD(VLOOKUP(A153,Parámetros!$A$24:$B$25,2,TRUE()),1))</f>
        <v>0.875</v>
      </c>
      <c r="AE153" s="5">
        <f>IF(A153="",0,IF(OR(WEEKDAY(A153,2)=7,COUNTIF(Festivos!$A$5:$A$451,A153)&gt;0),1,0))</f>
        <v>0</v>
      </c>
      <c r="AF153" s="5">
        <f>IF(A153="",0,IF(OR(WEEKDAY(A153+1,2)=7,COUNTIF(Festivos!$A$5:$A$451,A153+1)&gt;0),1,0))</f>
        <v>0</v>
      </c>
      <c r="AG153" s="9">
        <f>IF(A153="",0,VLOOKUP(A153,Parámetros!$A$18:$B$21,2,TRUE()))</f>
        <v>0</v>
      </c>
      <c r="AH153" s="20">
        <f t="shared" si="56"/>
        <v>0</v>
      </c>
      <c r="AI153" s="20">
        <f>MAX(0,MIN(AB153,Parámetros!$B$11)-MAX(X153,0))+MAX(0,MIN(AB153,1+Parámetros!$B$11)-MAX(X153,AD153))+MAX(0,MIN(AB153,2)-MAX(X153,1+AD153))</f>
        <v>0</v>
      </c>
      <c r="AJ153" s="20">
        <f t="shared" si="57"/>
        <v>0</v>
      </c>
      <c r="AK153" s="20">
        <f>AE153*(MAX(0,MIN(AB153,Parámetros!$B$11)-MAX(X153,0))+MAX(0,MIN(AB153,1)-MAX(X153,AD153)))+AF153*(MAX(0,MIN(AB153,1+Parámetros!$B$11)-MAX(X153,1))+MAX(0,MIN(AB153,2)-MAX(X153,1+AD153)))</f>
        <v>0</v>
      </c>
      <c r="AL153" s="20">
        <f t="shared" si="58"/>
        <v>0</v>
      </c>
      <c r="AM153" s="20">
        <f>MAX(0,MIN(AC153,Parámetros!$B$11)-MAX(AB153,0))+MAX(0,MIN(AC153,1+Parámetros!$B$11)-MAX(AB153,AD153))+MAX(0,MIN(AC153,2)-MAX(AB153,1+AD153))</f>
        <v>0</v>
      </c>
      <c r="AN153" s="20">
        <f t="shared" si="59"/>
        <v>0</v>
      </c>
      <c r="AO153" s="20">
        <f>AE153*(MAX(0,MIN(AC153,Parámetros!$B$11)-MAX(AB153,0))+MAX(0,MIN(AC153,1)-MAX(AB153,AD153)))+AF153*(MAX(0,MIN(AC153,1+Parámetros!$B$11)-MAX(AB153,1))+MAX(0,MIN(AC153,2)-MAX(AB153,1+AD153)))</f>
        <v>0</v>
      </c>
    </row>
    <row r="154" spans="1:41" x14ac:dyDescent="0.25">
      <c r="A154" s="15"/>
      <c r="B154" s="8"/>
      <c r="C154" s="5" t="str">
        <f>IF(B154="","",IFERROR(INDEX(Trabajadores!$B$5:$B$204,MATCH(B154,Trabajadores!$A$5:$A$204,0)),"Cédula no registrada"))</f>
        <v/>
      </c>
      <c r="D154" s="11"/>
      <c r="E154" s="11"/>
      <c r="F154" s="8"/>
      <c r="G154" s="18" t="str">
        <f>IF(A154="","",IFERROR(INDEX(Trabajadores!$E$5:$E$204,MATCH(B154,Trabajadores!$A$5:$A$204,0))/Parámetros!$B$6,0)+IF(IFERROR(INDEX(Trabajadores!$E$5:$E$204,MATCH(B154,Trabajadores!$A$5:$A$204,0)),"")="",Parámetros!$B$7,0))</f>
        <v/>
      </c>
      <c r="H154" s="5" t="str">
        <f t="shared" si="40"/>
        <v/>
      </c>
      <c r="I154" s="5" t="str">
        <f>IF(A154="","",IF(COUNTIF(Festivos!$A$5:$A$451,A154)&gt;0,"Festivo",IF(WEEKDAY(A154,2)=7,"Domingo",IF(AND(AF154=1,AC154&gt;1),IF(COUNTIF(Festivos!$A$5:$A$451,A154+1)&gt;0,"Festivo","Domingo")&amp;" desde las 00:00",""))))</f>
        <v/>
      </c>
      <c r="J154" s="19" t="str">
        <f t="shared" si="41"/>
        <v/>
      </c>
      <c r="K154" s="19" t="str">
        <f t="shared" si="42"/>
        <v/>
      </c>
      <c r="L154" s="19" t="str">
        <f t="shared" si="43"/>
        <v/>
      </c>
      <c r="M154" s="19" t="str">
        <f t="shared" si="44"/>
        <v/>
      </c>
      <c r="N154" s="19" t="str">
        <f t="shared" si="45"/>
        <v/>
      </c>
      <c r="O154" s="19" t="str">
        <f t="shared" si="46"/>
        <v/>
      </c>
      <c r="P154" s="19" t="str">
        <f t="shared" si="47"/>
        <v/>
      </c>
      <c r="Q154" s="19" t="str">
        <f t="shared" si="48"/>
        <v/>
      </c>
      <c r="R154" s="19" t="str">
        <f t="shared" si="49"/>
        <v/>
      </c>
      <c r="S154" s="17" t="str">
        <f>IF(B154="","",IFERROR(INDEX(Trabajadores!$G$5:$G$204,MATCH(B154,Trabajadores!$A$5:$A$204,0)),""))</f>
        <v/>
      </c>
      <c r="T154" s="17" t="str">
        <f>IF(OR(OR(A154="",D154="",E154=""),S154=""),"",ROUND(S154*(N(L154)*Parámetros!$B$8+N(M154)*(1+Parámetros!$B$9)+N(N154)*(1+Parámetros!$B$10)+N(O154)*(1+AG154)+N(P154)*(1+AG154+Parámetros!$B$8)+N(Q154)*(1+AG154+Parámetros!$B$9)+N(R154)*(1+AG154+Parámetros!$B$10)),0))</f>
        <v/>
      </c>
      <c r="U154" s="5" t="str">
        <f>IF(OR(A154="",D154="",E154=""),"",IF(N(M154)+N(N154)+N(Q154)+N(R154)&gt;Parámetros!$B$12,"Supera el límite de horas extras diarias",IF(C154="Cédula no registrada","Registre la cédula en «Trabajadores»","")))</f>
        <v/>
      </c>
      <c r="X154" s="20">
        <f t="shared" si="50"/>
        <v>0</v>
      </c>
      <c r="Y154" s="20">
        <f t="shared" si="51"/>
        <v>0</v>
      </c>
      <c r="Z154" s="20">
        <f t="shared" si="52"/>
        <v>0</v>
      </c>
      <c r="AA154" s="20">
        <f t="shared" si="53"/>
        <v>0</v>
      </c>
      <c r="AB154" s="20">
        <f t="shared" si="54"/>
        <v>0</v>
      </c>
      <c r="AC154" s="20">
        <f t="shared" si="55"/>
        <v>0</v>
      </c>
      <c r="AD154" s="20">
        <f>IF(A154="",21/24,MOD(VLOOKUP(A154,Parámetros!$A$24:$B$25,2,TRUE()),1))</f>
        <v>0.875</v>
      </c>
      <c r="AE154" s="5">
        <f>IF(A154="",0,IF(OR(WEEKDAY(A154,2)=7,COUNTIF(Festivos!$A$5:$A$451,A154)&gt;0),1,0))</f>
        <v>0</v>
      </c>
      <c r="AF154" s="5">
        <f>IF(A154="",0,IF(OR(WEEKDAY(A154+1,2)=7,COUNTIF(Festivos!$A$5:$A$451,A154+1)&gt;0),1,0))</f>
        <v>0</v>
      </c>
      <c r="AG154" s="9">
        <f>IF(A154="",0,VLOOKUP(A154,Parámetros!$A$18:$B$21,2,TRUE()))</f>
        <v>0</v>
      </c>
      <c r="AH154" s="20">
        <f t="shared" si="56"/>
        <v>0</v>
      </c>
      <c r="AI154" s="20">
        <f>MAX(0,MIN(AB154,Parámetros!$B$11)-MAX(X154,0))+MAX(0,MIN(AB154,1+Parámetros!$B$11)-MAX(X154,AD154))+MAX(0,MIN(AB154,2)-MAX(X154,1+AD154))</f>
        <v>0</v>
      </c>
      <c r="AJ154" s="20">
        <f t="shared" si="57"/>
        <v>0</v>
      </c>
      <c r="AK154" s="20">
        <f>AE154*(MAX(0,MIN(AB154,Parámetros!$B$11)-MAX(X154,0))+MAX(0,MIN(AB154,1)-MAX(X154,AD154)))+AF154*(MAX(0,MIN(AB154,1+Parámetros!$B$11)-MAX(X154,1))+MAX(0,MIN(AB154,2)-MAX(X154,1+AD154)))</f>
        <v>0</v>
      </c>
      <c r="AL154" s="20">
        <f t="shared" si="58"/>
        <v>0</v>
      </c>
      <c r="AM154" s="20">
        <f>MAX(0,MIN(AC154,Parámetros!$B$11)-MAX(AB154,0))+MAX(0,MIN(AC154,1+Parámetros!$B$11)-MAX(AB154,AD154))+MAX(0,MIN(AC154,2)-MAX(AB154,1+AD154))</f>
        <v>0</v>
      </c>
      <c r="AN154" s="20">
        <f t="shared" si="59"/>
        <v>0</v>
      </c>
      <c r="AO154" s="20">
        <f>AE154*(MAX(0,MIN(AC154,Parámetros!$B$11)-MAX(AB154,0))+MAX(0,MIN(AC154,1)-MAX(AB154,AD154)))+AF154*(MAX(0,MIN(AC154,1+Parámetros!$B$11)-MAX(AB154,1))+MAX(0,MIN(AC154,2)-MAX(AB154,1+AD154)))</f>
        <v>0</v>
      </c>
    </row>
    <row r="155" spans="1:41" x14ac:dyDescent="0.25">
      <c r="A155" s="15"/>
      <c r="B155" s="8"/>
      <c r="C155" s="5" t="str">
        <f>IF(B155="","",IFERROR(INDEX(Trabajadores!$B$5:$B$204,MATCH(B155,Trabajadores!$A$5:$A$204,0)),"Cédula no registrada"))</f>
        <v/>
      </c>
      <c r="D155" s="11"/>
      <c r="E155" s="11"/>
      <c r="F155" s="8"/>
      <c r="G155" s="18" t="str">
        <f>IF(A155="","",IFERROR(INDEX(Trabajadores!$E$5:$E$204,MATCH(B155,Trabajadores!$A$5:$A$204,0))/Parámetros!$B$6,0)+IF(IFERROR(INDEX(Trabajadores!$E$5:$E$204,MATCH(B155,Trabajadores!$A$5:$A$204,0)),"")="",Parámetros!$B$7,0))</f>
        <v/>
      </c>
      <c r="H155" s="5" t="str">
        <f t="shared" si="40"/>
        <v/>
      </c>
      <c r="I155" s="5" t="str">
        <f>IF(A155="","",IF(COUNTIF(Festivos!$A$5:$A$451,A155)&gt;0,"Festivo",IF(WEEKDAY(A155,2)=7,"Domingo",IF(AND(AF155=1,AC155&gt;1),IF(COUNTIF(Festivos!$A$5:$A$451,A155+1)&gt;0,"Festivo","Domingo")&amp;" desde las 00:00",""))))</f>
        <v/>
      </c>
      <c r="J155" s="19" t="str">
        <f t="shared" si="41"/>
        <v/>
      </c>
      <c r="K155" s="19" t="str">
        <f t="shared" si="42"/>
        <v/>
      </c>
      <c r="L155" s="19" t="str">
        <f t="shared" si="43"/>
        <v/>
      </c>
      <c r="M155" s="19" t="str">
        <f t="shared" si="44"/>
        <v/>
      </c>
      <c r="N155" s="19" t="str">
        <f t="shared" si="45"/>
        <v/>
      </c>
      <c r="O155" s="19" t="str">
        <f t="shared" si="46"/>
        <v/>
      </c>
      <c r="P155" s="19" t="str">
        <f t="shared" si="47"/>
        <v/>
      </c>
      <c r="Q155" s="19" t="str">
        <f t="shared" si="48"/>
        <v/>
      </c>
      <c r="R155" s="19" t="str">
        <f t="shared" si="49"/>
        <v/>
      </c>
      <c r="S155" s="17" t="str">
        <f>IF(B155="","",IFERROR(INDEX(Trabajadores!$G$5:$G$204,MATCH(B155,Trabajadores!$A$5:$A$204,0)),""))</f>
        <v/>
      </c>
      <c r="T155" s="17" t="str">
        <f>IF(OR(OR(A155="",D155="",E155=""),S155=""),"",ROUND(S155*(N(L155)*Parámetros!$B$8+N(M155)*(1+Parámetros!$B$9)+N(N155)*(1+Parámetros!$B$10)+N(O155)*(1+AG155)+N(P155)*(1+AG155+Parámetros!$B$8)+N(Q155)*(1+AG155+Parámetros!$B$9)+N(R155)*(1+AG155+Parámetros!$B$10)),0))</f>
        <v/>
      </c>
      <c r="U155" s="5" t="str">
        <f>IF(OR(A155="",D155="",E155=""),"",IF(N(M155)+N(N155)+N(Q155)+N(R155)&gt;Parámetros!$B$12,"Supera el límite de horas extras diarias",IF(C155="Cédula no registrada","Registre la cédula en «Trabajadores»","")))</f>
        <v/>
      </c>
      <c r="X155" s="20">
        <f t="shared" si="50"/>
        <v>0</v>
      </c>
      <c r="Y155" s="20">
        <f t="shared" si="51"/>
        <v>0</v>
      </c>
      <c r="Z155" s="20">
        <f t="shared" si="52"/>
        <v>0</v>
      </c>
      <c r="AA155" s="20">
        <f t="shared" si="53"/>
        <v>0</v>
      </c>
      <c r="AB155" s="20">
        <f t="shared" si="54"/>
        <v>0</v>
      </c>
      <c r="AC155" s="20">
        <f t="shared" si="55"/>
        <v>0</v>
      </c>
      <c r="AD155" s="20">
        <f>IF(A155="",21/24,MOD(VLOOKUP(A155,Parámetros!$A$24:$B$25,2,TRUE()),1))</f>
        <v>0.875</v>
      </c>
      <c r="AE155" s="5">
        <f>IF(A155="",0,IF(OR(WEEKDAY(A155,2)=7,COUNTIF(Festivos!$A$5:$A$451,A155)&gt;0),1,0))</f>
        <v>0</v>
      </c>
      <c r="AF155" s="5">
        <f>IF(A155="",0,IF(OR(WEEKDAY(A155+1,2)=7,COUNTIF(Festivos!$A$5:$A$451,A155+1)&gt;0),1,0))</f>
        <v>0</v>
      </c>
      <c r="AG155" s="9">
        <f>IF(A155="",0,VLOOKUP(A155,Parámetros!$A$18:$B$21,2,TRUE()))</f>
        <v>0</v>
      </c>
      <c r="AH155" s="20">
        <f t="shared" si="56"/>
        <v>0</v>
      </c>
      <c r="AI155" s="20">
        <f>MAX(0,MIN(AB155,Parámetros!$B$11)-MAX(X155,0))+MAX(0,MIN(AB155,1+Parámetros!$B$11)-MAX(X155,AD155))+MAX(0,MIN(AB155,2)-MAX(X155,1+AD155))</f>
        <v>0</v>
      </c>
      <c r="AJ155" s="20">
        <f t="shared" si="57"/>
        <v>0</v>
      </c>
      <c r="AK155" s="20">
        <f>AE155*(MAX(0,MIN(AB155,Parámetros!$B$11)-MAX(X155,0))+MAX(0,MIN(AB155,1)-MAX(X155,AD155)))+AF155*(MAX(0,MIN(AB155,1+Parámetros!$B$11)-MAX(X155,1))+MAX(0,MIN(AB155,2)-MAX(X155,1+AD155)))</f>
        <v>0</v>
      </c>
      <c r="AL155" s="20">
        <f t="shared" si="58"/>
        <v>0</v>
      </c>
      <c r="AM155" s="20">
        <f>MAX(0,MIN(AC155,Parámetros!$B$11)-MAX(AB155,0))+MAX(0,MIN(AC155,1+Parámetros!$B$11)-MAX(AB155,AD155))+MAX(0,MIN(AC155,2)-MAX(AB155,1+AD155))</f>
        <v>0</v>
      </c>
      <c r="AN155" s="20">
        <f t="shared" si="59"/>
        <v>0</v>
      </c>
      <c r="AO155" s="20">
        <f>AE155*(MAX(0,MIN(AC155,Parámetros!$B$11)-MAX(AB155,0))+MAX(0,MIN(AC155,1)-MAX(AB155,AD155)))+AF155*(MAX(0,MIN(AC155,1+Parámetros!$B$11)-MAX(AB155,1))+MAX(0,MIN(AC155,2)-MAX(AB155,1+AD155)))</f>
        <v>0</v>
      </c>
    </row>
    <row r="156" spans="1:41" x14ac:dyDescent="0.25">
      <c r="A156" s="15"/>
      <c r="B156" s="8"/>
      <c r="C156" s="5" t="str">
        <f>IF(B156="","",IFERROR(INDEX(Trabajadores!$B$5:$B$204,MATCH(B156,Trabajadores!$A$5:$A$204,0)),"Cédula no registrada"))</f>
        <v/>
      </c>
      <c r="D156" s="11"/>
      <c r="E156" s="11"/>
      <c r="F156" s="8"/>
      <c r="G156" s="18" t="str">
        <f>IF(A156="","",IFERROR(INDEX(Trabajadores!$E$5:$E$204,MATCH(B156,Trabajadores!$A$5:$A$204,0))/Parámetros!$B$6,0)+IF(IFERROR(INDEX(Trabajadores!$E$5:$E$204,MATCH(B156,Trabajadores!$A$5:$A$204,0)),"")="",Parámetros!$B$7,0))</f>
        <v/>
      </c>
      <c r="H156" s="5" t="str">
        <f t="shared" si="40"/>
        <v/>
      </c>
      <c r="I156" s="5" t="str">
        <f>IF(A156="","",IF(COUNTIF(Festivos!$A$5:$A$451,A156)&gt;0,"Festivo",IF(WEEKDAY(A156,2)=7,"Domingo",IF(AND(AF156=1,AC156&gt;1),IF(COUNTIF(Festivos!$A$5:$A$451,A156+1)&gt;0,"Festivo","Domingo")&amp;" desde las 00:00",""))))</f>
        <v/>
      </c>
      <c r="J156" s="19" t="str">
        <f t="shared" si="41"/>
        <v/>
      </c>
      <c r="K156" s="19" t="str">
        <f t="shared" si="42"/>
        <v/>
      </c>
      <c r="L156" s="19" t="str">
        <f t="shared" si="43"/>
        <v/>
      </c>
      <c r="M156" s="19" t="str">
        <f t="shared" si="44"/>
        <v/>
      </c>
      <c r="N156" s="19" t="str">
        <f t="shared" si="45"/>
        <v/>
      </c>
      <c r="O156" s="19" t="str">
        <f t="shared" si="46"/>
        <v/>
      </c>
      <c r="P156" s="19" t="str">
        <f t="shared" si="47"/>
        <v/>
      </c>
      <c r="Q156" s="19" t="str">
        <f t="shared" si="48"/>
        <v/>
      </c>
      <c r="R156" s="19" t="str">
        <f t="shared" si="49"/>
        <v/>
      </c>
      <c r="S156" s="17" t="str">
        <f>IF(B156="","",IFERROR(INDEX(Trabajadores!$G$5:$G$204,MATCH(B156,Trabajadores!$A$5:$A$204,0)),""))</f>
        <v/>
      </c>
      <c r="T156" s="17" t="str">
        <f>IF(OR(OR(A156="",D156="",E156=""),S156=""),"",ROUND(S156*(N(L156)*Parámetros!$B$8+N(M156)*(1+Parámetros!$B$9)+N(N156)*(1+Parámetros!$B$10)+N(O156)*(1+AG156)+N(P156)*(1+AG156+Parámetros!$B$8)+N(Q156)*(1+AG156+Parámetros!$B$9)+N(R156)*(1+AG156+Parámetros!$B$10)),0))</f>
        <v/>
      </c>
      <c r="U156" s="5" t="str">
        <f>IF(OR(A156="",D156="",E156=""),"",IF(N(M156)+N(N156)+N(Q156)+N(R156)&gt;Parámetros!$B$12,"Supera el límite de horas extras diarias",IF(C156="Cédula no registrada","Registre la cédula en «Trabajadores»","")))</f>
        <v/>
      </c>
      <c r="X156" s="20">
        <f t="shared" si="50"/>
        <v>0</v>
      </c>
      <c r="Y156" s="20">
        <f t="shared" si="51"/>
        <v>0</v>
      </c>
      <c r="Z156" s="20">
        <f t="shared" si="52"/>
        <v>0</v>
      </c>
      <c r="AA156" s="20">
        <f t="shared" si="53"/>
        <v>0</v>
      </c>
      <c r="AB156" s="20">
        <f t="shared" si="54"/>
        <v>0</v>
      </c>
      <c r="AC156" s="20">
        <f t="shared" si="55"/>
        <v>0</v>
      </c>
      <c r="AD156" s="20">
        <f>IF(A156="",21/24,MOD(VLOOKUP(A156,Parámetros!$A$24:$B$25,2,TRUE()),1))</f>
        <v>0.875</v>
      </c>
      <c r="AE156" s="5">
        <f>IF(A156="",0,IF(OR(WEEKDAY(A156,2)=7,COUNTIF(Festivos!$A$5:$A$451,A156)&gt;0),1,0))</f>
        <v>0</v>
      </c>
      <c r="AF156" s="5">
        <f>IF(A156="",0,IF(OR(WEEKDAY(A156+1,2)=7,COUNTIF(Festivos!$A$5:$A$451,A156+1)&gt;0),1,0))</f>
        <v>0</v>
      </c>
      <c r="AG156" s="9">
        <f>IF(A156="",0,VLOOKUP(A156,Parámetros!$A$18:$B$21,2,TRUE()))</f>
        <v>0</v>
      </c>
      <c r="AH156" s="20">
        <f t="shared" si="56"/>
        <v>0</v>
      </c>
      <c r="AI156" s="20">
        <f>MAX(0,MIN(AB156,Parámetros!$B$11)-MAX(X156,0))+MAX(0,MIN(AB156,1+Parámetros!$B$11)-MAX(X156,AD156))+MAX(0,MIN(AB156,2)-MAX(X156,1+AD156))</f>
        <v>0</v>
      </c>
      <c r="AJ156" s="20">
        <f t="shared" si="57"/>
        <v>0</v>
      </c>
      <c r="AK156" s="20">
        <f>AE156*(MAX(0,MIN(AB156,Parámetros!$B$11)-MAX(X156,0))+MAX(0,MIN(AB156,1)-MAX(X156,AD156)))+AF156*(MAX(0,MIN(AB156,1+Parámetros!$B$11)-MAX(X156,1))+MAX(0,MIN(AB156,2)-MAX(X156,1+AD156)))</f>
        <v>0</v>
      </c>
      <c r="AL156" s="20">
        <f t="shared" si="58"/>
        <v>0</v>
      </c>
      <c r="AM156" s="20">
        <f>MAX(0,MIN(AC156,Parámetros!$B$11)-MAX(AB156,0))+MAX(0,MIN(AC156,1+Parámetros!$B$11)-MAX(AB156,AD156))+MAX(0,MIN(AC156,2)-MAX(AB156,1+AD156))</f>
        <v>0</v>
      </c>
      <c r="AN156" s="20">
        <f t="shared" si="59"/>
        <v>0</v>
      </c>
      <c r="AO156" s="20">
        <f>AE156*(MAX(0,MIN(AC156,Parámetros!$B$11)-MAX(AB156,0))+MAX(0,MIN(AC156,1)-MAX(AB156,AD156)))+AF156*(MAX(0,MIN(AC156,1+Parámetros!$B$11)-MAX(AB156,1))+MAX(0,MIN(AC156,2)-MAX(AB156,1+AD156)))</f>
        <v>0</v>
      </c>
    </row>
    <row r="157" spans="1:41" x14ac:dyDescent="0.25">
      <c r="A157" s="15"/>
      <c r="B157" s="8"/>
      <c r="C157" s="5" t="str">
        <f>IF(B157="","",IFERROR(INDEX(Trabajadores!$B$5:$B$204,MATCH(B157,Trabajadores!$A$5:$A$204,0)),"Cédula no registrada"))</f>
        <v/>
      </c>
      <c r="D157" s="11"/>
      <c r="E157" s="11"/>
      <c r="F157" s="8"/>
      <c r="G157" s="18" t="str">
        <f>IF(A157="","",IFERROR(INDEX(Trabajadores!$E$5:$E$204,MATCH(B157,Trabajadores!$A$5:$A$204,0))/Parámetros!$B$6,0)+IF(IFERROR(INDEX(Trabajadores!$E$5:$E$204,MATCH(B157,Trabajadores!$A$5:$A$204,0)),"")="",Parámetros!$B$7,0))</f>
        <v/>
      </c>
      <c r="H157" s="5" t="str">
        <f t="shared" si="40"/>
        <v/>
      </c>
      <c r="I157" s="5" t="str">
        <f>IF(A157="","",IF(COUNTIF(Festivos!$A$5:$A$451,A157)&gt;0,"Festivo",IF(WEEKDAY(A157,2)=7,"Domingo",IF(AND(AF157=1,AC157&gt;1),IF(COUNTIF(Festivos!$A$5:$A$451,A157+1)&gt;0,"Festivo","Domingo")&amp;" desde las 00:00",""))))</f>
        <v/>
      </c>
      <c r="J157" s="19" t="str">
        <f t="shared" si="41"/>
        <v/>
      </c>
      <c r="K157" s="19" t="str">
        <f t="shared" si="42"/>
        <v/>
      </c>
      <c r="L157" s="19" t="str">
        <f t="shared" si="43"/>
        <v/>
      </c>
      <c r="M157" s="19" t="str">
        <f t="shared" si="44"/>
        <v/>
      </c>
      <c r="N157" s="19" t="str">
        <f t="shared" si="45"/>
        <v/>
      </c>
      <c r="O157" s="19" t="str">
        <f t="shared" si="46"/>
        <v/>
      </c>
      <c r="P157" s="19" t="str">
        <f t="shared" si="47"/>
        <v/>
      </c>
      <c r="Q157" s="19" t="str">
        <f t="shared" si="48"/>
        <v/>
      </c>
      <c r="R157" s="19" t="str">
        <f t="shared" si="49"/>
        <v/>
      </c>
      <c r="S157" s="17" t="str">
        <f>IF(B157="","",IFERROR(INDEX(Trabajadores!$G$5:$G$204,MATCH(B157,Trabajadores!$A$5:$A$204,0)),""))</f>
        <v/>
      </c>
      <c r="T157" s="17" t="str">
        <f>IF(OR(OR(A157="",D157="",E157=""),S157=""),"",ROUND(S157*(N(L157)*Parámetros!$B$8+N(M157)*(1+Parámetros!$B$9)+N(N157)*(1+Parámetros!$B$10)+N(O157)*(1+AG157)+N(P157)*(1+AG157+Parámetros!$B$8)+N(Q157)*(1+AG157+Parámetros!$B$9)+N(R157)*(1+AG157+Parámetros!$B$10)),0))</f>
        <v/>
      </c>
      <c r="U157" s="5" t="str">
        <f>IF(OR(A157="",D157="",E157=""),"",IF(N(M157)+N(N157)+N(Q157)+N(R157)&gt;Parámetros!$B$12,"Supera el límite de horas extras diarias",IF(C157="Cédula no registrada","Registre la cédula en «Trabajadores»","")))</f>
        <v/>
      </c>
      <c r="X157" s="20">
        <f t="shared" si="50"/>
        <v>0</v>
      </c>
      <c r="Y157" s="20">
        <f t="shared" si="51"/>
        <v>0</v>
      </c>
      <c r="Z157" s="20">
        <f t="shared" si="52"/>
        <v>0</v>
      </c>
      <c r="AA157" s="20">
        <f t="shared" si="53"/>
        <v>0</v>
      </c>
      <c r="AB157" s="20">
        <f t="shared" si="54"/>
        <v>0</v>
      </c>
      <c r="AC157" s="20">
        <f t="shared" si="55"/>
        <v>0</v>
      </c>
      <c r="AD157" s="20">
        <f>IF(A157="",21/24,MOD(VLOOKUP(A157,Parámetros!$A$24:$B$25,2,TRUE()),1))</f>
        <v>0.875</v>
      </c>
      <c r="AE157" s="5">
        <f>IF(A157="",0,IF(OR(WEEKDAY(A157,2)=7,COUNTIF(Festivos!$A$5:$A$451,A157)&gt;0),1,0))</f>
        <v>0</v>
      </c>
      <c r="AF157" s="5">
        <f>IF(A157="",0,IF(OR(WEEKDAY(A157+1,2)=7,COUNTIF(Festivos!$A$5:$A$451,A157+1)&gt;0),1,0))</f>
        <v>0</v>
      </c>
      <c r="AG157" s="9">
        <f>IF(A157="",0,VLOOKUP(A157,Parámetros!$A$18:$B$21,2,TRUE()))</f>
        <v>0</v>
      </c>
      <c r="AH157" s="20">
        <f t="shared" si="56"/>
        <v>0</v>
      </c>
      <c r="AI157" s="20">
        <f>MAX(0,MIN(AB157,Parámetros!$B$11)-MAX(X157,0))+MAX(0,MIN(AB157,1+Parámetros!$B$11)-MAX(X157,AD157))+MAX(0,MIN(AB157,2)-MAX(X157,1+AD157))</f>
        <v>0</v>
      </c>
      <c r="AJ157" s="20">
        <f t="shared" si="57"/>
        <v>0</v>
      </c>
      <c r="AK157" s="20">
        <f>AE157*(MAX(0,MIN(AB157,Parámetros!$B$11)-MAX(X157,0))+MAX(0,MIN(AB157,1)-MAX(X157,AD157)))+AF157*(MAX(0,MIN(AB157,1+Parámetros!$B$11)-MAX(X157,1))+MAX(0,MIN(AB157,2)-MAX(X157,1+AD157)))</f>
        <v>0</v>
      </c>
      <c r="AL157" s="20">
        <f t="shared" si="58"/>
        <v>0</v>
      </c>
      <c r="AM157" s="20">
        <f>MAX(0,MIN(AC157,Parámetros!$B$11)-MAX(AB157,0))+MAX(0,MIN(AC157,1+Parámetros!$B$11)-MAX(AB157,AD157))+MAX(0,MIN(AC157,2)-MAX(AB157,1+AD157))</f>
        <v>0</v>
      </c>
      <c r="AN157" s="20">
        <f t="shared" si="59"/>
        <v>0</v>
      </c>
      <c r="AO157" s="20">
        <f>AE157*(MAX(0,MIN(AC157,Parámetros!$B$11)-MAX(AB157,0))+MAX(0,MIN(AC157,1)-MAX(AB157,AD157)))+AF157*(MAX(0,MIN(AC157,1+Parámetros!$B$11)-MAX(AB157,1))+MAX(0,MIN(AC157,2)-MAX(AB157,1+AD157)))</f>
        <v>0</v>
      </c>
    </row>
    <row r="158" spans="1:41" x14ac:dyDescent="0.25">
      <c r="A158" s="15"/>
      <c r="B158" s="8"/>
      <c r="C158" s="5" t="str">
        <f>IF(B158="","",IFERROR(INDEX(Trabajadores!$B$5:$B$204,MATCH(B158,Trabajadores!$A$5:$A$204,0)),"Cédula no registrada"))</f>
        <v/>
      </c>
      <c r="D158" s="11"/>
      <c r="E158" s="11"/>
      <c r="F158" s="8"/>
      <c r="G158" s="18" t="str">
        <f>IF(A158="","",IFERROR(INDEX(Trabajadores!$E$5:$E$204,MATCH(B158,Trabajadores!$A$5:$A$204,0))/Parámetros!$B$6,0)+IF(IFERROR(INDEX(Trabajadores!$E$5:$E$204,MATCH(B158,Trabajadores!$A$5:$A$204,0)),"")="",Parámetros!$B$7,0))</f>
        <v/>
      </c>
      <c r="H158" s="5" t="str">
        <f t="shared" si="40"/>
        <v/>
      </c>
      <c r="I158" s="5" t="str">
        <f>IF(A158="","",IF(COUNTIF(Festivos!$A$5:$A$451,A158)&gt;0,"Festivo",IF(WEEKDAY(A158,2)=7,"Domingo",IF(AND(AF158=1,AC158&gt;1),IF(COUNTIF(Festivos!$A$5:$A$451,A158+1)&gt;0,"Festivo","Domingo")&amp;" desde las 00:00",""))))</f>
        <v/>
      </c>
      <c r="J158" s="19" t="str">
        <f t="shared" si="41"/>
        <v/>
      </c>
      <c r="K158" s="19" t="str">
        <f t="shared" si="42"/>
        <v/>
      </c>
      <c r="L158" s="19" t="str">
        <f t="shared" si="43"/>
        <v/>
      </c>
      <c r="M158" s="19" t="str">
        <f t="shared" si="44"/>
        <v/>
      </c>
      <c r="N158" s="19" t="str">
        <f t="shared" si="45"/>
        <v/>
      </c>
      <c r="O158" s="19" t="str">
        <f t="shared" si="46"/>
        <v/>
      </c>
      <c r="P158" s="19" t="str">
        <f t="shared" si="47"/>
        <v/>
      </c>
      <c r="Q158" s="19" t="str">
        <f t="shared" si="48"/>
        <v/>
      </c>
      <c r="R158" s="19" t="str">
        <f t="shared" si="49"/>
        <v/>
      </c>
      <c r="S158" s="17" t="str">
        <f>IF(B158="","",IFERROR(INDEX(Trabajadores!$G$5:$G$204,MATCH(B158,Trabajadores!$A$5:$A$204,0)),""))</f>
        <v/>
      </c>
      <c r="T158" s="17" t="str">
        <f>IF(OR(OR(A158="",D158="",E158=""),S158=""),"",ROUND(S158*(N(L158)*Parámetros!$B$8+N(M158)*(1+Parámetros!$B$9)+N(N158)*(1+Parámetros!$B$10)+N(O158)*(1+AG158)+N(P158)*(1+AG158+Parámetros!$B$8)+N(Q158)*(1+AG158+Parámetros!$B$9)+N(R158)*(1+AG158+Parámetros!$B$10)),0))</f>
        <v/>
      </c>
      <c r="U158" s="5" t="str">
        <f>IF(OR(A158="",D158="",E158=""),"",IF(N(M158)+N(N158)+N(Q158)+N(R158)&gt;Parámetros!$B$12,"Supera el límite de horas extras diarias",IF(C158="Cédula no registrada","Registre la cédula en «Trabajadores»","")))</f>
        <v/>
      </c>
      <c r="X158" s="20">
        <f t="shared" si="50"/>
        <v>0</v>
      </c>
      <c r="Y158" s="20">
        <f t="shared" si="51"/>
        <v>0</v>
      </c>
      <c r="Z158" s="20">
        <f t="shared" si="52"/>
        <v>0</v>
      </c>
      <c r="AA158" s="20">
        <f t="shared" si="53"/>
        <v>0</v>
      </c>
      <c r="AB158" s="20">
        <f t="shared" si="54"/>
        <v>0</v>
      </c>
      <c r="AC158" s="20">
        <f t="shared" si="55"/>
        <v>0</v>
      </c>
      <c r="AD158" s="20">
        <f>IF(A158="",21/24,MOD(VLOOKUP(A158,Parámetros!$A$24:$B$25,2,TRUE()),1))</f>
        <v>0.875</v>
      </c>
      <c r="AE158" s="5">
        <f>IF(A158="",0,IF(OR(WEEKDAY(A158,2)=7,COUNTIF(Festivos!$A$5:$A$451,A158)&gt;0),1,0))</f>
        <v>0</v>
      </c>
      <c r="AF158" s="5">
        <f>IF(A158="",0,IF(OR(WEEKDAY(A158+1,2)=7,COUNTIF(Festivos!$A$5:$A$451,A158+1)&gt;0),1,0))</f>
        <v>0</v>
      </c>
      <c r="AG158" s="9">
        <f>IF(A158="",0,VLOOKUP(A158,Parámetros!$A$18:$B$21,2,TRUE()))</f>
        <v>0</v>
      </c>
      <c r="AH158" s="20">
        <f t="shared" si="56"/>
        <v>0</v>
      </c>
      <c r="AI158" s="20">
        <f>MAX(0,MIN(AB158,Parámetros!$B$11)-MAX(X158,0))+MAX(0,MIN(AB158,1+Parámetros!$B$11)-MAX(X158,AD158))+MAX(0,MIN(AB158,2)-MAX(X158,1+AD158))</f>
        <v>0</v>
      </c>
      <c r="AJ158" s="20">
        <f t="shared" si="57"/>
        <v>0</v>
      </c>
      <c r="AK158" s="20">
        <f>AE158*(MAX(0,MIN(AB158,Parámetros!$B$11)-MAX(X158,0))+MAX(0,MIN(AB158,1)-MAX(X158,AD158)))+AF158*(MAX(0,MIN(AB158,1+Parámetros!$B$11)-MAX(X158,1))+MAX(0,MIN(AB158,2)-MAX(X158,1+AD158)))</f>
        <v>0</v>
      </c>
      <c r="AL158" s="20">
        <f t="shared" si="58"/>
        <v>0</v>
      </c>
      <c r="AM158" s="20">
        <f>MAX(0,MIN(AC158,Parámetros!$B$11)-MAX(AB158,0))+MAX(0,MIN(AC158,1+Parámetros!$B$11)-MAX(AB158,AD158))+MAX(0,MIN(AC158,2)-MAX(AB158,1+AD158))</f>
        <v>0</v>
      </c>
      <c r="AN158" s="20">
        <f t="shared" si="59"/>
        <v>0</v>
      </c>
      <c r="AO158" s="20">
        <f>AE158*(MAX(0,MIN(AC158,Parámetros!$B$11)-MAX(AB158,0))+MAX(0,MIN(AC158,1)-MAX(AB158,AD158)))+AF158*(MAX(0,MIN(AC158,1+Parámetros!$B$11)-MAX(AB158,1))+MAX(0,MIN(AC158,2)-MAX(AB158,1+AD158)))</f>
        <v>0</v>
      </c>
    </row>
    <row r="159" spans="1:41" x14ac:dyDescent="0.25">
      <c r="A159" s="15"/>
      <c r="B159" s="8"/>
      <c r="C159" s="5" t="str">
        <f>IF(B159="","",IFERROR(INDEX(Trabajadores!$B$5:$B$204,MATCH(B159,Trabajadores!$A$5:$A$204,0)),"Cédula no registrada"))</f>
        <v/>
      </c>
      <c r="D159" s="11"/>
      <c r="E159" s="11"/>
      <c r="F159" s="8"/>
      <c r="G159" s="18" t="str">
        <f>IF(A159="","",IFERROR(INDEX(Trabajadores!$E$5:$E$204,MATCH(B159,Trabajadores!$A$5:$A$204,0))/Parámetros!$B$6,0)+IF(IFERROR(INDEX(Trabajadores!$E$5:$E$204,MATCH(B159,Trabajadores!$A$5:$A$204,0)),"")="",Parámetros!$B$7,0))</f>
        <v/>
      </c>
      <c r="H159" s="5" t="str">
        <f t="shared" si="40"/>
        <v/>
      </c>
      <c r="I159" s="5" t="str">
        <f>IF(A159="","",IF(COUNTIF(Festivos!$A$5:$A$451,A159)&gt;0,"Festivo",IF(WEEKDAY(A159,2)=7,"Domingo",IF(AND(AF159=1,AC159&gt;1),IF(COUNTIF(Festivos!$A$5:$A$451,A159+1)&gt;0,"Festivo","Domingo")&amp;" desde las 00:00",""))))</f>
        <v/>
      </c>
      <c r="J159" s="19" t="str">
        <f t="shared" si="41"/>
        <v/>
      </c>
      <c r="K159" s="19" t="str">
        <f t="shared" si="42"/>
        <v/>
      </c>
      <c r="L159" s="19" t="str">
        <f t="shared" si="43"/>
        <v/>
      </c>
      <c r="M159" s="19" t="str">
        <f t="shared" si="44"/>
        <v/>
      </c>
      <c r="N159" s="19" t="str">
        <f t="shared" si="45"/>
        <v/>
      </c>
      <c r="O159" s="19" t="str">
        <f t="shared" si="46"/>
        <v/>
      </c>
      <c r="P159" s="19" t="str">
        <f t="shared" si="47"/>
        <v/>
      </c>
      <c r="Q159" s="19" t="str">
        <f t="shared" si="48"/>
        <v/>
      </c>
      <c r="R159" s="19" t="str">
        <f t="shared" si="49"/>
        <v/>
      </c>
      <c r="S159" s="17" t="str">
        <f>IF(B159="","",IFERROR(INDEX(Trabajadores!$G$5:$G$204,MATCH(B159,Trabajadores!$A$5:$A$204,0)),""))</f>
        <v/>
      </c>
      <c r="T159" s="17" t="str">
        <f>IF(OR(OR(A159="",D159="",E159=""),S159=""),"",ROUND(S159*(N(L159)*Parámetros!$B$8+N(M159)*(1+Parámetros!$B$9)+N(N159)*(1+Parámetros!$B$10)+N(O159)*(1+AG159)+N(P159)*(1+AG159+Parámetros!$B$8)+N(Q159)*(1+AG159+Parámetros!$B$9)+N(R159)*(1+AG159+Parámetros!$B$10)),0))</f>
        <v/>
      </c>
      <c r="U159" s="5" t="str">
        <f>IF(OR(A159="",D159="",E159=""),"",IF(N(M159)+N(N159)+N(Q159)+N(R159)&gt;Parámetros!$B$12,"Supera el límite de horas extras diarias",IF(C159="Cédula no registrada","Registre la cédula en «Trabajadores»","")))</f>
        <v/>
      </c>
      <c r="X159" s="20">
        <f t="shared" si="50"/>
        <v>0</v>
      </c>
      <c r="Y159" s="20">
        <f t="shared" si="51"/>
        <v>0</v>
      </c>
      <c r="Z159" s="20">
        <f t="shared" si="52"/>
        <v>0</v>
      </c>
      <c r="AA159" s="20">
        <f t="shared" si="53"/>
        <v>0</v>
      </c>
      <c r="AB159" s="20">
        <f t="shared" si="54"/>
        <v>0</v>
      </c>
      <c r="AC159" s="20">
        <f t="shared" si="55"/>
        <v>0</v>
      </c>
      <c r="AD159" s="20">
        <f>IF(A159="",21/24,MOD(VLOOKUP(A159,Parámetros!$A$24:$B$25,2,TRUE()),1))</f>
        <v>0.875</v>
      </c>
      <c r="AE159" s="5">
        <f>IF(A159="",0,IF(OR(WEEKDAY(A159,2)=7,COUNTIF(Festivos!$A$5:$A$451,A159)&gt;0),1,0))</f>
        <v>0</v>
      </c>
      <c r="AF159" s="5">
        <f>IF(A159="",0,IF(OR(WEEKDAY(A159+1,2)=7,COUNTIF(Festivos!$A$5:$A$451,A159+1)&gt;0),1,0))</f>
        <v>0</v>
      </c>
      <c r="AG159" s="9">
        <f>IF(A159="",0,VLOOKUP(A159,Parámetros!$A$18:$B$21,2,TRUE()))</f>
        <v>0</v>
      </c>
      <c r="AH159" s="20">
        <f t="shared" si="56"/>
        <v>0</v>
      </c>
      <c r="AI159" s="20">
        <f>MAX(0,MIN(AB159,Parámetros!$B$11)-MAX(X159,0))+MAX(0,MIN(AB159,1+Parámetros!$B$11)-MAX(X159,AD159))+MAX(0,MIN(AB159,2)-MAX(X159,1+AD159))</f>
        <v>0</v>
      </c>
      <c r="AJ159" s="20">
        <f t="shared" si="57"/>
        <v>0</v>
      </c>
      <c r="AK159" s="20">
        <f>AE159*(MAX(0,MIN(AB159,Parámetros!$B$11)-MAX(X159,0))+MAX(0,MIN(AB159,1)-MAX(X159,AD159)))+AF159*(MAX(0,MIN(AB159,1+Parámetros!$B$11)-MAX(X159,1))+MAX(0,MIN(AB159,2)-MAX(X159,1+AD159)))</f>
        <v>0</v>
      </c>
      <c r="AL159" s="20">
        <f t="shared" si="58"/>
        <v>0</v>
      </c>
      <c r="AM159" s="20">
        <f>MAX(0,MIN(AC159,Parámetros!$B$11)-MAX(AB159,0))+MAX(0,MIN(AC159,1+Parámetros!$B$11)-MAX(AB159,AD159))+MAX(0,MIN(AC159,2)-MAX(AB159,1+AD159))</f>
        <v>0</v>
      </c>
      <c r="AN159" s="20">
        <f t="shared" si="59"/>
        <v>0</v>
      </c>
      <c r="AO159" s="20">
        <f>AE159*(MAX(0,MIN(AC159,Parámetros!$B$11)-MAX(AB159,0))+MAX(0,MIN(AC159,1)-MAX(AB159,AD159)))+AF159*(MAX(0,MIN(AC159,1+Parámetros!$B$11)-MAX(AB159,1))+MAX(0,MIN(AC159,2)-MAX(AB159,1+AD159)))</f>
        <v>0</v>
      </c>
    </row>
    <row r="160" spans="1:41" x14ac:dyDescent="0.25">
      <c r="A160" s="15"/>
      <c r="B160" s="8"/>
      <c r="C160" s="5" t="str">
        <f>IF(B160="","",IFERROR(INDEX(Trabajadores!$B$5:$B$204,MATCH(B160,Trabajadores!$A$5:$A$204,0)),"Cédula no registrada"))</f>
        <v/>
      </c>
      <c r="D160" s="11"/>
      <c r="E160" s="11"/>
      <c r="F160" s="8"/>
      <c r="G160" s="18" t="str">
        <f>IF(A160="","",IFERROR(INDEX(Trabajadores!$E$5:$E$204,MATCH(B160,Trabajadores!$A$5:$A$204,0))/Parámetros!$B$6,0)+IF(IFERROR(INDEX(Trabajadores!$E$5:$E$204,MATCH(B160,Trabajadores!$A$5:$A$204,0)),"")="",Parámetros!$B$7,0))</f>
        <v/>
      </c>
      <c r="H160" s="5" t="str">
        <f t="shared" si="40"/>
        <v/>
      </c>
      <c r="I160" s="5" t="str">
        <f>IF(A160="","",IF(COUNTIF(Festivos!$A$5:$A$451,A160)&gt;0,"Festivo",IF(WEEKDAY(A160,2)=7,"Domingo",IF(AND(AF160=1,AC160&gt;1),IF(COUNTIF(Festivos!$A$5:$A$451,A160+1)&gt;0,"Festivo","Domingo")&amp;" desde las 00:00",""))))</f>
        <v/>
      </c>
      <c r="J160" s="19" t="str">
        <f t="shared" si="41"/>
        <v/>
      </c>
      <c r="K160" s="19" t="str">
        <f t="shared" si="42"/>
        <v/>
      </c>
      <c r="L160" s="19" t="str">
        <f t="shared" si="43"/>
        <v/>
      </c>
      <c r="M160" s="19" t="str">
        <f t="shared" si="44"/>
        <v/>
      </c>
      <c r="N160" s="19" t="str">
        <f t="shared" si="45"/>
        <v/>
      </c>
      <c r="O160" s="19" t="str">
        <f t="shared" si="46"/>
        <v/>
      </c>
      <c r="P160" s="19" t="str">
        <f t="shared" si="47"/>
        <v/>
      </c>
      <c r="Q160" s="19" t="str">
        <f t="shared" si="48"/>
        <v/>
      </c>
      <c r="R160" s="19" t="str">
        <f t="shared" si="49"/>
        <v/>
      </c>
      <c r="S160" s="17" t="str">
        <f>IF(B160="","",IFERROR(INDEX(Trabajadores!$G$5:$G$204,MATCH(B160,Trabajadores!$A$5:$A$204,0)),""))</f>
        <v/>
      </c>
      <c r="T160" s="17" t="str">
        <f>IF(OR(OR(A160="",D160="",E160=""),S160=""),"",ROUND(S160*(N(L160)*Parámetros!$B$8+N(M160)*(1+Parámetros!$B$9)+N(N160)*(1+Parámetros!$B$10)+N(O160)*(1+AG160)+N(P160)*(1+AG160+Parámetros!$B$8)+N(Q160)*(1+AG160+Parámetros!$B$9)+N(R160)*(1+AG160+Parámetros!$B$10)),0))</f>
        <v/>
      </c>
      <c r="U160" s="5" t="str">
        <f>IF(OR(A160="",D160="",E160=""),"",IF(N(M160)+N(N160)+N(Q160)+N(R160)&gt;Parámetros!$B$12,"Supera el límite de horas extras diarias",IF(C160="Cédula no registrada","Registre la cédula en «Trabajadores»","")))</f>
        <v/>
      </c>
      <c r="X160" s="20">
        <f t="shared" si="50"/>
        <v>0</v>
      </c>
      <c r="Y160" s="20">
        <f t="shared" si="51"/>
        <v>0</v>
      </c>
      <c r="Z160" s="20">
        <f t="shared" si="52"/>
        <v>0</v>
      </c>
      <c r="AA160" s="20">
        <f t="shared" si="53"/>
        <v>0</v>
      </c>
      <c r="AB160" s="20">
        <f t="shared" si="54"/>
        <v>0</v>
      </c>
      <c r="AC160" s="20">
        <f t="shared" si="55"/>
        <v>0</v>
      </c>
      <c r="AD160" s="20">
        <f>IF(A160="",21/24,MOD(VLOOKUP(A160,Parámetros!$A$24:$B$25,2,TRUE()),1))</f>
        <v>0.875</v>
      </c>
      <c r="AE160" s="5">
        <f>IF(A160="",0,IF(OR(WEEKDAY(A160,2)=7,COUNTIF(Festivos!$A$5:$A$451,A160)&gt;0),1,0))</f>
        <v>0</v>
      </c>
      <c r="AF160" s="5">
        <f>IF(A160="",0,IF(OR(WEEKDAY(A160+1,2)=7,COUNTIF(Festivos!$A$5:$A$451,A160+1)&gt;0),1,0))</f>
        <v>0</v>
      </c>
      <c r="AG160" s="9">
        <f>IF(A160="",0,VLOOKUP(A160,Parámetros!$A$18:$B$21,2,TRUE()))</f>
        <v>0</v>
      </c>
      <c r="AH160" s="20">
        <f t="shared" si="56"/>
        <v>0</v>
      </c>
      <c r="AI160" s="20">
        <f>MAX(0,MIN(AB160,Parámetros!$B$11)-MAX(X160,0))+MAX(0,MIN(AB160,1+Parámetros!$B$11)-MAX(X160,AD160))+MAX(0,MIN(AB160,2)-MAX(X160,1+AD160))</f>
        <v>0</v>
      </c>
      <c r="AJ160" s="20">
        <f t="shared" si="57"/>
        <v>0</v>
      </c>
      <c r="AK160" s="20">
        <f>AE160*(MAX(0,MIN(AB160,Parámetros!$B$11)-MAX(X160,0))+MAX(0,MIN(AB160,1)-MAX(X160,AD160)))+AF160*(MAX(0,MIN(AB160,1+Parámetros!$B$11)-MAX(X160,1))+MAX(0,MIN(AB160,2)-MAX(X160,1+AD160)))</f>
        <v>0</v>
      </c>
      <c r="AL160" s="20">
        <f t="shared" si="58"/>
        <v>0</v>
      </c>
      <c r="AM160" s="20">
        <f>MAX(0,MIN(AC160,Parámetros!$B$11)-MAX(AB160,0))+MAX(0,MIN(AC160,1+Parámetros!$B$11)-MAX(AB160,AD160))+MAX(0,MIN(AC160,2)-MAX(AB160,1+AD160))</f>
        <v>0</v>
      </c>
      <c r="AN160" s="20">
        <f t="shared" si="59"/>
        <v>0</v>
      </c>
      <c r="AO160" s="20">
        <f>AE160*(MAX(0,MIN(AC160,Parámetros!$B$11)-MAX(AB160,0))+MAX(0,MIN(AC160,1)-MAX(AB160,AD160)))+AF160*(MAX(0,MIN(AC160,1+Parámetros!$B$11)-MAX(AB160,1))+MAX(0,MIN(AC160,2)-MAX(AB160,1+AD160)))</f>
        <v>0</v>
      </c>
    </row>
    <row r="161" spans="1:41" x14ac:dyDescent="0.25">
      <c r="A161" s="15"/>
      <c r="B161" s="8"/>
      <c r="C161" s="5" t="str">
        <f>IF(B161="","",IFERROR(INDEX(Trabajadores!$B$5:$B$204,MATCH(B161,Trabajadores!$A$5:$A$204,0)),"Cédula no registrada"))</f>
        <v/>
      </c>
      <c r="D161" s="11"/>
      <c r="E161" s="11"/>
      <c r="F161" s="8"/>
      <c r="G161" s="18" t="str">
        <f>IF(A161="","",IFERROR(INDEX(Trabajadores!$E$5:$E$204,MATCH(B161,Trabajadores!$A$5:$A$204,0))/Parámetros!$B$6,0)+IF(IFERROR(INDEX(Trabajadores!$E$5:$E$204,MATCH(B161,Trabajadores!$A$5:$A$204,0)),"")="",Parámetros!$B$7,0))</f>
        <v/>
      </c>
      <c r="H161" s="5" t="str">
        <f t="shared" si="40"/>
        <v/>
      </c>
      <c r="I161" s="5" t="str">
        <f>IF(A161="","",IF(COUNTIF(Festivos!$A$5:$A$451,A161)&gt;0,"Festivo",IF(WEEKDAY(A161,2)=7,"Domingo",IF(AND(AF161=1,AC161&gt;1),IF(COUNTIF(Festivos!$A$5:$A$451,A161+1)&gt;0,"Festivo","Domingo")&amp;" desde las 00:00",""))))</f>
        <v/>
      </c>
      <c r="J161" s="19" t="str">
        <f t="shared" si="41"/>
        <v/>
      </c>
      <c r="K161" s="19" t="str">
        <f t="shared" si="42"/>
        <v/>
      </c>
      <c r="L161" s="19" t="str">
        <f t="shared" si="43"/>
        <v/>
      </c>
      <c r="M161" s="19" t="str">
        <f t="shared" si="44"/>
        <v/>
      </c>
      <c r="N161" s="19" t="str">
        <f t="shared" si="45"/>
        <v/>
      </c>
      <c r="O161" s="19" t="str">
        <f t="shared" si="46"/>
        <v/>
      </c>
      <c r="P161" s="19" t="str">
        <f t="shared" si="47"/>
        <v/>
      </c>
      <c r="Q161" s="19" t="str">
        <f t="shared" si="48"/>
        <v/>
      </c>
      <c r="R161" s="19" t="str">
        <f t="shared" si="49"/>
        <v/>
      </c>
      <c r="S161" s="17" t="str">
        <f>IF(B161="","",IFERROR(INDEX(Trabajadores!$G$5:$G$204,MATCH(B161,Trabajadores!$A$5:$A$204,0)),""))</f>
        <v/>
      </c>
      <c r="T161" s="17" t="str">
        <f>IF(OR(OR(A161="",D161="",E161=""),S161=""),"",ROUND(S161*(N(L161)*Parámetros!$B$8+N(M161)*(1+Parámetros!$B$9)+N(N161)*(1+Parámetros!$B$10)+N(O161)*(1+AG161)+N(P161)*(1+AG161+Parámetros!$B$8)+N(Q161)*(1+AG161+Parámetros!$B$9)+N(R161)*(1+AG161+Parámetros!$B$10)),0))</f>
        <v/>
      </c>
      <c r="U161" s="5" t="str">
        <f>IF(OR(A161="",D161="",E161=""),"",IF(N(M161)+N(N161)+N(Q161)+N(R161)&gt;Parámetros!$B$12,"Supera el límite de horas extras diarias",IF(C161="Cédula no registrada","Registre la cédula en «Trabajadores»","")))</f>
        <v/>
      </c>
      <c r="X161" s="20">
        <f t="shared" si="50"/>
        <v>0</v>
      </c>
      <c r="Y161" s="20">
        <f t="shared" si="51"/>
        <v>0</v>
      </c>
      <c r="Z161" s="20">
        <f t="shared" si="52"/>
        <v>0</v>
      </c>
      <c r="AA161" s="20">
        <f t="shared" si="53"/>
        <v>0</v>
      </c>
      <c r="AB161" s="20">
        <f t="shared" si="54"/>
        <v>0</v>
      </c>
      <c r="AC161" s="20">
        <f t="shared" si="55"/>
        <v>0</v>
      </c>
      <c r="AD161" s="20">
        <f>IF(A161="",21/24,MOD(VLOOKUP(A161,Parámetros!$A$24:$B$25,2,TRUE()),1))</f>
        <v>0.875</v>
      </c>
      <c r="AE161" s="5">
        <f>IF(A161="",0,IF(OR(WEEKDAY(A161,2)=7,COUNTIF(Festivos!$A$5:$A$451,A161)&gt;0),1,0))</f>
        <v>0</v>
      </c>
      <c r="AF161" s="5">
        <f>IF(A161="",0,IF(OR(WEEKDAY(A161+1,2)=7,COUNTIF(Festivos!$A$5:$A$451,A161+1)&gt;0),1,0))</f>
        <v>0</v>
      </c>
      <c r="AG161" s="9">
        <f>IF(A161="",0,VLOOKUP(A161,Parámetros!$A$18:$B$21,2,TRUE()))</f>
        <v>0</v>
      </c>
      <c r="AH161" s="20">
        <f t="shared" si="56"/>
        <v>0</v>
      </c>
      <c r="AI161" s="20">
        <f>MAX(0,MIN(AB161,Parámetros!$B$11)-MAX(X161,0))+MAX(0,MIN(AB161,1+Parámetros!$B$11)-MAX(X161,AD161))+MAX(0,MIN(AB161,2)-MAX(X161,1+AD161))</f>
        <v>0</v>
      </c>
      <c r="AJ161" s="20">
        <f t="shared" si="57"/>
        <v>0</v>
      </c>
      <c r="AK161" s="20">
        <f>AE161*(MAX(0,MIN(AB161,Parámetros!$B$11)-MAX(X161,0))+MAX(0,MIN(AB161,1)-MAX(X161,AD161)))+AF161*(MAX(0,MIN(AB161,1+Parámetros!$B$11)-MAX(X161,1))+MAX(0,MIN(AB161,2)-MAX(X161,1+AD161)))</f>
        <v>0</v>
      </c>
      <c r="AL161" s="20">
        <f t="shared" si="58"/>
        <v>0</v>
      </c>
      <c r="AM161" s="20">
        <f>MAX(0,MIN(AC161,Parámetros!$B$11)-MAX(AB161,0))+MAX(0,MIN(AC161,1+Parámetros!$B$11)-MAX(AB161,AD161))+MAX(0,MIN(AC161,2)-MAX(AB161,1+AD161))</f>
        <v>0</v>
      </c>
      <c r="AN161" s="20">
        <f t="shared" si="59"/>
        <v>0</v>
      </c>
      <c r="AO161" s="20">
        <f>AE161*(MAX(0,MIN(AC161,Parámetros!$B$11)-MAX(AB161,0))+MAX(0,MIN(AC161,1)-MAX(AB161,AD161)))+AF161*(MAX(0,MIN(AC161,1+Parámetros!$B$11)-MAX(AB161,1))+MAX(0,MIN(AC161,2)-MAX(AB161,1+AD161)))</f>
        <v>0</v>
      </c>
    </row>
    <row r="162" spans="1:41" x14ac:dyDescent="0.25">
      <c r="A162" s="15"/>
      <c r="B162" s="8"/>
      <c r="C162" s="5" t="str">
        <f>IF(B162="","",IFERROR(INDEX(Trabajadores!$B$5:$B$204,MATCH(B162,Trabajadores!$A$5:$A$204,0)),"Cédula no registrada"))</f>
        <v/>
      </c>
      <c r="D162" s="11"/>
      <c r="E162" s="11"/>
      <c r="F162" s="8"/>
      <c r="G162" s="18" t="str">
        <f>IF(A162="","",IFERROR(INDEX(Trabajadores!$E$5:$E$204,MATCH(B162,Trabajadores!$A$5:$A$204,0))/Parámetros!$B$6,0)+IF(IFERROR(INDEX(Trabajadores!$E$5:$E$204,MATCH(B162,Trabajadores!$A$5:$A$204,0)),"")="",Parámetros!$B$7,0))</f>
        <v/>
      </c>
      <c r="H162" s="5" t="str">
        <f t="shared" si="40"/>
        <v/>
      </c>
      <c r="I162" s="5" t="str">
        <f>IF(A162="","",IF(COUNTIF(Festivos!$A$5:$A$451,A162)&gt;0,"Festivo",IF(WEEKDAY(A162,2)=7,"Domingo",IF(AND(AF162=1,AC162&gt;1),IF(COUNTIF(Festivos!$A$5:$A$451,A162+1)&gt;0,"Festivo","Domingo")&amp;" desde las 00:00",""))))</f>
        <v/>
      </c>
      <c r="J162" s="19" t="str">
        <f t="shared" si="41"/>
        <v/>
      </c>
      <c r="K162" s="19" t="str">
        <f t="shared" si="42"/>
        <v/>
      </c>
      <c r="L162" s="19" t="str">
        <f t="shared" si="43"/>
        <v/>
      </c>
      <c r="M162" s="19" t="str">
        <f t="shared" si="44"/>
        <v/>
      </c>
      <c r="N162" s="19" t="str">
        <f t="shared" si="45"/>
        <v/>
      </c>
      <c r="O162" s="19" t="str">
        <f t="shared" si="46"/>
        <v/>
      </c>
      <c r="P162" s="19" t="str">
        <f t="shared" si="47"/>
        <v/>
      </c>
      <c r="Q162" s="19" t="str">
        <f t="shared" si="48"/>
        <v/>
      </c>
      <c r="R162" s="19" t="str">
        <f t="shared" si="49"/>
        <v/>
      </c>
      <c r="S162" s="17" t="str">
        <f>IF(B162="","",IFERROR(INDEX(Trabajadores!$G$5:$G$204,MATCH(B162,Trabajadores!$A$5:$A$204,0)),""))</f>
        <v/>
      </c>
      <c r="T162" s="17" t="str">
        <f>IF(OR(OR(A162="",D162="",E162=""),S162=""),"",ROUND(S162*(N(L162)*Parámetros!$B$8+N(M162)*(1+Parámetros!$B$9)+N(N162)*(1+Parámetros!$B$10)+N(O162)*(1+AG162)+N(P162)*(1+AG162+Parámetros!$B$8)+N(Q162)*(1+AG162+Parámetros!$B$9)+N(R162)*(1+AG162+Parámetros!$B$10)),0))</f>
        <v/>
      </c>
      <c r="U162" s="5" t="str">
        <f>IF(OR(A162="",D162="",E162=""),"",IF(N(M162)+N(N162)+N(Q162)+N(R162)&gt;Parámetros!$B$12,"Supera el límite de horas extras diarias",IF(C162="Cédula no registrada","Registre la cédula en «Trabajadores»","")))</f>
        <v/>
      </c>
      <c r="X162" s="20">
        <f t="shared" si="50"/>
        <v>0</v>
      </c>
      <c r="Y162" s="20">
        <f t="shared" si="51"/>
        <v>0</v>
      </c>
      <c r="Z162" s="20">
        <f t="shared" si="52"/>
        <v>0</v>
      </c>
      <c r="AA162" s="20">
        <f t="shared" si="53"/>
        <v>0</v>
      </c>
      <c r="AB162" s="20">
        <f t="shared" si="54"/>
        <v>0</v>
      </c>
      <c r="AC162" s="20">
        <f t="shared" si="55"/>
        <v>0</v>
      </c>
      <c r="AD162" s="20">
        <f>IF(A162="",21/24,MOD(VLOOKUP(A162,Parámetros!$A$24:$B$25,2,TRUE()),1))</f>
        <v>0.875</v>
      </c>
      <c r="AE162" s="5">
        <f>IF(A162="",0,IF(OR(WEEKDAY(A162,2)=7,COUNTIF(Festivos!$A$5:$A$451,A162)&gt;0),1,0))</f>
        <v>0</v>
      </c>
      <c r="AF162" s="5">
        <f>IF(A162="",0,IF(OR(WEEKDAY(A162+1,2)=7,COUNTIF(Festivos!$A$5:$A$451,A162+1)&gt;0),1,0))</f>
        <v>0</v>
      </c>
      <c r="AG162" s="9">
        <f>IF(A162="",0,VLOOKUP(A162,Parámetros!$A$18:$B$21,2,TRUE()))</f>
        <v>0</v>
      </c>
      <c r="AH162" s="20">
        <f t="shared" si="56"/>
        <v>0</v>
      </c>
      <c r="AI162" s="20">
        <f>MAX(0,MIN(AB162,Parámetros!$B$11)-MAX(X162,0))+MAX(0,MIN(AB162,1+Parámetros!$B$11)-MAX(X162,AD162))+MAX(0,MIN(AB162,2)-MAX(X162,1+AD162))</f>
        <v>0</v>
      </c>
      <c r="AJ162" s="20">
        <f t="shared" si="57"/>
        <v>0</v>
      </c>
      <c r="AK162" s="20">
        <f>AE162*(MAX(0,MIN(AB162,Parámetros!$B$11)-MAX(X162,0))+MAX(0,MIN(AB162,1)-MAX(X162,AD162)))+AF162*(MAX(0,MIN(AB162,1+Parámetros!$B$11)-MAX(X162,1))+MAX(0,MIN(AB162,2)-MAX(X162,1+AD162)))</f>
        <v>0</v>
      </c>
      <c r="AL162" s="20">
        <f t="shared" si="58"/>
        <v>0</v>
      </c>
      <c r="AM162" s="20">
        <f>MAX(0,MIN(AC162,Parámetros!$B$11)-MAX(AB162,0))+MAX(0,MIN(AC162,1+Parámetros!$B$11)-MAX(AB162,AD162))+MAX(0,MIN(AC162,2)-MAX(AB162,1+AD162))</f>
        <v>0</v>
      </c>
      <c r="AN162" s="20">
        <f t="shared" si="59"/>
        <v>0</v>
      </c>
      <c r="AO162" s="20">
        <f>AE162*(MAX(0,MIN(AC162,Parámetros!$B$11)-MAX(AB162,0))+MAX(0,MIN(AC162,1)-MAX(AB162,AD162)))+AF162*(MAX(0,MIN(AC162,1+Parámetros!$B$11)-MAX(AB162,1))+MAX(0,MIN(AC162,2)-MAX(AB162,1+AD162)))</f>
        <v>0</v>
      </c>
    </row>
    <row r="163" spans="1:41" x14ac:dyDescent="0.25">
      <c r="A163" s="15"/>
      <c r="B163" s="8"/>
      <c r="C163" s="5" t="str">
        <f>IF(B163="","",IFERROR(INDEX(Trabajadores!$B$5:$B$204,MATCH(B163,Trabajadores!$A$5:$A$204,0)),"Cédula no registrada"))</f>
        <v/>
      </c>
      <c r="D163" s="11"/>
      <c r="E163" s="11"/>
      <c r="F163" s="8"/>
      <c r="G163" s="18" t="str">
        <f>IF(A163="","",IFERROR(INDEX(Trabajadores!$E$5:$E$204,MATCH(B163,Trabajadores!$A$5:$A$204,0))/Parámetros!$B$6,0)+IF(IFERROR(INDEX(Trabajadores!$E$5:$E$204,MATCH(B163,Trabajadores!$A$5:$A$204,0)),"")="",Parámetros!$B$7,0))</f>
        <v/>
      </c>
      <c r="H163" s="5" t="str">
        <f t="shared" si="40"/>
        <v/>
      </c>
      <c r="I163" s="5" t="str">
        <f>IF(A163="","",IF(COUNTIF(Festivos!$A$5:$A$451,A163)&gt;0,"Festivo",IF(WEEKDAY(A163,2)=7,"Domingo",IF(AND(AF163=1,AC163&gt;1),IF(COUNTIF(Festivos!$A$5:$A$451,A163+1)&gt;0,"Festivo","Domingo")&amp;" desde las 00:00",""))))</f>
        <v/>
      </c>
      <c r="J163" s="19" t="str">
        <f t="shared" si="41"/>
        <v/>
      </c>
      <c r="K163" s="19" t="str">
        <f t="shared" si="42"/>
        <v/>
      </c>
      <c r="L163" s="19" t="str">
        <f t="shared" si="43"/>
        <v/>
      </c>
      <c r="M163" s="19" t="str">
        <f t="shared" si="44"/>
        <v/>
      </c>
      <c r="N163" s="19" t="str">
        <f t="shared" si="45"/>
        <v/>
      </c>
      <c r="O163" s="19" t="str">
        <f t="shared" si="46"/>
        <v/>
      </c>
      <c r="P163" s="19" t="str">
        <f t="shared" si="47"/>
        <v/>
      </c>
      <c r="Q163" s="19" t="str">
        <f t="shared" si="48"/>
        <v/>
      </c>
      <c r="R163" s="19" t="str">
        <f t="shared" si="49"/>
        <v/>
      </c>
      <c r="S163" s="17" t="str">
        <f>IF(B163="","",IFERROR(INDEX(Trabajadores!$G$5:$G$204,MATCH(B163,Trabajadores!$A$5:$A$204,0)),""))</f>
        <v/>
      </c>
      <c r="T163" s="17" t="str">
        <f>IF(OR(OR(A163="",D163="",E163=""),S163=""),"",ROUND(S163*(N(L163)*Parámetros!$B$8+N(M163)*(1+Parámetros!$B$9)+N(N163)*(1+Parámetros!$B$10)+N(O163)*(1+AG163)+N(P163)*(1+AG163+Parámetros!$B$8)+N(Q163)*(1+AG163+Parámetros!$B$9)+N(R163)*(1+AG163+Parámetros!$B$10)),0))</f>
        <v/>
      </c>
      <c r="U163" s="5" t="str">
        <f>IF(OR(A163="",D163="",E163=""),"",IF(N(M163)+N(N163)+N(Q163)+N(R163)&gt;Parámetros!$B$12,"Supera el límite de horas extras diarias",IF(C163="Cédula no registrada","Registre la cédula en «Trabajadores»","")))</f>
        <v/>
      </c>
      <c r="X163" s="20">
        <f t="shared" si="50"/>
        <v>0</v>
      </c>
      <c r="Y163" s="20">
        <f t="shared" si="51"/>
        <v>0</v>
      </c>
      <c r="Z163" s="20">
        <f t="shared" si="52"/>
        <v>0</v>
      </c>
      <c r="AA163" s="20">
        <f t="shared" si="53"/>
        <v>0</v>
      </c>
      <c r="AB163" s="20">
        <f t="shared" si="54"/>
        <v>0</v>
      </c>
      <c r="AC163" s="20">
        <f t="shared" si="55"/>
        <v>0</v>
      </c>
      <c r="AD163" s="20">
        <f>IF(A163="",21/24,MOD(VLOOKUP(A163,Parámetros!$A$24:$B$25,2,TRUE()),1))</f>
        <v>0.875</v>
      </c>
      <c r="AE163" s="5">
        <f>IF(A163="",0,IF(OR(WEEKDAY(A163,2)=7,COUNTIF(Festivos!$A$5:$A$451,A163)&gt;0),1,0))</f>
        <v>0</v>
      </c>
      <c r="AF163" s="5">
        <f>IF(A163="",0,IF(OR(WEEKDAY(A163+1,2)=7,COUNTIF(Festivos!$A$5:$A$451,A163+1)&gt;0),1,0))</f>
        <v>0</v>
      </c>
      <c r="AG163" s="9">
        <f>IF(A163="",0,VLOOKUP(A163,Parámetros!$A$18:$B$21,2,TRUE()))</f>
        <v>0</v>
      </c>
      <c r="AH163" s="20">
        <f t="shared" si="56"/>
        <v>0</v>
      </c>
      <c r="AI163" s="20">
        <f>MAX(0,MIN(AB163,Parámetros!$B$11)-MAX(X163,0))+MAX(0,MIN(AB163,1+Parámetros!$B$11)-MAX(X163,AD163))+MAX(0,MIN(AB163,2)-MAX(X163,1+AD163))</f>
        <v>0</v>
      </c>
      <c r="AJ163" s="20">
        <f t="shared" si="57"/>
        <v>0</v>
      </c>
      <c r="AK163" s="20">
        <f>AE163*(MAX(0,MIN(AB163,Parámetros!$B$11)-MAX(X163,0))+MAX(0,MIN(AB163,1)-MAX(X163,AD163)))+AF163*(MAX(0,MIN(AB163,1+Parámetros!$B$11)-MAX(X163,1))+MAX(0,MIN(AB163,2)-MAX(X163,1+AD163)))</f>
        <v>0</v>
      </c>
      <c r="AL163" s="20">
        <f t="shared" si="58"/>
        <v>0</v>
      </c>
      <c r="AM163" s="20">
        <f>MAX(0,MIN(AC163,Parámetros!$B$11)-MAX(AB163,0))+MAX(0,MIN(AC163,1+Parámetros!$B$11)-MAX(AB163,AD163))+MAX(0,MIN(AC163,2)-MAX(AB163,1+AD163))</f>
        <v>0</v>
      </c>
      <c r="AN163" s="20">
        <f t="shared" si="59"/>
        <v>0</v>
      </c>
      <c r="AO163" s="20">
        <f>AE163*(MAX(0,MIN(AC163,Parámetros!$B$11)-MAX(AB163,0))+MAX(0,MIN(AC163,1)-MAX(AB163,AD163)))+AF163*(MAX(0,MIN(AC163,1+Parámetros!$B$11)-MAX(AB163,1))+MAX(0,MIN(AC163,2)-MAX(AB163,1+AD163)))</f>
        <v>0</v>
      </c>
    </row>
    <row r="164" spans="1:41" x14ac:dyDescent="0.25">
      <c r="A164" s="15"/>
      <c r="B164" s="8"/>
      <c r="C164" s="5" t="str">
        <f>IF(B164="","",IFERROR(INDEX(Trabajadores!$B$5:$B$204,MATCH(B164,Trabajadores!$A$5:$A$204,0)),"Cédula no registrada"))</f>
        <v/>
      </c>
      <c r="D164" s="11"/>
      <c r="E164" s="11"/>
      <c r="F164" s="8"/>
      <c r="G164" s="18" t="str">
        <f>IF(A164="","",IFERROR(INDEX(Trabajadores!$E$5:$E$204,MATCH(B164,Trabajadores!$A$5:$A$204,0))/Parámetros!$B$6,0)+IF(IFERROR(INDEX(Trabajadores!$E$5:$E$204,MATCH(B164,Trabajadores!$A$5:$A$204,0)),"")="",Parámetros!$B$7,0))</f>
        <v/>
      </c>
      <c r="H164" s="5" t="str">
        <f t="shared" si="40"/>
        <v/>
      </c>
      <c r="I164" s="5" t="str">
        <f>IF(A164="","",IF(COUNTIF(Festivos!$A$5:$A$451,A164)&gt;0,"Festivo",IF(WEEKDAY(A164,2)=7,"Domingo",IF(AND(AF164=1,AC164&gt;1),IF(COUNTIF(Festivos!$A$5:$A$451,A164+1)&gt;0,"Festivo","Domingo")&amp;" desde las 00:00",""))))</f>
        <v/>
      </c>
      <c r="J164" s="19" t="str">
        <f t="shared" si="41"/>
        <v/>
      </c>
      <c r="K164" s="19" t="str">
        <f t="shared" si="42"/>
        <v/>
      </c>
      <c r="L164" s="19" t="str">
        <f t="shared" si="43"/>
        <v/>
      </c>
      <c r="M164" s="19" t="str">
        <f t="shared" si="44"/>
        <v/>
      </c>
      <c r="N164" s="19" t="str">
        <f t="shared" si="45"/>
        <v/>
      </c>
      <c r="O164" s="19" t="str">
        <f t="shared" si="46"/>
        <v/>
      </c>
      <c r="P164" s="19" t="str">
        <f t="shared" si="47"/>
        <v/>
      </c>
      <c r="Q164" s="19" t="str">
        <f t="shared" si="48"/>
        <v/>
      </c>
      <c r="R164" s="19" t="str">
        <f t="shared" si="49"/>
        <v/>
      </c>
      <c r="S164" s="17" t="str">
        <f>IF(B164="","",IFERROR(INDEX(Trabajadores!$G$5:$G$204,MATCH(B164,Trabajadores!$A$5:$A$204,0)),""))</f>
        <v/>
      </c>
      <c r="T164" s="17" t="str">
        <f>IF(OR(OR(A164="",D164="",E164=""),S164=""),"",ROUND(S164*(N(L164)*Parámetros!$B$8+N(M164)*(1+Parámetros!$B$9)+N(N164)*(1+Parámetros!$B$10)+N(O164)*(1+AG164)+N(P164)*(1+AG164+Parámetros!$B$8)+N(Q164)*(1+AG164+Parámetros!$B$9)+N(R164)*(1+AG164+Parámetros!$B$10)),0))</f>
        <v/>
      </c>
      <c r="U164" s="5" t="str">
        <f>IF(OR(A164="",D164="",E164=""),"",IF(N(M164)+N(N164)+N(Q164)+N(R164)&gt;Parámetros!$B$12,"Supera el límite de horas extras diarias",IF(C164="Cédula no registrada","Registre la cédula en «Trabajadores»","")))</f>
        <v/>
      </c>
      <c r="X164" s="20">
        <f t="shared" si="50"/>
        <v>0</v>
      </c>
      <c r="Y164" s="20">
        <f t="shared" si="51"/>
        <v>0</v>
      </c>
      <c r="Z164" s="20">
        <f t="shared" si="52"/>
        <v>0</v>
      </c>
      <c r="AA164" s="20">
        <f t="shared" si="53"/>
        <v>0</v>
      </c>
      <c r="AB164" s="20">
        <f t="shared" si="54"/>
        <v>0</v>
      </c>
      <c r="AC164" s="20">
        <f t="shared" si="55"/>
        <v>0</v>
      </c>
      <c r="AD164" s="20">
        <f>IF(A164="",21/24,MOD(VLOOKUP(A164,Parámetros!$A$24:$B$25,2,TRUE()),1))</f>
        <v>0.875</v>
      </c>
      <c r="AE164" s="5">
        <f>IF(A164="",0,IF(OR(WEEKDAY(A164,2)=7,COUNTIF(Festivos!$A$5:$A$451,A164)&gt;0),1,0))</f>
        <v>0</v>
      </c>
      <c r="AF164" s="5">
        <f>IF(A164="",0,IF(OR(WEEKDAY(A164+1,2)=7,COUNTIF(Festivos!$A$5:$A$451,A164+1)&gt;0),1,0))</f>
        <v>0</v>
      </c>
      <c r="AG164" s="9">
        <f>IF(A164="",0,VLOOKUP(A164,Parámetros!$A$18:$B$21,2,TRUE()))</f>
        <v>0</v>
      </c>
      <c r="AH164" s="20">
        <f t="shared" si="56"/>
        <v>0</v>
      </c>
      <c r="AI164" s="20">
        <f>MAX(0,MIN(AB164,Parámetros!$B$11)-MAX(X164,0))+MAX(0,MIN(AB164,1+Parámetros!$B$11)-MAX(X164,AD164))+MAX(0,MIN(AB164,2)-MAX(X164,1+AD164))</f>
        <v>0</v>
      </c>
      <c r="AJ164" s="20">
        <f t="shared" si="57"/>
        <v>0</v>
      </c>
      <c r="AK164" s="20">
        <f>AE164*(MAX(0,MIN(AB164,Parámetros!$B$11)-MAX(X164,0))+MAX(0,MIN(AB164,1)-MAX(X164,AD164)))+AF164*(MAX(0,MIN(AB164,1+Parámetros!$B$11)-MAX(X164,1))+MAX(0,MIN(AB164,2)-MAX(X164,1+AD164)))</f>
        <v>0</v>
      </c>
      <c r="AL164" s="20">
        <f t="shared" si="58"/>
        <v>0</v>
      </c>
      <c r="AM164" s="20">
        <f>MAX(0,MIN(AC164,Parámetros!$B$11)-MAX(AB164,0))+MAX(0,MIN(AC164,1+Parámetros!$B$11)-MAX(AB164,AD164))+MAX(0,MIN(AC164,2)-MAX(AB164,1+AD164))</f>
        <v>0</v>
      </c>
      <c r="AN164" s="20">
        <f t="shared" si="59"/>
        <v>0</v>
      </c>
      <c r="AO164" s="20">
        <f>AE164*(MAX(0,MIN(AC164,Parámetros!$B$11)-MAX(AB164,0))+MAX(0,MIN(AC164,1)-MAX(AB164,AD164)))+AF164*(MAX(0,MIN(AC164,1+Parámetros!$B$11)-MAX(AB164,1))+MAX(0,MIN(AC164,2)-MAX(AB164,1+AD164)))</f>
        <v>0</v>
      </c>
    </row>
    <row r="165" spans="1:41" x14ac:dyDescent="0.25">
      <c r="A165" s="15"/>
      <c r="B165" s="8"/>
      <c r="C165" s="5" t="str">
        <f>IF(B165="","",IFERROR(INDEX(Trabajadores!$B$5:$B$204,MATCH(B165,Trabajadores!$A$5:$A$204,0)),"Cédula no registrada"))</f>
        <v/>
      </c>
      <c r="D165" s="11"/>
      <c r="E165" s="11"/>
      <c r="F165" s="8"/>
      <c r="G165" s="18" t="str">
        <f>IF(A165="","",IFERROR(INDEX(Trabajadores!$E$5:$E$204,MATCH(B165,Trabajadores!$A$5:$A$204,0))/Parámetros!$B$6,0)+IF(IFERROR(INDEX(Trabajadores!$E$5:$E$204,MATCH(B165,Trabajadores!$A$5:$A$204,0)),"")="",Parámetros!$B$7,0))</f>
        <v/>
      </c>
      <c r="H165" s="5" t="str">
        <f t="shared" si="40"/>
        <v/>
      </c>
      <c r="I165" s="5" t="str">
        <f>IF(A165="","",IF(COUNTIF(Festivos!$A$5:$A$451,A165)&gt;0,"Festivo",IF(WEEKDAY(A165,2)=7,"Domingo",IF(AND(AF165=1,AC165&gt;1),IF(COUNTIF(Festivos!$A$5:$A$451,A165+1)&gt;0,"Festivo","Domingo")&amp;" desde las 00:00",""))))</f>
        <v/>
      </c>
      <c r="J165" s="19" t="str">
        <f t="shared" si="41"/>
        <v/>
      </c>
      <c r="K165" s="19" t="str">
        <f t="shared" si="42"/>
        <v/>
      </c>
      <c r="L165" s="19" t="str">
        <f t="shared" si="43"/>
        <v/>
      </c>
      <c r="M165" s="19" t="str">
        <f t="shared" si="44"/>
        <v/>
      </c>
      <c r="N165" s="19" t="str">
        <f t="shared" si="45"/>
        <v/>
      </c>
      <c r="O165" s="19" t="str">
        <f t="shared" si="46"/>
        <v/>
      </c>
      <c r="P165" s="19" t="str">
        <f t="shared" si="47"/>
        <v/>
      </c>
      <c r="Q165" s="19" t="str">
        <f t="shared" si="48"/>
        <v/>
      </c>
      <c r="R165" s="19" t="str">
        <f t="shared" si="49"/>
        <v/>
      </c>
      <c r="S165" s="17" t="str">
        <f>IF(B165="","",IFERROR(INDEX(Trabajadores!$G$5:$G$204,MATCH(B165,Trabajadores!$A$5:$A$204,0)),""))</f>
        <v/>
      </c>
      <c r="T165" s="17" t="str">
        <f>IF(OR(OR(A165="",D165="",E165=""),S165=""),"",ROUND(S165*(N(L165)*Parámetros!$B$8+N(M165)*(1+Parámetros!$B$9)+N(N165)*(1+Parámetros!$B$10)+N(O165)*(1+AG165)+N(P165)*(1+AG165+Parámetros!$B$8)+N(Q165)*(1+AG165+Parámetros!$B$9)+N(R165)*(1+AG165+Parámetros!$B$10)),0))</f>
        <v/>
      </c>
      <c r="U165" s="5" t="str">
        <f>IF(OR(A165="",D165="",E165=""),"",IF(N(M165)+N(N165)+N(Q165)+N(R165)&gt;Parámetros!$B$12,"Supera el límite de horas extras diarias",IF(C165="Cédula no registrada","Registre la cédula en «Trabajadores»","")))</f>
        <v/>
      </c>
      <c r="X165" s="20">
        <f t="shared" si="50"/>
        <v>0</v>
      </c>
      <c r="Y165" s="20">
        <f t="shared" si="51"/>
        <v>0</v>
      </c>
      <c r="Z165" s="20">
        <f t="shared" si="52"/>
        <v>0</v>
      </c>
      <c r="AA165" s="20">
        <f t="shared" si="53"/>
        <v>0</v>
      </c>
      <c r="AB165" s="20">
        <f t="shared" si="54"/>
        <v>0</v>
      </c>
      <c r="AC165" s="20">
        <f t="shared" si="55"/>
        <v>0</v>
      </c>
      <c r="AD165" s="20">
        <f>IF(A165="",21/24,MOD(VLOOKUP(A165,Parámetros!$A$24:$B$25,2,TRUE()),1))</f>
        <v>0.875</v>
      </c>
      <c r="AE165" s="5">
        <f>IF(A165="",0,IF(OR(WEEKDAY(A165,2)=7,COUNTIF(Festivos!$A$5:$A$451,A165)&gt;0),1,0))</f>
        <v>0</v>
      </c>
      <c r="AF165" s="5">
        <f>IF(A165="",0,IF(OR(WEEKDAY(A165+1,2)=7,COUNTIF(Festivos!$A$5:$A$451,A165+1)&gt;0),1,0))</f>
        <v>0</v>
      </c>
      <c r="AG165" s="9">
        <f>IF(A165="",0,VLOOKUP(A165,Parámetros!$A$18:$B$21,2,TRUE()))</f>
        <v>0</v>
      </c>
      <c r="AH165" s="20">
        <f t="shared" si="56"/>
        <v>0</v>
      </c>
      <c r="AI165" s="20">
        <f>MAX(0,MIN(AB165,Parámetros!$B$11)-MAX(X165,0))+MAX(0,MIN(AB165,1+Parámetros!$B$11)-MAX(X165,AD165))+MAX(0,MIN(AB165,2)-MAX(X165,1+AD165))</f>
        <v>0</v>
      </c>
      <c r="AJ165" s="20">
        <f t="shared" si="57"/>
        <v>0</v>
      </c>
      <c r="AK165" s="20">
        <f>AE165*(MAX(0,MIN(AB165,Parámetros!$B$11)-MAX(X165,0))+MAX(0,MIN(AB165,1)-MAX(X165,AD165)))+AF165*(MAX(0,MIN(AB165,1+Parámetros!$B$11)-MAX(X165,1))+MAX(0,MIN(AB165,2)-MAX(X165,1+AD165)))</f>
        <v>0</v>
      </c>
      <c r="AL165" s="20">
        <f t="shared" si="58"/>
        <v>0</v>
      </c>
      <c r="AM165" s="20">
        <f>MAX(0,MIN(AC165,Parámetros!$B$11)-MAX(AB165,0))+MAX(0,MIN(AC165,1+Parámetros!$B$11)-MAX(AB165,AD165))+MAX(0,MIN(AC165,2)-MAX(AB165,1+AD165))</f>
        <v>0</v>
      </c>
      <c r="AN165" s="20">
        <f t="shared" si="59"/>
        <v>0</v>
      </c>
      <c r="AO165" s="20">
        <f>AE165*(MAX(0,MIN(AC165,Parámetros!$B$11)-MAX(AB165,0))+MAX(0,MIN(AC165,1)-MAX(AB165,AD165)))+AF165*(MAX(0,MIN(AC165,1+Parámetros!$B$11)-MAX(AB165,1))+MAX(0,MIN(AC165,2)-MAX(AB165,1+AD165)))</f>
        <v>0</v>
      </c>
    </row>
    <row r="166" spans="1:41" x14ac:dyDescent="0.25">
      <c r="A166" s="15"/>
      <c r="B166" s="8"/>
      <c r="C166" s="5" t="str">
        <f>IF(B166="","",IFERROR(INDEX(Trabajadores!$B$5:$B$204,MATCH(B166,Trabajadores!$A$5:$A$204,0)),"Cédula no registrada"))</f>
        <v/>
      </c>
      <c r="D166" s="11"/>
      <c r="E166" s="11"/>
      <c r="F166" s="8"/>
      <c r="G166" s="18" t="str">
        <f>IF(A166="","",IFERROR(INDEX(Trabajadores!$E$5:$E$204,MATCH(B166,Trabajadores!$A$5:$A$204,0))/Parámetros!$B$6,0)+IF(IFERROR(INDEX(Trabajadores!$E$5:$E$204,MATCH(B166,Trabajadores!$A$5:$A$204,0)),"")="",Parámetros!$B$7,0))</f>
        <v/>
      </c>
      <c r="H166" s="5" t="str">
        <f t="shared" si="40"/>
        <v/>
      </c>
      <c r="I166" s="5" t="str">
        <f>IF(A166="","",IF(COUNTIF(Festivos!$A$5:$A$451,A166)&gt;0,"Festivo",IF(WEEKDAY(A166,2)=7,"Domingo",IF(AND(AF166=1,AC166&gt;1),IF(COUNTIF(Festivos!$A$5:$A$451,A166+1)&gt;0,"Festivo","Domingo")&amp;" desde las 00:00",""))))</f>
        <v/>
      </c>
      <c r="J166" s="19" t="str">
        <f t="shared" si="41"/>
        <v/>
      </c>
      <c r="K166" s="19" t="str">
        <f t="shared" si="42"/>
        <v/>
      </c>
      <c r="L166" s="19" t="str">
        <f t="shared" si="43"/>
        <v/>
      </c>
      <c r="M166" s="19" t="str">
        <f t="shared" si="44"/>
        <v/>
      </c>
      <c r="N166" s="19" t="str">
        <f t="shared" si="45"/>
        <v/>
      </c>
      <c r="O166" s="19" t="str">
        <f t="shared" si="46"/>
        <v/>
      </c>
      <c r="P166" s="19" t="str">
        <f t="shared" si="47"/>
        <v/>
      </c>
      <c r="Q166" s="19" t="str">
        <f t="shared" si="48"/>
        <v/>
      </c>
      <c r="R166" s="19" t="str">
        <f t="shared" si="49"/>
        <v/>
      </c>
      <c r="S166" s="17" t="str">
        <f>IF(B166="","",IFERROR(INDEX(Trabajadores!$G$5:$G$204,MATCH(B166,Trabajadores!$A$5:$A$204,0)),""))</f>
        <v/>
      </c>
      <c r="T166" s="17" t="str">
        <f>IF(OR(OR(A166="",D166="",E166=""),S166=""),"",ROUND(S166*(N(L166)*Parámetros!$B$8+N(M166)*(1+Parámetros!$B$9)+N(N166)*(1+Parámetros!$B$10)+N(O166)*(1+AG166)+N(P166)*(1+AG166+Parámetros!$B$8)+N(Q166)*(1+AG166+Parámetros!$B$9)+N(R166)*(1+AG166+Parámetros!$B$10)),0))</f>
        <v/>
      </c>
      <c r="U166" s="5" t="str">
        <f>IF(OR(A166="",D166="",E166=""),"",IF(N(M166)+N(N166)+N(Q166)+N(R166)&gt;Parámetros!$B$12,"Supera el límite de horas extras diarias",IF(C166="Cédula no registrada","Registre la cédula en «Trabajadores»","")))</f>
        <v/>
      </c>
      <c r="X166" s="20">
        <f t="shared" si="50"/>
        <v>0</v>
      </c>
      <c r="Y166" s="20">
        <f t="shared" si="51"/>
        <v>0</v>
      </c>
      <c r="Z166" s="20">
        <f t="shared" si="52"/>
        <v>0</v>
      </c>
      <c r="AA166" s="20">
        <f t="shared" si="53"/>
        <v>0</v>
      </c>
      <c r="AB166" s="20">
        <f t="shared" si="54"/>
        <v>0</v>
      </c>
      <c r="AC166" s="20">
        <f t="shared" si="55"/>
        <v>0</v>
      </c>
      <c r="AD166" s="20">
        <f>IF(A166="",21/24,MOD(VLOOKUP(A166,Parámetros!$A$24:$B$25,2,TRUE()),1))</f>
        <v>0.875</v>
      </c>
      <c r="AE166" s="5">
        <f>IF(A166="",0,IF(OR(WEEKDAY(A166,2)=7,COUNTIF(Festivos!$A$5:$A$451,A166)&gt;0),1,0))</f>
        <v>0</v>
      </c>
      <c r="AF166" s="5">
        <f>IF(A166="",0,IF(OR(WEEKDAY(A166+1,2)=7,COUNTIF(Festivos!$A$5:$A$451,A166+1)&gt;0),1,0))</f>
        <v>0</v>
      </c>
      <c r="AG166" s="9">
        <f>IF(A166="",0,VLOOKUP(A166,Parámetros!$A$18:$B$21,2,TRUE()))</f>
        <v>0</v>
      </c>
      <c r="AH166" s="20">
        <f t="shared" si="56"/>
        <v>0</v>
      </c>
      <c r="AI166" s="20">
        <f>MAX(0,MIN(AB166,Parámetros!$B$11)-MAX(X166,0))+MAX(0,MIN(AB166,1+Parámetros!$B$11)-MAX(X166,AD166))+MAX(0,MIN(AB166,2)-MAX(X166,1+AD166))</f>
        <v>0</v>
      </c>
      <c r="AJ166" s="20">
        <f t="shared" si="57"/>
        <v>0</v>
      </c>
      <c r="AK166" s="20">
        <f>AE166*(MAX(0,MIN(AB166,Parámetros!$B$11)-MAX(X166,0))+MAX(0,MIN(AB166,1)-MAX(X166,AD166)))+AF166*(MAX(0,MIN(AB166,1+Parámetros!$B$11)-MAX(X166,1))+MAX(0,MIN(AB166,2)-MAX(X166,1+AD166)))</f>
        <v>0</v>
      </c>
      <c r="AL166" s="20">
        <f t="shared" si="58"/>
        <v>0</v>
      </c>
      <c r="AM166" s="20">
        <f>MAX(0,MIN(AC166,Parámetros!$B$11)-MAX(AB166,0))+MAX(0,MIN(AC166,1+Parámetros!$B$11)-MAX(AB166,AD166))+MAX(0,MIN(AC166,2)-MAX(AB166,1+AD166))</f>
        <v>0</v>
      </c>
      <c r="AN166" s="20">
        <f t="shared" si="59"/>
        <v>0</v>
      </c>
      <c r="AO166" s="20">
        <f>AE166*(MAX(0,MIN(AC166,Parámetros!$B$11)-MAX(AB166,0))+MAX(0,MIN(AC166,1)-MAX(AB166,AD166)))+AF166*(MAX(0,MIN(AC166,1+Parámetros!$B$11)-MAX(AB166,1))+MAX(0,MIN(AC166,2)-MAX(AB166,1+AD166)))</f>
        <v>0</v>
      </c>
    </row>
    <row r="167" spans="1:41" x14ac:dyDescent="0.25">
      <c r="A167" s="15"/>
      <c r="B167" s="8"/>
      <c r="C167" s="5" t="str">
        <f>IF(B167="","",IFERROR(INDEX(Trabajadores!$B$5:$B$204,MATCH(B167,Trabajadores!$A$5:$A$204,0)),"Cédula no registrada"))</f>
        <v/>
      </c>
      <c r="D167" s="11"/>
      <c r="E167" s="11"/>
      <c r="F167" s="8"/>
      <c r="G167" s="18" t="str">
        <f>IF(A167="","",IFERROR(INDEX(Trabajadores!$E$5:$E$204,MATCH(B167,Trabajadores!$A$5:$A$204,0))/Parámetros!$B$6,0)+IF(IFERROR(INDEX(Trabajadores!$E$5:$E$204,MATCH(B167,Trabajadores!$A$5:$A$204,0)),"")="",Parámetros!$B$7,0))</f>
        <v/>
      </c>
      <c r="H167" s="5" t="str">
        <f t="shared" si="40"/>
        <v/>
      </c>
      <c r="I167" s="5" t="str">
        <f>IF(A167="","",IF(COUNTIF(Festivos!$A$5:$A$451,A167)&gt;0,"Festivo",IF(WEEKDAY(A167,2)=7,"Domingo",IF(AND(AF167=1,AC167&gt;1),IF(COUNTIF(Festivos!$A$5:$A$451,A167+1)&gt;0,"Festivo","Domingo")&amp;" desde las 00:00",""))))</f>
        <v/>
      </c>
      <c r="J167" s="19" t="str">
        <f t="shared" si="41"/>
        <v/>
      </c>
      <c r="K167" s="19" t="str">
        <f t="shared" si="42"/>
        <v/>
      </c>
      <c r="L167" s="19" t="str">
        <f t="shared" si="43"/>
        <v/>
      </c>
      <c r="M167" s="19" t="str">
        <f t="shared" si="44"/>
        <v/>
      </c>
      <c r="N167" s="19" t="str">
        <f t="shared" si="45"/>
        <v/>
      </c>
      <c r="O167" s="19" t="str">
        <f t="shared" si="46"/>
        <v/>
      </c>
      <c r="P167" s="19" t="str">
        <f t="shared" si="47"/>
        <v/>
      </c>
      <c r="Q167" s="19" t="str">
        <f t="shared" si="48"/>
        <v/>
      </c>
      <c r="R167" s="19" t="str">
        <f t="shared" si="49"/>
        <v/>
      </c>
      <c r="S167" s="17" t="str">
        <f>IF(B167="","",IFERROR(INDEX(Trabajadores!$G$5:$G$204,MATCH(B167,Trabajadores!$A$5:$A$204,0)),""))</f>
        <v/>
      </c>
      <c r="T167" s="17" t="str">
        <f>IF(OR(OR(A167="",D167="",E167=""),S167=""),"",ROUND(S167*(N(L167)*Parámetros!$B$8+N(M167)*(1+Parámetros!$B$9)+N(N167)*(1+Parámetros!$B$10)+N(O167)*(1+AG167)+N(P167)*(1+AG167+Parámetros!$B$8)+N(Q167)*(1+AG167+Parámetros!$B$9)+N(R167)*(1+AG167+Parámetros!$B$10)),0))</f>
        <v/>
      </c>
      <c r="U167" s="5" t="str">
        <f>IF(OR(A167="",D167="",E167=""),"",IF(N(M167)+N(N167)+N(Q167)+N(R167)&gt;Parámetros!$B$12,"Supera el límite de horas extras diarias",IF(C167="Cédula no registrada","Registre la cédula en «Trabajadores»","")))</f>
        <v/>
      </c>
      <c r="X167" s="20">
        <f t="shared" si="50"/>
        <v>0</v>
      </c>
      <c r="Y167" s="20">
        <f t="shared" si="51"/>
        <v>0</v>
      </c>
      <c r="Z167" s="20">
        <f t="shared" si="52"/>
        <v>0</v>
      </c>
      <c r="AA167" s="20">
        <f t="shared" si="53"/>
        <v>0</v>
      </c>
      <c r="AB167" s="20">
        <f t="shared" si="54"/>
        <v>0</v>
      </c>
      <c r="AC167" s="20">
        <f t="shared" si="55"/>
        <v>0</v>
      </c>
      <c r="AD167" s="20">
        <f>IF(A167="",21/24,MOD(VLOOKUP(A167,Parámetros!$A$24:$B$25,2,TRUE()),1))</f>
        <v>0.875</v>
      </c>
      <c r="AE167" s="5">
        <f>IF(A167="",0,IF(OR(WEEKDAY(A167,2)=7,COUNTIF(Festivos!$A$5:$A$451,A167)&gt;0),1,0))</f>
        <v>0</v>
      </c>
      <c r="AF167" s="5">
        <f>IF(A167="",0,IF(OR(WEEKDAY(A167+1,2)=7,COUNTIF(Festivos!$A$5:$A$451,A167+1)&gt;0),1,0))</f>
        <v>0</v>
      </c>
      <c r="AG167" s="9">
        <f>IF(A167="",0,VLOOKUP(A167,Parámetros!$A$18:$B$21,2,TRUE()))</f>
        <v>0</v>
      </c>
      <c r="AH167" s="20">
        <f t="shared" si="56"/>
        <v>0</v>
      </c>
      <c r="AI167" s="20">
        <f>MAX(0,MIN(AB167,Parámetros!$B$11)-MAX(X167,0))+MAX(0,MIN(AB167,1+Parámetros!$B$11)-MAX(X167,AD167))+MAX(0,MIN(AB167,2)-MAX(X167,1+AD167))</f>
        <v>0</v>
      </c>
      <c r="AJ167" s="20">
        <f t="shared" si="57"/>
        <v>0</v>
      </c>
      <c r="AK167" s="20">
        <f>AE167*(MAX(0,MIN(AB167,Parámetros!$B$11)-MAX(X167,0))+MAX(0,MIN(AB167,1)-MAX(X167,AD167)))+AF167*(MAX(0,MIN(AB167,1+Parámetros!$B$11)-MAX(X167,1))+MAX(0,MIN(AB167,2)-MAX(X167,1+AD167)))</f>
        <v>0</v>
      </c>
      <c r="AL167" s="20">
        <f t="shared" si="58"/>
        <v>0</v>
      </c>
      <c r="AM167" s="20">
        <f>MAX(0,MIN(AC167,Parámetros!$B$11)-MAX(AB167,0))+MAX(0,MIN(AC167,1+Parámetros!$B$11)-MAX(AB167,AD167))+MAX(0,MIN(AC167,2)-MAX(AB167,1+AD167))</f>
        <v>0</v>
      </c>
      <c r="AN167" s="20">
        <f t="shared" si="59"/>
        <v>0</v>
      </c>
      <c r="AO167" s="20">
        <f>AE167*(MAX(0,MIN(AC167,Parámetros!$B$11)-MAX(AB167,0))+MAX(0,MIN(AC167,1)-MAX(AB167,AD167)))+AF167*(MAX(0,MIN(AC167,1+Parámetros!$B$11)-MAX(AB167,1))+MAX(0,MIN(AC167,2)-MAX(AB167,1+AD167)))</f>
        <v>0</v>
      </c>
    </row>
    <row r="168" spans="1:41" x14ac:dyDescent="0.25">
      <c r="A168" s="15"/>
      <c r="B168" s="8"/>
      <c r="C168" s="5" t="str">
        <f>IF(B168="","",IFERROR(INDEX(Trabajadores!$B$5:$B$204,MATCH(B168,Trabajadores!$A$5:$A$204,0)),"Cédula no registrada"))</f>
        <v/>
      </c>
      <c r="D168" s="11"/>
      <c r="E168" s="11"/>
      <c r="F168" s="8"/>
      <c r="G168" s="18" t="str">
        <f>IF(A168="","",IFERROR(INDEX(Trabajadores!$E$5:$E$204,MATCH(B168,Trabajadores!$A$5:$A$204,0))/Parámetros!$B$6,0)+IF(IFERROR(INDEX(Trabajadores!$E$5:$E$204,MATCH(B168,Trabajadores!$A$5:$A$204,0)),"")="",Parámetros!$B$7,0))</f>
        <v/>
      </c>
      <c r="H168" s="5" t="str">
        <f t="shared" si="40"/>
        <v/>
      </c>
      <c r="I168" s="5" t="str">
        <f>IF(A168="","",IF(COUNTIF(Festivos!$A$5:$A$451,A168)&gt;0,"Festivo",IF(WEEKDAY(A168,2)=7,"Domingo",IF(AND(AF168=1,AC168&gt;1),IF(COUNTIF(Festivos!$A$5:$A$451,A168+1)&gt;0,"Festivo","Domingo")&amp;" desde las 00:00",""))))</f>
        <v/>
      </c>
      <c r="J168" s="19" t="str">
        <f t="shared" si="41"/>
        <v/>
      </c>
      <c r="K168" s="19" t="str">
        <f t="shared" si="42"/>
        <v/>
      </c>
      <c r="L168" s="19" t="str">
        <f t="shared" si="43"/>
        <v/>
      </c>
      <c r="M168" s="19" t="str">
        <f t="shared" si="44"/>
        <v/>
      </c>
      <c r="N168" s="19" t="str">
        <f t="shared" si="45"/>
        <v/>
      </c>
      <c r="O168" s="19" t="str">
        <f t="shared" si="46"/>
        <v/>
      </c>
      <c r="P168" s="19" t="str">
        <f t="shared" si="47"/>
        <v/>
      </c>
      <c r="Q168" s="19" t="str">
        <f t="shared" si="48"/>
        <v/>
      </c>
      <c r="R168" s="19" t="str">
        <f t="shared" si="49"/>
        <v/>
      </c>
      <c r="S168" s="17" t="str">
        <f>IF(B168="","",IFERROR(INDEX(Trabajadores!$G$5:$G$204,MATCH(B168,Trabajadores!$A$5:$A$204,0)),""))</f>
        <v/>
      </c>
      <c r="T168" s="17" t="str">
        <f>IF(OR(OR(A168="",D168="",E168=""),S168=""),"",ROUND(S168*(N(L168)*Parámetros!$B$8+N(M168)*(1+Parámetros!$B$9)+N(N168)*(1+Parámetros!$B$10)+N(O168)*(1+AG168)+N(P168)*(1+AG168+Parámetros!$B$8)+N(Q168)*(1+AG168+Parámetros!$B$9)+N(R168)*(1+AG168+Parámetros!$B$10)),0))</f>
        <v/>
      </c>
      <c r="U168" s="5" t="str">
        <f>IF(OR(A168="",D168="",E168=""),"",IF(N(M168)+N(N168)+N(Q168)+N(R168)&gt;Parámetros!$B$12,"Supera el límite de horas extras diarias",IF(C168="Cédula no registrada","Registre la cédula en «Trabajadores»","")))</f>
        <v/>
      </c>
      <c r="X168" s="20">
        <f t="shared" si="50"/>
        <v>0</v>
      </c>
      <c r="Y168" s="20">
        <f t="shared" si="51"/>
        <v>0</v>
      </c>
      <c r="Z168" s="20">
        <f t="shared" si="52"/>
        <v>0</v>
      </c>
      <c r="AA168" s="20">
        <f t="shared" si="53"/>
        <v>0</v>
      </c>
      <c r="AB168" s="20">
        <f t="shared" si="54"/>
        <v>0</v>
      </c>
      <c r="AC168" s="20">
        <f t="shared" si="55"/>
        <v>0</v>
      </c>
      <c r="AD168" s="20">
        <f>IF(A168="",21/24,MOD(VLOOKUP(A168,Parámetros!$A$24:$B$25,2,TRUE()),1))</f>
        <v>0.875</v>
      </c>
      <c r="AE168" s="5">
        <f>IF(A168="",0,IF(OR(WEEKDAY(A168,2)=7,COUNTIF(Festivos!$A$5:$A$451,A168)&gt;0),1,0))</f>
        <v>0</v>
      </c>
      <c r="AF168" s="5">
        <f>IF(A168="",0,IF(OR(WEEKDAY(A168+1,2)=7,COUNTIF(Festivos!$A$5:$A$451,A168+1)&gt;0),1,0))</f>
        <v>0</v>
      </c>
      <c r="AG168" s="9">
        <f>IF(A168="",0,VLOOKUP(A168,Parámetros!$A$18:$B$21,2,TRUE()))</f>
        <v>0</v>
      </c>
      <c r="AH168" s="20">
        <f t="shared" si="56"/>
        <v>0</v>
      </c>
      <c r="AI168" s="20">
        <f>MAX(0,MIN(AB168,Parámetros!$B$11)-MAX(X168,0))+MAX(0,MIN(AB168,1+Parámetros!$B$11)-MAX(X168,AD168))+MAX(0,MIN(AB168,2)-MAX(X168,1+AD168))</f>
        <v>0</v>
      </c>
      <c r="AJ168" s="20">
        <f t="shared" si="57"/>
        <v>0</v>
      </c>
      <c r="AK168" s="20">
        <f>AE168*(MAX(0,MIN(AB168,Parámetros!$B$11)-MAX(X168,0))+MAX(0,MIN(AB168,1)-MAX(X168,AD168)))+AF168*(MAX(0,MIN(AB168,1+Parámetros!$B$11)-MAX(X168,1))+MAX(0,MIN(AB168,2)-MAX(X168,1+AD168)))</f>
        <v>0</v>
      </c>
      <c r="AL168" s="20">
        <f t="shared" si="58"/>
        <v>0</v>
      </c>
      <c r="AM168" s="20">
        <f>MAX(0,MIN(AC168,Parámetros!$B$11)-MAX(AB168,0))+MAX(0,MIN(AC168,1+Parámetros!$B$11)-MAX(AB168,AD168))+MAX(0,MIN(AC168,2)-MAX(AB168,1+AD168))</f>
        <v>0</v>
      </c>
      <c r="AN168" s="20">
        <f t="shared" si="59"/>
        <v>0</v>
      </c>
      <c r="AO168" s="20">
        <f>AE168*(MAX(0,MIN(AC168,Parámetros!$B$11)-MAX(AB168,0))+MAX(0,MIN(AC168,1)-MAX(AB168,AD168)))+AF168*(MAX(0,MIN(AC168,1+Parámetros!$B$11)-MAX(AB168,1))+MAX(0,MIN(AC168,2)-MAX(AB168,1+AD168)))</f>
        <v>0</v>
      </c>
    </row>
    <row r="169" spans="1:41" x14ac:dyDescent="0.25">
      <c r="A169" s="15"/>
      <c r="B169" s="8"/>
      <c r="C169" s="5" t="str">
        <f>IF(B169="","",IFERROR(INDEX(Trabajadores!$B$5:$B$204,MATCH(B169,Trabajadores!$A$5:$A$204,0)),"Cédula no registrada"))</f>
        <v/>
      </c>
      <c r="D169" s="11"/>
      <c r="E169" s="11"/>
      <c r="F169" s="8"/>
      <c r="G169" s="18" t="str">
        <f>IF(A169="","",IFERROR(INDEX(Trabajadores!$E$5:$E$204,MATCH(B169,Trabajadores!$A$5:$A$204,0))/Parámetros!$B$6,0)+IF(IFERROR(INDEX(Trabajadores!$E$5:$E$204,MATCH(B169,Trabajadores!$A$5:$A$204,0)),"")="",Parámetros!$B$7,0))</f>
        <v/>
      </c>
      <c r="H169" s="5" t="str">
        <f t="shared" si="40"/>
        <v/>
      </c>
      <c r="I169" s="5" t="str">
        <f>IF(A169="","",IF(COUNTIF(Festivos!$A$5:$A$451,A169)&gt;0,"Festivo",IF(WEEKDAY(A169,2)=7,"Domingo",IF(AND(AF169=1,AC169&gt;1),IF(COUNTIF(Festivos!$A$5:$A$451,A169+1)&gt;0,"Festivo","Domingo")&amp;" desde las 00:00",""))))</f>
        <v/>
      </c>
      <c r="J169" s="19" t="str">
        <f t="shared" si="41"/>
        <v/>
      </c>
      <c r="K169" s="19" t="str">
        <f t="shared" si="42"/>
        <v/>
      </c>
      <c r="L169" s="19" t="str">
        <f t="shared" si="43"/>
        <v/>
      </c>
      <c r="M169" s="19" t="str">
        <f t="shared" si="44"/>
        <v/>
      </c>
      <c r="N169" s="19" t="str">
        <f t="shared" si="45"/>
        <v/>
      </c>
      <c r="O169" s="19" t="str">
        <f t="shared" si="46"/>
        <v/>
      </c>
      <c r="P169" s="19" t="str">
        <f t="shared" si="47"/>
        <v/>
      </c>
      <c r="Q169" s="19" t="str">
        <f t="shared" si="48"/>
        <v/>
      </c>
      <c r="R169" s="19" t="str">
        <f t="shared" si="49"/>
        <v/>
      </c>
      <c r="S169" s="17" t="str">
        <f>IF(B169="","",IFERROR(INDEX(Trabajadores!$G$5:$G$204,MATCH(B169,Trabajadores!$A$5:$A$204,0)),""))</f>
        <v/>
      </c>
      <c r="T169" s="17" t="str">
        <f>IF(OR(OR(A169="",D169="",E169=""),S169=""),"",ROUND(S169*(N(L169)*Parámetros!$B$8+N(M169)*(1+Parámetros!$B$9)+N(N169)*(1+Parámetros!$B$10)+N(O169)*(1+AG169)+N(P169)*(1+AG169+Parámetros!$B$8)+N(Q169)*(1+AG169+Parámetros!$B$9)+N(R169)*(1+AG169+Parámetros!$B$10)),0))</f>
        <v/>
      </c>
      <c r="U169" s="5" t="str">
        <f>IF(OR(A169="",D169="",E169=""),"",IF(N(M169)+N(N169)+N(Q169)+N(R169)&gt;Parámetros!$B$12,"Supera el límite de horas extras diarias",IF(C169="Cédula no registrada","Registre la cédula en «Trabajadores»","")))</f>
        <v/>
      </c>
      <c r="X169" s="20">
        <f t="shared" si="50"/>
        <v>0</v>
      </c>
      <c r="Y169" s="20">
        <f t="shared" si="51"/>
        <v>0</v>
      </c>
      <c r="Z169" s="20">
        <f t="shared" si="52"/>
        <v>0</v>
      </c>
      <c r="AA169" s="20">
        <f t="shared" si="53"/>
        <v>0</v>
      </c>
      <c r="AB169" s="20">
        <f t="shared" si="54"/>
        <v>0</v>
      </c>
      <c r="AC169" s="20">
        <f t="shared" si="55"/>
        <v>0</v>
      </c>
      <c r="AD169" s="20">
        <f>IF(A169="",21/24,MOD(VLOOKUP(A169,Parámetros!$A$24:$B$25,2,TRUE()),1))</f>
        <v>0.875</v>
      </c>
      <c r="AE169" s="5">
        <f>IF(A169="",0,IF(OR(WEEKDAY(A169,2)=7,COUNTIF(Festivos!$A$5:$A$451,A169)&gt;0),1,0))</f>
        <v>0</v>
      </c>
      <c r="AF169" s="5">
        <f>IF(A169="",0,IF(OR(WEEKDAY(A169+1,2)=7,COUNTIF(Festivos!$A$5:$A$451,A169+1)&gt;0),1,0))</f>
        <v>0</v>
      </c>
      <c r="AG169" s="9">
        <f>IF(A169="",0,VLOOKUP(A169,Parámetros!$A$18:$B$21,2,TRUE()))</f>
        <v>0</v>
      </c>
      <c r="AH169" s="20">
        <f t="shared" si="56"/>
        <v>0</v>
      </c>
      <c r="AI169" s="20">
        <f>MAX(0,MIN(AB169,Parámetros!$B$11)-MAX(X169,0))+MAX(0,MIN(AB169,1+Parámetros!$B$11)-MAX(X169,AD169))+MAX(0,MIN(AB169,2)-MAX(X169,1+AD169))</f>
        <v>0</v>
      </c>
      <c r="AJ169" s="20">
        <f t="shared" si="57"/>
        <v>0</v>
      </c>
      <c r="AK169" s="20">
        <f>AE169*(MAX(0,MIN(AB169,Parámetros!$B$11)-MAX(X169,0))+MAX(0,MIN(AB169,1)-MAX(X169,AD169)))+AF169*(MAX(0,MIN(AB169,1+Parámetros!$B$11)-MAX(X169,1))+MAX(0,MIN(AB169,2)-MAX(X169,1+AD169)))</f>
        <v>0</v>
      </c>
      <c r="AL169" s="20">
        <f t="shared" si="58"/>
        <v>0</v>
      </c>
      <c r="AM169" s="20">
        <f>MAX(0,MIN(AC169,Parámetros!$B$11)-MAX(AB169,0))+MAX(0,MIN(AC169,1+Parámetros!$B$11)-MAX(AB169,AD169))+MAX(0,MIN(AC169,2)-MAX(AB169,1+AD169))</f>
        <v>0</v>
      </c>
      <c r="AN169" s="20">
        <f t="shared" si="59"/>
        <v>0</v>
      </c>
      <c r="AO169" s="20">
        <f>AE169*(MAX(0,MIN(AC169,Parámetros!$B$11)-MAX(AB169,0))+MAX(0,MIN(AC169,1)-MAX(AB169,AD169)))+AF169*(MAX(0,MIN(AC169,1+Parámetros!$B$11)-MAX(AB169,1))+MAX(0,MIN(AC169,2)-MAX(AB169,1+AD169)))</f>
        <v>0</v>
      </c>
    </row>
    <row r="170" spans="1:41" x14ac:dyDescent="0.25">
      <c r="A170" s="15"/>
      <c r="B170" s="8"/>
      <c r="C170" s="5" t="str">
        <f>IF(B170="","",IFERROR(INDEX(Trabajadores!$B$5:$B$204,MATCH(B170,Trabajadores!$A$5:$A$204,0)),"Cédula no registrada"))</f>
        <v/>
      </c>
      <c r="D170" s="11"/>
      <c r="E170" s="11"/>
      <c r="F170" s="8"/>
      <c r="G170" s="18" t="str">
        <f>IF(A170="","",IFERROR(INDEX(Trabajadores!$E$5:$E$204,MATCH(B170,Trabajadores!$A$5:$A$204,0))/Parámetros!$B$6,0)+IF(IFERROR(INDEX(Trabajadores!$E$5:$E$204,MATCH(B170,Trabajadores!$A$5:$A$204,0)),"")="",Parámetros!$B$7,0))</f>
        <v/>
      </c>
      <c r="H170" s="5" t="str">
        <f t="shared" si="40"/>
        <v/>
      </c>
      <c r="I170" s="5" t="str">
        <f>IF(A170="","",IF(COUNTIF(Festivos!$A$5:$A$451,A170)&gt;0,"Festivo",IF(WEEKDAY(A170,2)=7,"Domingo",IF(AND(AF170=1,AC170&gt;1),IF(COUNTIF(Festivos!$A$5:$A$451,A170+1)&gt;0,"Festivo","Domingo")&amp;" desde las 00:00",""))))</f>
        <v/>
      </c>
      <c r="J170" s="19" t="str">
        <f t="shared" si="41"/>
        <v/>
      </c>
      <c r="K170" s="19" t="str">
        <f t="shared" si="42"/>
        <v/>
      </c>
      <c r="L170" s="19" t="str">
        <f t="shared" si="43"/>
        <v/>
      </c>
      <c r="M170" s="19" t="str">
        <f t="shared" si="44"/>
        <v/>
      </c>
      <c r="N170" s="19" t="str">
        <f t="shared" si="45"/>
        <v/>
      </c>
      <c r="O170" s="19" t="str">
        <f t="shared" si="46"/>
        <v/>
      </c>
      <c r="P170" s="19" t="str">
        <f t="shared" si="47"/>
        <v/>
      </c>
      <c r="Q170" s="19" t="str">
        <f t="shared" si="48"/>
        <v/>
      </c>
      <c r="R170" s="19" t="str">
        <f t="shared" si="49"/>
        <v/>
      </c>
      <c r="S170" s="17" t="str">
        <f>IF(B170="","",IFERROR(INDEX(Trabajadores!$G$5:$G$204,MATCH(B170,Trabajadores!$A$5:$A$204,0)),""))</f>
        <v/>
      </c>
      <c r="T170" s="17" t="str">
        <f>IF(OR(OR(A170="",D170="",E170=""),S170=""),"",ROUND(S170*(N(L170)*Parámetros!$B$8+N(M170)*(1+Parámetros!$B$9)+N(N170)*(1+Parámetros!$B$10)+N(O170)*(1+AG170)+N(P170)*(1+AG170+Parámetros!$B$8)+N(Q170)*(1+AG170+Parámetros!$B$9)+N(R170)*(1+AG170+Parámetros!$B$10)),0))</f>
        <v/>
      </c>
      <c r="U170" s="5" t="str">
        <f>IF(OR(A170="",D170="",E170=""),"",IF(N(M170)+N(N170)+N(Q170)+N(R170)&gt;Parámetros!$B$12,"Supera el límite de horas extras diarias",IF(C170="Cédula no registrada","Registre la cédula en «Trabajadores»","")))</f>
        <v/>
      </c>
      <c r="X170" s="20">
        <f t="shared" si="50"/>
        <v>0</v>
      </c>
      <c r="Y170" s="20">
        <f t="shared" si="51"/>
        <v>0</v>
      </c>
      <c r="Z170" s="20">
        <f t="shared" si="52"/>
        <v>0</v>
      </c>
      <c r="AA170" s="20">
        <f t="shared" si="53"/>
        <v>0</v>
      </c>
      <c r="AB170" s="20">
        <f t="shared" si="54"/>
        <v>0</v>
      </c>
      <c r="AC170" s="20">
        <f t="shared" si="55"/>
        <v>0</v>
      </c>
      <c r="AD170" s="20">
        <f>IF(A170="",21/24,MOD(VLOOKUP(A170,Parámetros!$A$24:$B$25,2,TRUE()),1))</f>
        <v>0.875</v>
      </c>
      <c r="AE170" s="5">
        <f>IF(A170="",0,IF(OR(WEEKDAY(A170,2)=7,COUNTIF(Festivos!$A$5:$A$451,A170)&gt;0),1,0))</f>
        <v>0</v>
      </c>
      <c r="AF170" s="5">
        <f>IF(A170="",0,IF(OR(WEEKDAY(A170+1,2)=7,COUNTIF(Festivos!$A$5:$A$451,A170+1)&gt;0),1,0))</f>
        <v>0</v>
      </c>
      <c r="AG170" s="9">
        <f>IF(A170="",0,VLOOKUP(A170,Parámetros!$A$18:$B$21,2,TRUE()))</f>
        <v>0</v>
      </c>
      <c r="AH170" s="20">
        <f t="shared" si="56"/>
        <v>0</v>
      </c>
      <c r="AI170" s="20">
        <f>MAX(0,MIN(AB170,Parámetros!$B$11)-MAX(X170,0))+MAX(0,MIN(AB170,1+Parámetros!$B$11)-MAX(X170,AD170))+MAX(0,MIN(AB170,2)-MAX(X170,1+AD170))</f>
        <v>0</v>
      </c>
      <c r="AJ170" s="20">
        <f t="shared" si="57"/>
        <v>0</v>
      </c>
      <c r="AK170" s="20">
        <f>AE170*(MAX(0,MIN(AB170,Parámetros!$B$11)-MAX(X170,0))+MAX(0,MIN(AB170,1)-MAX(X170,AD170)))+AF170*(MAX(0,MIN(AB170,1+Parámetros!$B$11)-MAX(X170,1))+MAX(0,MIN(AB170,2)-MAX(X170,1+AD170)))</f>
        <v>0</v>
      </c>
      <c r="AL170" s="20">
        <f t="shared" si="58"/>
        <v>0</v>
      </c>
      <c r="AM170" s="20">
        <f>MAX(0,MIN(AC170,Parámetros!$B$11)-MAX(AB170,0))+MAX(0,MIN(AC170,1+Parámetros!$B$11)-MAX(AB170,AD170))+MAX(0,MIN(AC170,2)-MAX(AB170,1+AD170))</f>
        <v>0</v>
      </c>
      <c r="AN170" s="20">
        <f t="shared" si="59"/>
        <v>0</v>
      </c>
      <c r="AO170" s="20">
        <f>AE170*(MAX(0,MIN(AC170,Parámetros!$B$11)-MAX(AB170,0))+MAX(0,MIN(AC170,1)-MAX(AB170,AD170)))+AF170*(MAX(0,MIN(AC170,1+Parámetros!$B$11)-MAX(AB170,1))+MAX(0,MIN(AC170,2)-MAX(AB170,1+AD170)))</f>
        <v>0</v>
      </c>
    </row>
    <row r="171" spans="1:41" x14ac:dyDescent="0.25">
      <c r="A171" s="15"/>
      <c r="B171" s="8"/>
      <c r="C171" s="5" t="str">
        <f>IF(B171="","",IFERROR(INDEX(Trabajadores!$B$5:$B$204,MATCH(B171,Trabajadores!$A$5:$A$204,0)),"Cédula no registrada"))</f>
        <v/>
      </c>
      <c r="D171" s="11"/>
      <c r="E171" s="11"/>
      <c r="F171" s="8"/>
      <c r="G171" s="18" t="str">
        <f>IF(A171="","",IFERROR(INDEX(Trabajadores!$E$5:$E$204,MATCH(B171,Trabajadores!$A$5:$A$204,0))/Parámetros!$B$6,0)+IF(IFERROR(INDEX(Trabajadores!$E$5:$E$204,MATCH(B171,Trabajadores!$A$5:$A$204,0)),"")="",Parámetros!$B$7,0))</f>
        <v/>
      </c>
      <c r="H171" s="5" t="str">
        <f t="shared" si="40"/>
        <v/>
      </c>
      <c r="I171" s="5" t="str">
        <f>IF(A171="","",IF(COUNTIF(Festivos!$A$5:$A$451,A171)&gt;0,"Festivo",IF(WEEKDAY(A171,2)=7,"Domingo",IF(AND(AF171=1,AC171&gt;1),IF(COUNTIF(Festivos!$A$5:$A$451,A171+1)&gt;0,"Festivo","Domingo")&amp;" desde las 00:00",""))))</f>
        <v/>
      </c>
      <c r="J171" s="19" t="str">
        <f t="shared" si="41"/>
        <v/>
      </c>
      <c r="K171" s="19" t="str">
        <f t="shared" si="42"/>
        <v/>
      </c>
      <c r="L171" s="19" t="str">
        <f t="shared" si="43"/>
        <v/>
      </c>
      <c r="M171" s="19" t="str">
        <f t="shared" si="44"/>
        <v/>
      </c>
      <c r="N171" s="19" t="str">
        <f t="shared" si="45"/>
        <v/>
      </c>
      <c r="O171" s="19" t="str">
        <f t="shared" si="46"/>
        <v/>
      </c>
      <c r="P171" s="19" t="str">
        <f t="shared" si="47"/>
        <v/>
      </c>
      <c r="Q171" s="19" t="str">
        <f t="shared" si="48"/>
        <v/>
      </c>
      <c r="R171" s="19" t="str">
        <f t="shared" si="49"/>
        <v/>
      </c>
      <c r="S171" s="17" t="str">
        <f>IF(B171="","",IFERROR(INDEX(Trabajadores!$G$5:$G$204,MATCH(B171,Trabajadores!$A$5:$A$204,0)),""))</f>
        <v/>
      </c>
      <c r="T171" s="17" t="str">
        <f>IF(OR(OR(A171="",D171="",E171=""),S171=""),"",ROUND(S171*(N(L171)*Parámetros!$B$8+N(M171)*(1+Parámetros!$B$9)+N(N171)*(1+Parámetros!$B$10)+N(O171)*(1+AG171)+N(P171)*(1+AG171+Parámetros!$B$8)+N(Q171)*(1+AG171+Parámetros!$B$9)+N(R171)*(1+AG171+Parámetros!$B$10)),0))</f>
        <v/>
      </c>
      <c r="U171" s="5" t="str">
        <f>IF(OR(A171="",D171="",E171=""),"",IF(N(M171)+N(N171)+N(Q171)+N(R171)&gt;Parámetros!$B$12,"Supera el límite de horas extras diarias",IF(C171="Cédula no registrada","Registre la cédula en «Trabajadores»","")))</f>
        <v/>
      </c>
      <c r="X171" s="20">
        <f t="shared" si="50"/>
        <v>0</v>
      </c>
      <c r="Y171" s="20">
        <f t="shared" si="51"/>
        <v>0</v>
      </c>
      <c r="Z171" s="20">
        <f t="shared" si="52"/>
        <v>0</v>
      </c>
      <c r="AA171" s="20">
        <f t="shared" si="53"/>
        <v>0</v>
      </c>
      <c r="AB171" s="20">
        <f t="shared" si="54"/>
        <v>0</v>
      </c>
      <c r="AC171" s="20">
        <f t="shared" si="55"/>
        <v>0</v>
      </c>
      <c r="AD171" s="20">
        <f>IF(A171="",21/24,MOD(VLOOKUP(A171,Parámetros!$A$24:$B$25,2,TRUE()),1))</f>
        <v>0.875</v>
      </c>
      <c r="AE171" s="5">
        <f>IF(A171="",0,IF(OR(WEEKDAY(A171,2)=7,COUNTIF(Festivos!$A$5:$A$451,A171)&gt;0),1,0))</f>
        <v>0</v>
      </c>
      <c r="AF171" s="5">
        <f>IF(A171="",0,IF(OR(WEEKDAY(A171+1,2)=7,COUNTIF(Festivos!$A$5:$A$451,A171+1)&gt;0),1,0))</f>
        <v>0</v>
      </c>
      <c r="AG171" s="9">
        <f>IF(A171="",0,VLOOKUP(A171,Parámetros!$A$18:$B$21,2,TRUE()))</f>
        <v>0</v>
      </c>
      <c r="AH171" s="20">
        <f t="shared" si="56"/>
        <v>0</v>
      </c>
      <c r="AI171" s="20">
        <f>MAX(0,MIN(AB171,Parámetros!$B$11)-MAX(X171,0))+MAX(0,MIN(AB171,1+Parámetros!$B$11)-MAX(X171,AD171))+MAX(0,MIN(AB171,2)-MAX(X171,1+AD171))</f>
        <v>0</v>
      </c>
      <c r="AJ171" s="20">
        <f t="shared" si="57"/>
        <v>0</v>
      </c>
      <c r="AK171" s="20">
        <f>AE171*(MAX(0,MIN(AB171,Parámetros!$B$11)-MAX(X171,0))+MAX(0,MIN(AB171,1)-MAX(X171,AD171)))+AF171*(MAX(0,MIN(AB171,1+Parámetros!$B$11)-MAX(X171,1))+MAX(0,MIN(AB171,2)-MAX(X171,1+AD171)))</f>
        <v>0</v>
      </c>
      <c r="AL171" s="20">
        <f t="shared" si="58"/>
        <v>0</v>
      </c>
      <c r="AM171" s="20">
        <f>MAX(0,MIN(AC171,Parámetros!$B$11)-MAX(AB171,0))+MAX(0,MIN(AC171,1+Parámetros!$B$11)-MAX(AB171,AD171))+MAX(0,MIN(AC171,2)-MAX(AB171,1+AD171))</f>
        <v>0</v>
      </c>
      <c r="AN171" s="20">
        <f t="shared" si="59"/>
        <v>0</v>
      </c>
      <c r="AO171" s="20">
        <f>AE171*(MAX(0,MIN(AC171,Parámetros!$B$11)-MAX(AB171,0))+MAX(0,MIN(AC171,1)-MAX(AB171,AD171)))+AF171*(MAX(0,MIN(AC171,1+Parámetros!$B$11)-MAX(AB171,1))+MAX(0,MIN(AC171,2)-MAX(AB171,1+AD171)))</f>
        <v>0</v>
      </c>
    </row>
    <row r="172" spans="1:41" x14ac:dyDescent="0.25">
      <c r="A172" s="15"/>
      <c r="B172" s="8"/>
      <c r="C172" s="5" t="str">
        <f>IF(B172="","",IFERROR(INDEX(Trabajadores!$B$5:$B$204,MATCH(B172,Trabajadores!$A$5:$A$204,0)),"Cédula no registrada"))</f>
        <v/>
      </c>
      <c r="D172" s="11"/>
      <c r="E172" s="11"/>
      <c r="F172" s="8"/>
      <c r="G172" s="18" t="str">
        <f>IF(A172="","",IFERROR(INDEX(Trabajadores!$E$5:$E$204,MATCH(B172,Trabajadores!$A$5:$A$204,0))/Parámetros!$B$6,0)+IF(IFERROR(INDEX(Trabajadores!$E$5:$E$204,MATCH(B172,Trabajadores!$A$5:$A$204,0)),"")="",Parámetros!$B$7,0))</f>
        <v/>
      </c>
      <c r="H172" s="5" t="str">
        <f t="shared" si="40"/>
        <v/>
      </c>
      <c r="I172" s="5" t="str">
        <f>IF(A172="","",IF(COUNTIF(Festivos!$A$5:$A$451,A172)&gt;0,"Festivo",IF(WEEKDAY(A172,2)=7,"Domingo",IF(AND(AF172=1,AC172&gt;1),IF(COUNTIF(Festivos!$A$5:$A$451,A172+1)&gt;0,"Festivo","Domingo")&amp;" desde las 00:00",""))))</f>
        <v/>
      </c>
      <c r="J172" s="19" t="str">
        <f t="shared" si="41"/>
        <v/>
      </c>
      <c r="K172" s="19" t="str">
        <f t="shared" si="42"/>
        <v/>
      </c>
      <c r="L172" s="19" t="str">
        <f t="shared" si="43"/>
        <v/>
      </c>
      <c r="M172" s="19" t="str">
        <f t="shared" si="44"/>
        <v/>
      </c>
      <c r="N172" s="19" t="str">
        <f t="shared" si="45"/>
        <v/>
      </c>
      <c r="O172" s="19" t="str">
        <f t="shared" si="46"/>
        <v/>
      </c>
      <c r="P172" s="19" t="str">
        <f t="shared" si="47"/>
        <v/>
      </c>
      <c r="Q172" s="19" t="str">
        <f t="shared" si="48"/>
        <v/>
      </c>
      <c r="R172" s="19" t="str">
        <f t="shared" si="49"/>
        <v/>
      </c>
      <c r="S172" s="17" t="str">
        <f>IF(B172="","",IFERROR(INDEX(Trabajadores!$G$5:$G$204,MATCH(B172,Trabajadores!$A$5:$A$204,0)),""))</f>
        <v/>
      </c>
      <c r="T172" s="17" t="str">
        <f>IF(OR(OR(A172="",D172="",E172=""),S172=""),"",ROUND(S172*(N(L172)*Parámetros!$B$8+N(M172)*(1+Parámetros!$B$9)+N(N172)*(1+Parámetros!$B$10)+N(O172)*(1+AG172)+N(P172)*(1+AG172+Parámetros!$B$8)+N(Q172)*(1+AG172+Parámetros!$B$9)+N(R172)*(1+AG172+Parámetros!$B$10)),0))</f>
        <v/>
      </c>
      <c r="U172" s="5" t="str">
        <f>IF(OR(A172="",D172="",E172=""),"",IF(N(M172)+N(N172)+N(Q172)+N(R172)&gt;Parámetros!$B$12,"Supera el límite de horas extras diarias",IF(C172="Cédula no registrada","Registre la cédula en «Trabajadores»","")))</f>
        <v/>
      </c>
      <c r="X172" s="20">
        <f t="shared" si="50"/>
        <v>0</v>
      </c>
      <c r="Y172" s="20">
        <f t="shared" si="51"/>
        <v>0</v>
      </c>
      <c r="Z172" s="20">
        <f t="shared" si="52"/>
        <v>0</v>
      </c>
      <c r="AA172" s="20">
        <f t="shared" si="53"/>
        <v>0</v>
      </c>
      <c r="AB172" s="20">
        <f t="shared" si="54"/>
        <v>0</v>
      </c>
      <c r="AC172" s="20">
        <f t="shared" si="55"/>
        <v>0</v>
      </c>
      <c r="AD172" s="20">
        <f>IF(A172="",21/24,MOD(VLOOKUP(A172,Parámetros!$A$24:$B$25,2,TRUE()),1))</f>
        <v>0.875</v>
      </c>
      <c r="AE172" s="5">
        <f>IF(A172="",0,IF(OR(WEEKDAY(A172,2)=7,COUNTIF(Festivos!$A$5:$A$451,A172)&gt;0),1,0))</f>
        <v>0</v>
      </c>
      <c r="AF172" s="5">
        <f>IF(A172="",0,IF(OR(WEEKDAY(A172+1,2)=7,COUNTIF(Festivos!$A$5:$A$451,A172+1)&gt;0),1,0))</f>
        <v>0</v>
      </c>
      <c r="AG172" s="9">
        <f>IF(A172="",0,VLOOKUP(A172,Parámetros!$A$18:$B$21,2,TRUE()))</f>
        <v>0</v>
      </c>
      <c r="AH172" s="20">
        <f t="shared" si="56"/>
        <v>0</v>
      </c>
      <c r="AI172" s="20">
        <f>MAX(0,MIN(AB172,Parámetros!$B$11)-MAX(X172,0))+MAX(0,MIN(AB172,1+Parámetros!$B$11)-MAX(X172,AD172))+MAX(0,MIN(AB172,2)-MAX(X172,1+AD172))</f>
        <v>0</v>
      </c>
      <c r="AJ172" s="20">
        <f t="shared" si="57"/>
        <v>0</v>
      </c>
      <c r="AK172" s="20">
        <f>AE172*(MAX(0,MIN(AB172,Parámetros!$B$11)-MAX(X172,0))+MAX(0,MIN(AB172,1)-MAX(X172,AD172)))+AF172*(MAX(0,MIN(AB172,1+Parámetros!$B$11)-MAX(X172,1))+MAX(0,MIN(AB172,2)-MAX(X172,1+AD172)))</f>
        <v>0</v>
      </c>
      <c r="AL172" s="20">
        <f t="shared" si="58"/>
        <v>0</v>
      </c>
      <c r="AM172" s="20">
        <f>MAX(0,MIN(AC172,Parámetros!$B$11)-MAX(AB172,0))+MAX(0,MIN(AC172,1+Parámetros!$B$11)-MAX(AB172,AD172))+MAX(0,MIN(AC172,2)-MAX(AB172,1+AD172))</f>
        <v>0</v>
      </c>
      <c r="AN172" s="20">
        <f t="shared" si="59"/>
        <v>0</v>
      </c>
      <c r="AO172" s="20">
        <f>AE172*(MAX(0,MIN(AC172,Parámetros!$B$11)-MAX(AB172,0))+MAX(0,MIN(AC172,1)-MAX(AB172,AD172)))+AF172*(MAX(0,MIN(AC172,1+Parámetros!$B$11)-MAX(AB172,1))+MAX(0,MIN(AC172,2)-MAX(AB172,1+AD172)))</f>
        <v>0</v>
      </c>
    </row>
    <row r="173" spans="1:41" x14ac:dyDescent="0.25">
      <c r="A173" s="15"/>
      <c r="B173" s="8"/>
      <c r="C173" s="5" t="str">
        <f>IF(B173="","",IFERROR(INDEX(Trabajadores!$B$5:$B$204,MATCH(B173,Trabajadores!$A$5:$A$204,0)),"Cédula no registrada"))</f>
        <v/>
      </c>
      <c r="D173" s="11"/>
      <c r="E173" s="11"/>
      <c r="F173" s="8"/>
      <c r="G173" s="18" t="str">
        <f>IF(A173="","",IFERROR(INDEX(Trabajadores!$E$5:$E$204,MATCH(B173,Trabajadores!$A$5:$A$204,0))/Parámetros!$B$6,0)+IF(IFERROR(INDEX(Trabajadores!$E$5:$E$204,MATCH(B173,Trabajadores!$A$5:$A$204,0)),"")="",Parámetros!$B$7,0))</f>
        <v/>
      </c>
      <c r="H173" s="5" t="str">
        <f t="shared" si="40"/>
        <v/>
      </c>
      <c r="I173" s="5" t="str">
        <f>IF(A173="","",IF(COUNTIF(Festivos!$A$5:$A$451,A173)&gt;0,"Festivo",IF(WEEKDAY(A173,2)=7,"Domingo",IF(AND(AF173=1,AC173&gt;1),IF(COUNTIF(Festivos!$A$5:$A$451,A173+1)&gt;0,"Festivo","Domingo")&amp;" desde las 00:00",""))))</f>
        <v/>
      </c>
      <c r="J173" s="19" t="str">
        <f t="shared" si="41"/>
        <v/>
      </c>
      <c r="K173" s="19" t="str">
        <f t="shared" si="42"/>
        <v/>
      </c>
      <c r="L173" s="19" t="str">
        <f t="shared" si="43"/>
        <v/>
      </c>
      <c r="M173" s="19" t="str">
        <f t="shared" si="44"/>
        <v/>
      </c>
      <c r="N173" s="19" t="str">
        <f t="shared" si="45"/>
        <v/>
      </c>
      <c r="O173" s="19" t="str">
        <f t="shared" si="46"/>
        <v/>
      </c>
      <c r="P173" s="19" t="str">
        <f t="shared" si="47"/>
        <v/>
      </c>
      <c r="Q173" s="19" t="str">
        <f t="shared" si="48"/>
        <v/>
      </c>
      <c r="R173" s="19" t="str">
        <f t="shared" si="49"/>
        <v/>
      </c>
      <c r="S173" s="17" t="str">
        <f>IF(B173="","",IFERROR(INDEX(Trabajadores!$G$5:$G$204,MATCH(B173,Trabajadores!$A$5:$A$204,0)),""))</f>
        <v/>
      </c>
      <c r="T173" s="17" t="str">
        <f>IF(OR(OR(A173="",D173="",E173=""),S173=""),"",ROUND(S173*(N(L173)*Parámetros!$B$8+N(M173)*(1+Parámetros!$B$9)+N(N173)*(1+Parámetros!$B$10)+N(O173)*(1+AG173)+N(P173)*(1+AG173+Parámetros!$B$8)+N(Q173)*(1+AG173+Parámetros!$B$9)+N(R173)*(1+AG173+Parámetros!$B$10)),0))</f>
        <v/>
      </c>
      <c r="U173" s="5" t="str">
        <f>IF(OR(A173="",D173="",E173=""),"",IF(N(M173)+N(N173)+N(Q173)+N(R173)&gt;Parámetros!$B$12,"Supera el límite de horas extras diarias",IF(C173="Cédula no registrada","Registre la cédula en «Trabajadores»","")))</f>
        <v/>
      </c>
      <c r="X173" s="20">
        <f t="shared" si="50"/>
        <v>0</v>
      </c>
      <c r="Y173" s="20">
        <f t="shared" si="51"/>
        <v>0</v>
      </c>
      <c r="Z173" s="20">
        <f t="shared" si="52"/>
        <v>0</v>
      </c>
      <c r="AA173" s="20">
        <f t="shared" si="53"/>
        <v>0</v>
      </c>
      <c r="AB173" s="20">
        <f t="shared" si="54"/>
        <v>0</v>
      </c>
      <c r="AC173" s="20">
        <f t="shared" si="55"/>
        <v>0</v>
      </c>
      <c r="AD173" s="20">
        <f>IF(A173="",21/24,MOD(VLOOKUP(A173,Parámetros!$A$24:$B$25,2,TRUE()),1))</f>
        <v>0.875</v>
      </c>
      <c r="AE173" s="5">
        <f>IF(A173="",0,IF(OR(WEEKDAY(A173,2)=7,COUNTIF(Festivos!$A$5:$A$451,A173)&gt;0),1,0))</f>
        <v>0</v>
      </c>
      <c r="AF173" s="5">
        <f>IF(A173="",0,IF(OR(WEEKDAY(A173+1,2)=7,COUNTIF(Festivos!$A$5:$A$451,A173+1)&gt;0),1,0))</f>
        <v>0</v>
      </c>
      <c r="AG173" s="9">
        <f>IF(A173="",0,VLOOKUP(A173,Parámetros!$A$18:$B$21,2,TRUE()))</f>
        <v>0</v>
      </c>
      <c r="AH173" s="20">
        <f t="shared" si="56"/>
        <v>0</v>
      </c>
      <c r="AI173" s="20">
        <f>MAX(0,MIN(AB173,Parámetros!$B$11)-MAX(X173,0))+MAX(0,MIN(AB173,1+Parámetros!$B$11)-MAX(X173,AD173))+MAX(0,MIN(AB173,2)-MAX(X173,1+AD173))</f>
        <v>0</v>
      </c>
      <c r="AJ173" s="20">
        <f t="shared" si="57"/>
        <v>0</v>
      </c>
      <c r="AK173" s="20">
        <f>AE173*(MAX(0,MIN(AB173,Parámetros!$B$11)-MAX(X173,0))+MAX(0,MIN(AB173,1)-MAX(X173,AD173)))+AF173*(MAX(0,MIN(AB173,1+Parámetros!$B$11)-MAX(X173,1))+MAX(0,MIN(AB173,2)-MAX(X173,1+AD173)))</f>
        <v>0</v>
      </c>
      <c r="AL173" s="20">
        <f t="shared" si="58"/>
        <v>0</v>
      </c>
      <c r="AM173" s="20">
        <f>MAX(0,MIN(AC173,Parámetros!$B$11)-MAX(AB173,0))+MAX(0,MIN(AC173,1+Parámetros!$B$11)-MAX(AB173,AD173))+MAX(0,MIN(AC173,2)-MAX(AB173,1+AD173))</f>
        <v>0</v>
      </c>
      <c r="AN173" s="20">
        <f t="shared" si="59"/>
        <v>0</v>
      </c>
      <c r="AO173" s="20">
        <f>AE173*(MAX(0,MIN(AC173,Parámetros!$B$11)-MAX(AB173,0))+MAX(0,MIN(AC173,1)-MAX(AB173,AD173)))+AF173*(MAX(0,MIN(AC173,1+Parámetros!$B$11)-MAX(AB173,1))+MAX(0,MIN(AC173,2)-MAX(AB173,1+AD173)))</f>
        <v>0</v>
      </c>
    </row>
    <row r="174" spans="1:41" x14ac:dyDescent="0.25">
      <c r="A174" s="15"/>
      <c r="B174" s="8"/>
      <c r="C174" s="5" t="str">
        <f>IF(B174="","",IFERROR(INDEX(Trabajadores!$B$5:$B$204,MATCH(B174,Trabajadores!$A$5:$A$204,0)),"Cédula no registrada"))</f>
        <v/>
      </c>
      <c r="D174" s="11"/>
      <c r="E174" s="11"/>
      <c r="F174" s="8"/>
      <c r="G174" s="18" t="str">
        <f>IF(A174="","",IFERROR(INDEX(Trabajadores!$E$5:$E$204,MATCH(B174,Trabajadores!$A$5:$A$204,0))/Parámetros!$B$6,0)+IF(IFERROR(INDEX(Trabajadores!$E$5:$E$204,MATCH(B174,Trabajadores!$A$5:$A$204,0)),"")="",Parámetros!$B$7,0))</f>
        <v/>
      </c>
      <c r="H174" s="5" t="str">
        <f t="shared" si="40"/>
        <v/>
      </c>
      <c r="I174" s="5" t="str">
        <f>IF(A174="","",IF(COUNTIF(Festivos!$A$5:$A$451,A174)&gt;0,"Festivo",IF(WEEKDAY(A174,2)=7,"Domingo",IF(AND(AF174=1,AC174&gt;1),IF(COUNTIF(Festivos!$A$5:$A$451,A174+1)&gt;0,"Festivo","Domingo")&amp;" desde las 00:00",""))))</f>
        <v/>
      </c>
      <c r="J174" s="19" t="str">
        <f t="shared" si="41"/>
        <v/>
      </c>
      <c r="K174" s="19" t="str">
        <f t="shared" si="42"/>
        <v/>
      </c>
      <c r="L174" s="19" t="str">
        <f t="shared" si="43"/>
        <v/>
      </c>
      <c r="M174" s="19" t="str">
        <f t="shared" si="44"/>
        <v/>
      </c>
      <c r="N174" s="19" t="str">
        <f t="shared" si="45"/>
        <v/>
      </c>
      <c r="O174" s="19" t="str">
        <f t="shared" si="46"/>
        <v/>
      </c>
      <c r="P174" s="19" t="str">
        <f t="shared" si="47"/>
        <v/>
      </c>
      <c r="Q174" s="19" t="str">
        <f t="shared" si="48"/>
        <v/>
      </c>
      <c r="R174" s="19" t="str">
        <f t="shared" si="49"/>
        <v/>
      </c>
      <c r="S174" s="17" t="str">
        <f>IF(B174="","",IFERROR(INDEX(Trabajadores!$G$5:$G$204,MATCH(B174,Trabajadores!$A$5:$A$204,0)),""))</f>
        <v/>
      </c>
      <c r="T174" s="17" t="str">
        <f>IF(OR(OR(A174="",D174="",E174=""),S174=""),"",ROUND(S174*(N(L174)*Parámetros!$B$8+N(M174)*(1+Parámetros!$B$9)+N(N174)*(1+Parámetros!$B$10)+N(O174)*(1+AG174)+N(P174)*(1+AG174+Parámetros!$B$8)+N(Q174)*(1+AG174+Parámetros!$B$9)+N(R174)*(1+AG174+Parámetros!$B$10)),0))</f>
        <v/>
      </c>
      <c r="U174" s="5" t="str">
        <f>IF(OR(A174="",D174="",E174=""),"",IF(N(M174)+N(N174)+N(Q174)+N(R174)&gt;Parámetros!$B$12,"Supera el límite de horas extras diarias",IF(C174="Cédula no registrada","Registre la cédula en «Trabajadores»","")))</f>
        <v/>
      </c>
      <c r="X174" s="20">
        <f t="shared" si="50"/>
        <v>0</v>
      </c>
      <c r="Y174" s="20">
        <f t="shared" si="51"/>
        <v>0</v>
      </c>
      <c r="Z174" s="20">
        <f t="shared" si="52"/>
        <v>0</v>
      </c>
      <c r="AA174" s="20">
        <f t="shared" si="53"/>
        <v>0</v>
      </c>
      <c r="AB174" s="20">
        <f t="shared" si="54"/>
        <v>0</v>
      </c>
      <c r="AC174" s="20">
        <f t="shared" si="55"/>
        <v>0</v>
      </c>
      <c r="AD174" s="20">
        <f>IF(A174="",21/24,MOD(VLOOKUP(A174,Parámetros!$A$24:$B$25,2,TRUE()),1))</f>
        <v>0.875</v>
      </c>
      <c r="AE174" s="5">
        <f>IF(A174="",0,IF(OR(WEEKDAY(A174,2)=7,COUNTIF(Festivos!$A$5:$A$451,A174)&gt;0),1,0))</f>
        <v>0</v>
      </c>
      <c r="AF174" s="5">
        <f>IF(A174="",0,IF(OR(WEEKDAY(A174+1,2)=7,COUNTIF(Festivos!$A$5:$A$451,A174+1)&gt;0),1,0))</f>
        <v>0</v>
      </c>
      <c r="AG174" s="9">
        <f>IF(A174="",0,VLOOKUP(A174,Parámetros!$A$18:$B$21,2,TRUE()))</f>
        <v>0</v>
      </c>
      <c r="AH174" s="20">
        <f t="shared" si="56"/>
        <v>0</v>
      </c>
      <c r="AI174" s="20">
        <f>MAX(0,MIN(AB174,Parámetros!$B$11)-MAX(X174,0))+MAX(0,MIN(AB174,1+Parámetros!$B$11)-MAX(X174,AD174))+MAX(0,MIN(AB174,2)-MAX(X174,1+AD174))</f>
        <v>0</v>
      </c>
      <c r="AJ174" s="20">
        <f t="shared" si="57"/>
        <v>0</v>
      </c>
      <c r="AK174" s="20">
        <f>AE174*(MAX(0,MIN(AB174,Parámetros!$B$11)-MAX(X174,0))+MAX(0,MIN(AB174,1)-MAX(X174,AD174)))+AF174*(MAX(0,MIN(AB174,1+Parámetros!$B$11)-MAX(X174,1))+MAX(0,MIN(AB174,2)-MAX(X174,1+AD174)))</f>
        <v>0</v>
      </c>
      <c r="AL174" s="20">
        <f t="shared" si="58"/>
        <v>0</v>
      </c>
      <c r="AM174" s="20">
        <f>MAX(0,MIN(AC174,Parámetros!$B$11)-MAX(AB174,0))+MAX(0,MIN(AC174,1+Parámetros!$B$11)-MAX(AB174,AD174))+MAX(0,MIN(AC174,2)-MAX(AB174,1+AD174))</f>
        <v>0</v>
      </c>
      <c r="AN174" s="20">
        <f t="shared" si="59"/>
        <v>0</v>
      </c>
      <c r="AO174" s="20">
        <f>AE174*(MAX(0,MIN(AC174,Parámetros!$B$11)-MAX(AB174,0))+MAX(0,MIN(AC174,1)-MAX(AB174,AD174)))+AF174*(MAX(0,MIN(AC174,1+Parámetros!$B$11)-MAX(AB174,1))+MAX(0,MIN(AC174,2)-MAX(AB174,1+AD174)))</f>
        <v>0</v>
      </c>
    </row>
    <row r="175" spans="1:41" x14ac:dyDescent="0.25">
      <c r="A175" s="15"/>
      <c r="B175" s="8"/>
      <c r="C175" s="5" t="str">
        <f>IF(B175="","",IFERROR(INDEX(Trabajadores!$B$5:$B$204,MATCH(B175,Trabajadores!$A$5:$A$204,0)),"Cédula no registrada"))</f>
        <v/>
      </c>
      <c r="D175" s="11"/>
      <c r="E175" s="11"/>
      <c r="F175" s="8"/>
      <c r="G175" s="18" t="str">
        <f>IF(A175="","",IFERROR(INDEX(Trabajadores!$E$5:$E$204,MATCH(B175,Trabajadores!$A$5:$A$204,0))/Parámetros!$B$6,0)+IF(IFERROR(INDEX(Trabajadores!$E$5:$E$204,MATCH(B175,Trabajadores!$A$5:$A$204,0)),"")="",Parámetros!$B$7,0))</f>
        <v/>
      </c>
      <c r="H175" s="5" t="str">
        <f t="shared" si="40"/>
        <v/>
      </c>
      <c r="I175" s="5" t="str">
        <f>IF(A175="","",IF(COUNTIF(Festivos!$A$5:$A$451,A175)&gt;0,"Festivo",IF(WEEKDAY(A175,2)=7,"Domingo",IF(AND(AF175=1,AC175&gt;1),IF(COUNTIF(Festivos!$A$5:$A$451,A175+1)&gt;0,"Festivo","Domingo")&amp;" desde las 00:00",""))))</f>
        <v/>
      </c>
      <c r="J175" s="19" t="str">
        <f t="shared" si="41"/>
        <v/>
      </c>
      <c r="K175" s="19" t="str">
        <f t="shared" si="42"/>
        <v/>
      </c>
      <c r="L175" s="19" t="str">
        <f t="shared" si="43"/>
        <v/>
      </c>
      <c r="M175" s="19" t="str">
        <f t="shared" si="44"/>
        <v/>
      </c>
      <c r="N175" s="19" t="str">
        <f t="shared" si="45"/>
        <v/>
      </c>
      <c r="O175" s="19" t="str">
        <f t="shared" si="46"/>
        <v/>
      </c>
      <c r="P175" s="19" t="str">
        <f t="shared" si="47"/>
        <v/>
      </c>
      <c r="Q175" s="19" t="str">
        <f t="shared" si="48"/>
        <v/>
      </c>
      <c r="R175" s="19" t="str">
        <f t="shared" si="49"/>
        <v/>
      </c>
      <c r="S175" s="17" t="str">
        <f>IF(B175="","",IFERROR(INDEX(Trabajadores!$G$5:$G$204,MATCH(B175,Trabajadores!$A$5:$A$204,0)),""))</f>
        <v/>
      </c>
      <c r="T175" s="17" t="str">
        <f>IF(OR(OR(A175="",D175="",E175=""),S175=""),"",ROUND(S175*(N(L175)*Parámetros!$B$8+N(M175)*(1+Parámetros!$B$9)+N(N175)*(1+Parámetros!$B$10)+N(O175)*(1+AG175)+N(P175)*(1+AG175+Parámetros!$B$8)+N(Q175)*(1+AG175+Parámetros!$B$9)+N(R175)*(1+AG175+Parámetros!$B$10)),0))</f>
        <v/>
      </c>
      <c r="U175" s="5" t="str">
        <f>IF(OR(A175="",D175="",E175=""),"",IF(N(M175)+N(N175)+N(Q175)+N(R175)&gt;Parámetros!$B$12,"Supera el límite de horas extras diarias",IF(C175="Cédula no registrada","Registre la cédula en «Trabajadores»","")))</f>
        <v/>
      </c>
      <c r="X175" s="20">
        <f t="shared" si="50"/>
        <v>0</v>
      </c>
      <c r="Y175" s="20">
        <f t="shared" si="51"/>
        <v>0</v>
      </c>
      <c r="Z175" s="20">
        <f t="shared" si="52"/>
        <v>0</v>
      </c>
      <c r="AA175" s="20">
        <f t="shared" si="53"/>
        <v>0</v>
      </c>
      <c r="AB175" s="20">
        <f t="shared" si="54"/>
        <v>0</v>
      </c>
      <c r="AC175" s="20">
        <f t="shared" si="55"/>
        <v>0</v>
      </c>
      <c r="AD175" s="20">
        <f>IF(A175="",21/24,MOD(VLOOKUP(A175,Parámetros!$A$24:$B$25,2,TRUE()),1))</f>
        <v>0.875</v>
      </c>
      <c r="AE175" s="5">
        <f>IF(A175="",0,IF(OR(WEEKDAY(A175,2)=7,COUNTIF(Festivos!$A$5:$A$451,A175)&gt;0),1,0))</f>
        <v>0</v>
      </c>
      <c r="AF175" s="5">
        <f>IF(A175="",0,IF(OR(WEEKDAY(A175+1,2)=7,COUNTIF(Festivos!$A$5:$A$451,A175+1)&gt;0),1,0))</f>
        <v>0</v>
      </c>
      <c r="AG175" s="9">
        <f>IF(A175="",0,VLOOKUP(A175,Parámetros!$A$18:$B$21,2,TRUE()))</f>
        <v>0</v>
      </c>
      <c r="AH175" s="20">
        <f t="shared" si="56"/>
        <v>0</v>
      </c>
      <c r="AI175" s="20">
        <f>MAX(0,MIN(AB175,Parámetros!$B$11)-MAX(X175,0))+MAX(0,MIN(AB175,1+Parámetros!$B$11)-MAX(X175,AD175))+MAX(0,MIN(AB175,2)-MAX(X175,1+AD175))</f>
        <v>0</v>
      </c>
      <c r="AJ175" s="20">
        <f t="shared" si="57"/>
        <v>0</v>
      </c>
      <c r="AK175" s="20">
        <f>AE175*(MAX(0,MIN(AB175,Parámetros!$B$11)-MAX(X175,0))+MAX(0,MIN(AB175,1)-MAX(X175,AD175)))+AF175*(MAX(0,MIN(AB175,1+Parámetros!$B$11)-MAX(X175,1))+MAX(0,MIN(AB175,2)-MAX(X175,1+AD175)))</f>
        <v>0</v>
      </c>
      <c r="AL175" s="20">
        <f t="shared" si="58"/>
        <v>0</v>
      </c>
      <c r="AM175" s="20">
        <f>MAX(0,MIN(AC175,Parámetros!$B$11)-MAX(AB175,0))+MAX(0,MIN(AC175,1+Parámetros!$B$11)-MAX(AB175,AD175))+MAX(0,MIN(AC175,2)-MAX(AB175,1+AD175))</f>
        <v>0</v>
      </c>
      <c r="AN175" s="20">
        <f t="shared" si="59"/>
        <v>0</v>
      </c>
      <c r="AO175" s="20">
        <f>AE175*(MAX(0,MIN(AC175,Parámetros!$B$11)-MAX(AB175,0))+MAX(0,MIN(AC175,1)-MAX(AB175,AD175)))+AF175*(MAX(0,MIN(AC175,1+Parámetros!$B$11)-MAX(AB175,1))+MAX(0,MIN(AC175,2)-MAX(AB175,1+AD175)))</f>
        <v>0</v>
      </c>
    </row>
    <row r="176" spans="1:41" x14ac:dyDescent="0.25">
      <c r="A176" s="15"/>
      <c r="B176" s="8"/>
      <c r="C176" s="5" t="str">
        <f>IF(B176="","",IFERROR(INDEX(Trabajadores!$B$5:$B$204,MATCH(B176,Trabajadores!$A$5:$A$204,0)),"Cédula no registrada"))</f>
        <v/>
      </c>
      <c r="D176" s="11"/>
      <c r="E176" s="11"/>
      <c r="F176" s="8"/>
      <c r="G176" s="18" t="str">
        <f>IF(A176="","",IFERROR(INDEX(Trabajadores!$E$5:$E$204,MATCH(B176,Trabajadores!$A$5:$A$204,0))/Parámetros!$B$6,0)+IF(IFERROR(INDEX(Trabajadores!$E$5:$E$204,MATCH(B176,Trabajadores!$A$5:$A$204,0)),"")="",Parámetros!$B$7,0))</f>
        <v/>
      </c>
      <c r="H176" s="5" t="str">
        <f t="shared" si="40"/>
        <v/>
      </c>
      <c r="I176" s="5" t="str">
        <f>IF(A176="","",IF(COUNTIF(Festivos!$A$5:$A$451,A176)&gt;0,"Festivo",IF(WEEKDAY(A176,2)=7,"Domingo",IF(AND(AF176=1,AC176&gt;1),IF(COUNTIF(Festivos!$A$5:$A$451,A176+1)&gt;0,"Festivo","Domingo")&amp;" desde las 00:00",""))))</f>
        <v/>
      </c>
      <c r="J176" s="19" t="str">
        <f t="shared" si="41"/>
        <v/>
      </c>
      <c r="K176" s="19" t="str">
        <f t="shared" si="42"/>
        <v/>
      </c>
      <c r="L176" s="19" t="str">
        <f t="shared" si="43"/>
        <v/>
      </c>
      <c r="M176" s="19" t="str">
        <f t="shared" si="44"/>
        <v/>
      </c>
      <c r="N176" s="19" t="str">
        <f t="shared" si="45"/>
        <v/>
      </c>
      <c r="O176" s="19" t="str">
        <f t="shared" si="46"/>
        <v/>
      </c>
      <c r="P176" s="19" t="str">
        <f t="shared" si="47"/>
        <v/>
      </c>
      <c r="Q176" s="19" t="str">
        <f t="shared" si="48"/>
        <v/>
      </c>
      <c r="R176" s="19" t="str">
        <f t="shared" si="49"/>
        <v/>
      </c>
      <c r="S176" s="17" t="str">
        <f>IF(B176="","",IFERROR(INDEX(Trabajadores!$G$5:$G$204,MATCH(B176,Trabajadores!$A$5:$A$204,0)),""))</f>
        <v/>
      </c>
      <c r="T176" s="17" t="str">
        <f>IF(OR(OR(A176="",D176="",E176=""),S176=""),"",ROUND(S176*(N(L176)*Parámetros!$B$8+N(M176)*(1+Parámetros!$B$9)+N(N176)*(1+Parámetros!$B$10)+N(O176)*(1+AG176)+N(P176)*(1+AG176+Parámetros!$B$8)+N(Q176)*(1+AG176+Parámetros!$B$9)+N(R176)*(1+AG176+Parámetros!$B$10)),0))</f>
        <v/>
      </c>
      <c r="U176" s="5" t="str">
        <f>IF(OR(A176="",D176="",E176=""),"",IF(N(M176)+N(N176)+N(Q176)+N(R176)&gt;Parámetros!$B$12,"Supera el límite de horas extras diarias",IF(C176="Cédula no registrada","Registre la cédula en «Trabajadores»","")))</f>
        <v/>
      </c>
      <c r="X176" s="20">
        <f t="shared" si="50"/>
        <v>0</v>
      </c>
      <c r="Y176" s="20">
        <f t="shared" si="51"/>
        <v>0</v>
      </c>
      <c r="Z176" s="20">
        <f t="shared" si="52"/>
        <v>0</v>
      </c>
      <c r="AA176" s="20">
        <f t="shared" si="53"/>
        <v>0</v>
      </c>
      <c r="AB176" s="20">
        <f t="shared" si="54"/>
        <v>0</v>
      </c>
      <c r="AC176" s="20">
        <f t="shared" si="55"/>
        <v>0</v>
      </c>
      <c r="AD176" s="20">
        <f>IF(A176="",21/24,MOD(VLOOKUP(A176,Parámetros!$A$24:$B$25,2,TRUE()),1))</f>
        <v>0.875</v>
      </c>
      <c r="AE176" s="5">
        <f>IF(A176="",0,IF(OR(WEEKDAY(A176,2)=7,COUNTIF(Festivos!$A$5:$A$451,A176)&gt;0),1,0))</f>
        <v>0</v>
      </c>
      <c r="AF176" s="5">
        <f>IF(A176="",0,IF(OR(WEEKDAY(A176+1,2)=7,COUNTIF(Festivos!$A$5:$A$451,A176+1)&gt;0),1,0))</f>
        <v>0</v>
      </c>
      <c r="AG176" s="9">
        <f>IF(A176="",0,VLOOKUP(A176,Parámetros!$A$18:$B$21,2,TRUE()))</f>
        <v>0</v>
      </c>
      <c r="AH176" s="20">
        <f t="shared" si="56"/>
        <v>0</v>
      </c>
      <c r="AI176" s="20">
        <f>MAX(0,MIN(AB176,Parámetros!$B$11)-MAX(X176,0))+MAX(0,MIN(AB176,1+Parámetros!$B$11)-MAX(X176,AD176))+MAX(0,MIN(AB176,2)-MAX(X176,1+AD176))</f>
        <v>0</v>
      </c>
      <c r="AJ176" s="20">
        <f t="shared" si="57"/>
        <v>0</v>
      </c>
      <c r="AK176" s="20">
        <f>AE176*(MAX(0,MIN(AB176,Parámetros!$B$11)-MAX(X176,0))+MAX(0,MIN(AB176,1)-MAX(X176,AD176)))+AF176*(MAX(0,MIN(AB176,1+Parámetros!$B$11)-MAX(X176,1))+MAX(0,MIN(AB176,2)-MAX(X176,1+AD176)))</f>
        <v>0</v>
      </c>
      <c r="AL176" s="20">
        <f t="shared" si="58"/>
        <v>0</v>
      </c>
      <c r="AM176" s="20">
        <f>MAX(0,MIN(AC176,Parámetros!$B$11)-MAX(AB176,0))+MAX(0,MIN(AC176,1+Parámetros!$B$11)-MAX(AB176,AD176))+MAX(0,MIN(AC176,2)-MAX(AB176,1+AD176))</f>
        <v>0</v>
      </c>
      <c r="AN176" s="20">
        <f t="shared" si="59"/>
        <v>0</v>
      </c>
      <c r="AO176" s="20">
        <f>AE176*(MAX(0,MIN(AC176,Parámetros!$B$11)-MAX(AB176,0))+MAX(0,MIN(AC176,1)-MAX(AB176,AD176)))+AF176*(MAX(0,MIN(AC176,1+Parámetros!$B$11)-MAX(AB176,1))+MAX(0,MIN(AC176,2)-MAX(AB176,1+AD176)))</f>
        <v>0</v>
      </c>
    </row>
    <row r="177" spans="1:41" x14ac:dyDescent="0.25">
      <c r="A177" s="15"/>
      <c r="B177" s="8"/>
      <c r="C177" s="5" t="str">
        <f>IF(B177="","",IFERROR(INDEX(Trabajadores!$B$5:$B$204,MATCH(B177,Trabajadores!$A$5:$A$204,0)),"Cédula no registrada"))</f>
        <v/>
      </c>
      <c r="D177" s="11"/>
      <c r="E177" s="11"/>
      <c r="F177" s="8"/>
      <c r="G177" s="18" t="str">
        <f>IF(A177="","",IFERROR(INDEX(Trabajadores!$E$5:$E$204,MATCH(B177,Trabajadores!$A$5:$A$204,0))/Parámetros!$B$6,0)+IF(IFERROR(INDEX(Trabajadores!$E$5:$E$204,MATCH(B177,Trabajadores!$A$5:$A$204,0)),"")="",Parámetros!$B$7,0))</f>
        <v/>
      </c>
      <c r="H177" s="5" t="str">
        <f t="shared" si="40"/>
        <v/>
      </c>
      <c r="I177" s="5" t="str">
        <f>IF(A177="","",IF(COUNTIF(Festivos!$A$5:$A$451,A177)&gt;0,"Festivo",IF(WEEKDAY(A177,2)=7,"Domingo",IF(AND(AF177=1,AC177&gt;1),IF(COUNTIF(Festivos!$A$5:$A$451,A177+1)&gt;0,"Festivo","Domingo")&amp;" desde las 00:00",""))))</f>
        <v/>
      </c>
      <c r="J177" s="19" t="str">
        <f t="shared" si="41"/>
        <v/>
      </c>
      <c r="K177" s="19" t="str">
        <f t="shared" si="42"/>
        <v/>
      </c>
      <c r="L177" s="19" t="str">
        <f t="shared" si="43"/>
        <v/>
      </c>
      <c r="M177" s="19" t="str">
        <f t="shared" si="44"/>
        <v/>
      </c>
      <c r="N177" s="19" t="str">
        <f t="shared" si="45"/>
        <v/>
      </c>
      <c r="O177" s="19" t="str">
        <f t="shared" si="46"/>
        <v/>
      </c>
      <c r="P177" s="19" t="str">
        <f t="shared" si="47"/>
        <v/>
      </c>
      <c r="Q177" s="19" t="str">
        <f t="shared" si="48"/>
        <v/>
      </c>
      <c r="R177" s="19" t="str">
        <f t="shared" si="49"/>
        <v/>
      </c>
      <c r="S177" s="17" t="str">
        <f>IF(B177="","",IFERROR(INDEX(Trabajadores!$G$5:$G$204,MATCH(B177,Trabajadores!$A$5:$A$204,0)),""))</f>
        <v/>
      </c>
      <c r="T177" s="17" t="str">
        <f>IF(OR(OR(A177="",D177="",E177=""),S177=""),"",ROUND(S177*(N(L177)*Parámetros!$B$8+N(M177)*(1+Parámetros!$B$9)+N(N177)*(1+Parámetros!$B$10)+N(O177)*(1+AG177)+N(P177)*(1+AG177+Parámetros!$B$8)+N(Q177)*(1+AG177+Parámetros!$B$9)+N(R177)*(1+AG177+Parámetros!$B$10)),0))</f>
        <v/>
      </c>
      <c r="U177" s="5" t="str">
        <f>IF(OR(A177="",D177="",E177=""),"",IF(N(M177)+N(N177)+N(Q177)+N(R177)&gt;Parámetros!$B$12,"Supera el límite de horas extras diarias",IF(C177="Cédula no registrada","Registre la cédula en «Trabajadores»","")))</f>
        <v/>
      </c>
      <c r="X177" s="20">
        <f t="shared" si="50"/>
        <v>0</v>
      </c>
      <c r="Y177" s="20">
        <f t="shared" si="51"/>
        <v>0</v>
      </c>
      <c r="Z177" s="20">
        <f t="shared" si="52"/>
        <v>0</v>
      </c>
      <c r="AA177" s="20">
        <f t="shared" si="53"/>
        <v>0</v>
      </c>
      <c r="AB177" s="20">
        <f t="shared" si="54"/>
        <v>0</v>
      </c>
      <c r="AC177" s="20">
        <f t="shared" si="55"/>
        <v>0</v>
      </c>
      <c r="AD177" s="20">
        <f>IF(A177="",21/24,MOD(VLOOKUP(A177,Parámetros!$A$24:$B$25,2,TRUE()),1))</f>
        <v>0.875</v>
      </c>
      <c r="AE177" s="5">
        <f>IF(A177="",0,IF(OR(WEEKDAY(A177,2)=7,COUNTIF(Festivos!$A$5:$A$451,A177)&gt;0),1,0))</f>
        <v>0</v>
      </c>
      <c r="AF177" s="5">
        <f>IF(A177="",0,IF(OR(WEEKDAY(A177+1,2)=7,COUNTIF(Festivos!$A$5:$A$451,A177+1)&gt;0),1,0))</f>
        <v>0</v>
      </c>
      <c r="AG177" s="9">
        <f>IF(A177="",0,VLOOKUP(A177,Parámetros!$A$18:$B$21,2,TRUE()))</f>
        <v>0</v>
      </c>
      <c r="AH177" s="20">
        <f t="shared" si="56"/>
        <v>0</v>
      </c>
      <c r="AI177" s="20">
        <f>MAX(0,MIN(AB177,Parámetros!$B$11)-MAX(X177,0))+MAX(0,MIN(AB177,1+Parámetros!$B$11)-MAX(X177,AD177))+MAX(0,MIN(AB177,2)-MAX(X177,1+AD177))</f>
        <v>0</v>
      </c>
      <c r="AJ177" s="20">
        <f t="shared" si="57"/>
        <v>0</v>
      </c>
      <c r="AK177" s="20">
        <f>AE177*(MAX(0,MIN(AB177,Parámetros!$B$11)-MAX(X177,0))+MAX(0,MIN(AB177,1)-MAX(X177,AD177)))+AF177*(MAX(0,MIN(AB177,1+Parámetros!$B$11)-MAX(X177,1))+MAX(0,MIN(AB177,2)-MAX(X177,1+AD177)))</f>
        <v>0</v>
      </c>
      <c r="AL177" s="20">
        <f t="shared" si="58"/>
        <v>0</v>
      </c>
      <c r="AM177" s="20">
        <f>MAX(0,MIN(AC177,Parámetros!$B$11)-MAX(AB177,0))+MAX(0,MIN(AC177,1+Parámetros!$B$11)-MAX(AB177,AD177))+MAX(0,MIN(AC177,2)-MAX(AB177,1+AD177))</f>
        <v>0</v>
      </c>
      <c r="AN177" s="20">
        <f t="shared" si="59"/>
        <v>0</v>
      </c>
      <c r="AO177" s="20">
        <f>AE177*(MAX(0,MIN(AC177,Parámetros!$B$11)-MAX(AB177,0))+MAX(0,MIN(AC177,1)-MAX(AB177,AD177)))+AF177*(MAX(0,MIN(AC177,1+Parámetros!$B$11)-MAX(AB177,1))+MAX(0,MIN(AC177,2)-MAX(AB177,1+AD177)))</f>
        <v>0</v>
      </c>
    </row>
    <row r="178" spans="1:41" x14ac:dyDescent="0.25">
      <c r="A178" s="15"/>
      <c r="B178" s="8"/>
      <c r="C178" s="5" t="str">
        <f>IF(B178="","",IFERROR(INDEX(Trabajadores!$B$5:$B$204,MATCH(B178,Trabajadores!$A$5:$A$204,0)),"Cédula no registrada"))</f>
        <v/>
      </c>
      <c r="D178" s="11"/>
      <c r="E178" s="11"/>
      <c r="F178" s="8"/>
      <c r="G178" s="18" t="str">
        <f>IF(A178="","",IFERROR(INDEX(Trabajadores!$E$5:$E$204,MATCH(B178,Trabajadores!$A$5:$A$204,0))/Parámetros!$B$6,0)+IF(IFERROR(INDEX(Trabajadores!$E$5:$E$204,MATCH(B178,Trabajadores!$A$5:$A$204,0)),"")="",Parámetros!$B$7,0))</f>
        <v/>
      </c>
      <c r="H178" s="5" t="str">
        <f t="shared" si="40"/>
        <v/>
      </c>
      <c r="I178" s="5" t="str">
        <f>IF(A178="","",IF(COUNTIF(Festivos!$A$5:$A$451,A178)&gt;0,"Festivo",IF(WEEKDAY(A178,2)=7,"Domingo",IF(AND(AF178=1,AC178&gt;1),IF(COUNTIF(Festivos!$A$5:$A$451,A178+1)&gt;0,"Festivo","Domingo")&amp;" desde las 00:00",""))))</f>
        <v/>
      </c>
      <c r="J178" s="19" t="str">
        <f t="shared" si="41"/>
        <v/>
      </c>
      <c r="K178" s="19" t="str">
        <f t="shared" si="42"/>
        <v/>
      </c>
      <c r="L178" s="19" t="str">
        <f t="shared" si="43"/>
        <v/>
      </c>
      <c r="M178" s="19" t="str">
        <f t="shared" si="44"/>
        <v/>
      </c>
      <c r="N178" s="19" t="str">
        <f t="shared" si="45"/>
        <v/>
      </c>
      <c r="O178" s="19" t="str">
        <f t="shared" si="46"/>
        <v/>
      </c>
      <c r="P178" s="19" t="str">
        <f t="shared" si="47"/>
        <v/>
      </c>
      <c r="Q178" s="19" t="str">
        <f t="shared" si="48"/>
        <v/>
      </c>
      <c r="R178" s="19" t="str">
        <f t="shared" si="49"/>
        <v/>
      </c>
      <c r="S178" s="17" t="str">
        <f>IF(B178="","",IFERROR(INDEX(Trabajadores!$G$5:$G$204,MATCH(B178,Trabajadores!$A$5:$A$204,0)),""))</f>
        <v/>
      </c>
      <c r="T178" s="17" t="str">
        <f>IF(OR(OR(A178="",D178="",E178=""),S178=""),"",ROUND(S178*(N(L178)*Parámetros!$B$8+N(M178)*(1+Parámetros!$B$9)+N(N178)*(1+Parámetros!$B$10)+N(O178)*(1+AG178)+N(P178)*(1+AG178+Parámetros!$B$8)+N(Q178)*(1+AG178+Parámetros!$B$9)+N(R178)*(1+AG178+Parámetros!$B$10)),0))</f>
        <v/>
      </c>
      <c r="U178" s="5" t="str">
        <f>IF(OR(A178="",D178="",E178=""),"",IF(N(M178)+N(N178)+N(Q178)+N(R178)&gt;Parámetros!$B$12,"Supera el límite de horas extras diarias",IF(C178="Cédula no registrada","Registre la cédula en «Trabajadores»","")))</f>
        <v/>
      </c>
      <c r="X178" s="20">
        <f t="shared" si="50"/>
        <v>0</v>
      </c>
      <c r="Y178" s="20">
        <f t="shared" si="51"/>
        <v>0</v>
      </c>
      <c r="Z178" s="20">
        <f t="shared" si="52"/>
        <v>0</v>
      </c>
      <c r="AA178" s="20">
        <f t="shared" si="53"/>
        <v>0</v>
      </c>
      <c r="AB178" s="20">
        <f t="shared" si="54"/>
        <v>0</v>
      </c>
      <c r="AC178" s="20">
        <f t="shared" si="55"/>
        <v>0</v>
      </c>
      <c r="AD178" s="20">
        <f>IF(A178="",21/24,MOD(VLOOKUP(A178,Parámetros!$A$24:$B$25,2,TRUE()),1))</f>
        <v>0.875</v>
      </c>
      <c r="AE178" s="5">
        <f>IF(A178="",0,IF(OR(WEEKDAY(A178,2)=7,COUNTIF(Festivos!$A$5:$A$451,A178)&gt;0),1,0))</f>
        <v>0</v>
      </c>
      <c r="AF178" s="5">
        <f>IF(A178="",0,IF(OR(WEEKDAY(A178+1,2)=7,COUNTIF(Festivos!$A$5:$A$451,A178+1)&gt;0),1,0))</f>
        <v>0</v>
      </c>
      <c r="AG178" s="9">
        <f>IF(A178="",0,VLOOKUP(A178,Parámetros!$A$18:$B$21,2,TRUE()))</f>
        <v>0</v>
      </c>
      <c r="AH178" s="20">
        <f t="shared" si="56"/>
        <v>0</v>
      </c>
      <c r="AI178" s="20">
        <f>MAX(0,MIN(AB178,Parámetros!$B$11)-MAX(X178,0))+MAX(0,MIN(AB178,1+Parámetros!$B$11)-MAX(X178,AD178))+MAX(0,MIN(AB178,2)-MAX(X178,1+AD178))</f>
        <v>0</v>
      </c>
      <c r="AJ178" s="20">
        <f t="shared" si="57"/>
        <v>0</v>
      </c>
      <c r="AK178" s="20">
        <f>AE178*(MAX(0,MIN(AB178,Parámetros!$B$11)-MAX(X178,0))+MAX(0,MIN(AB178,1)-MAX(X178,AD178)))+AF178*(MAX(0,MIN(AB178,1+Parámetros!$B$11)-MAX(X178,1))+MAX(0,MIN(AB178,2)-MAX(X178,1+AD178)))</f>
        <v>0</v>
      </c>
      <c r="AL178" s="20">
        <f t="shared" si="58"/>
        <v>0</v>
      </c>
      <c r="AM178" s="20">
        <f>MAX(0,MIN(AC178,Parámetros!$B$11)-MAX(AB178,0))+MAX(0,MIN(AC178,1+Parámetros!$B$11)-MAX(AB178,AD178))+MAX(0,MIN(AC178,2)-MAX(AB178,1+AD178))</f>
        <v>0</v>
      </c>
      <c r="AN178" s="20">
        <f t="shared" si="59"/>
        <v>0</v>
      </c>
      <c r="AO178" s="20">
        <f>AE178*(MAX(0,MIN(AC178,Parámetros!$B$11)-MAX(AB178,0))+MAX(0,MIN(AC178,1)-MAX(AB178,AD178)))+AF178*(MAX(0,MIN(AC178,1+Parámetros!$B$11)-MAX(AB178,1))+MAX(0,MIN(AC178,2)-MAX(AB178,1+AD178)))</f>
        <v>0</v>
      </c>
    </row>
    <row r="179" spans="1:41" x14ac:dyDescent="0.25">
      <c r="A179" s="15"/>
      <c r="B179" s="8"/>
      <c r="C179" s="5" t="str">
        <f>IF(B179="","",IFERROR(INDEX(Trabajadores!$B$5:$B$204,MATCH(B179,Trabajadores!$A$5:$A$204,0)),"Cédula no registrada"))</f>
        <v/>
      </c>
      <c r="D179" s="11"/>
      <c r="E179" s="11"/>
      <c r="F179" s="8"/>
      <c r="G179" s="18" t="str">
        <f>IF(A179="","",IFERROR(INDEX(Trabajadores!$E$5:$E$204,MATCH(B179,Trabajadores!$A$5:$A$204,0))/Parámetros!$B$6,0)+IF(IFERROR(INDEX(Trabajadores!$E$5:$E$204,MATCH(B179,Trabajadores!$A$5:$A$204,0)),"")="",Parámetros!$B$7,0))</f>
        <v/>
      </c>
      <c r="H179" s="5" t="str">
        <f t="shared" si="40"/>
        <v/>
      </c>
      <c r="I179" s="5" t="str">
        <f>IF(A179="","",IF(COUNTIF(Festivos!$A$5:$A$451,A179)&gt;0,"Festivo",IF(WEEKDAY(A179,2)=7,"Domingo",IF(AND(AF179=1,AC179&gt;1),IF(COUNTIF(Festivos!$A$5:$A$451,A179+1)&gt;0,"Festivo","Domingo")&amp;" desde las 00:00",""))))</f>
        <v/>
      </c>
      <c r="J179" s="19" t="str">
        <f t="shared" si="41"/>
        <v/>
      </c>
      <c r="K179" s="19" t="str">
        <f t="shared" si="42"/>
        <v/>
      </c>
      <c r="L179" s="19" t="str">
        <f t="shared" si="43"/>
        <v/>
      </c>
      <c r="M179" s="19" t="str">
        <f t="shared" si="44"/>
        <v/>
      </c>
      <c r="N179" s="19" t="str">
        <f t="shared" si="45"/>
        <v/>
      </c>
      <c r="O179" s="19" t="str">
        <f t="shared" si="46"/>
        <v/>
      </c>
      <c r="P179" s="19" t="str">
        <f t="shared" si="47"/>
        <v/>
      </c>
      <c r="Q179" s="19" t="str">
        <f t="shared" si="48"/>
        <v/>
      </c>
      <c r="R179" s="19" t="str">
        <f t="shared" si="49"/>
        <v/>
      </c>
      <c r="S179" s="17" t="str">
        <f>IF(B179="","",IFERROR(INDEX(Trabajadores!$G$5:$G$204,MATCH(B179,Trabajadores!$A$5:$A$204,0)),""))</f>
        <v/>
      </c>
      <c r="T179" s="17" t="str">
        <f>IF(OR(OR(A179="",D179="",E179=""),S179=""),"",ROUND(S179*(N(L179)*Parámetros!$B$8+N(M179)*(1+Parámetros!$B$9)+N(N179)*(1+Parámetros!$B$10)+N(O179)*(1+AG179)+N(P179)*(1+AG179+Parámetros!$B$8)+N(Q179)*(1+AG179+Parámetros!$B$9)+N(R179)*(1+AG179+Parámetros!$B$10)),0))</f>
        <v/>
      </c>
      <c r="U179" s="5" t="str">
        <f>IF(OR(A179="",D179="",E179=""),"",IF(N(M179)+N(N179)+N(Q179)+N(R179)&gt;Parámetros!$B$12,"Supera el límite de horas extras diarias",IF(C179="Cédula no registrada","Registre la cédula en «Trabajadores»","")))</f>
        <v/>
      </c>
      <c r="X179" s="20">
        <f t="shared" si="50"/>
        <v>0</v>
      </c>
      <c r="Y179" s="20">
        <f t="shared" si="51"/>
        <v>0</v>
      </c>
      <c r="Z179" s="20">
        <f t="shared" si="52"/>
        <v>0</v>
      </c>
      <c r="AA179" s="20">
        <f t="shared" si="53"/>
        <v>0</v>
      </c>
      <c r="AB179" s="20">
        <f t="shared" si="54"/>
        <v>0</v>
      </c>
      <c r="AC179" s="20">
        <f t="shared" si="55"/>
        <v>0</v>
      </c>
      <c r="AD179" s="20">
        <f>IF(A179="",21/24,MOD(VLOOKUP(A179,Parámetros!$A$24:$B$25,2,TRUE()),1))</f>
        <v>0.875</v>
      </c>
      <c r="AE179" s="5">
        <f>IF(A179="",0,IF(OR(WEEKDAY(A179,2)=7,COUNTIF(Festivos!$A$5:$A$451,A179)&gt;0),1,0))</f>
        <v>0</v>
      </c>
      <c r="AF179" s="5">
        <f>IF(A179="",0,IF(OR(WEEKDAY(A179+1,2)=7,COUNTIF(Festivos!$A$5:$A$451,A179+1)&gt;0),1,0))</f>
        <v>0</v>
      </c>
      <c r="AG179" s="9">
        <f>IF(A179="",0,VLOOKUP(A179,Parámetros!$A$18:$B$21,2,TRUE()))</f>
        <v>0</v>
      </c>
      <c r="AH179" s="20">
        <f t="shared" si="56"/>
        <v>0</v>
      </c>
      <c r="AI179" s="20">
        <f>MAX(0,MIN(AB179,Parámetros!$B$11)-MAX(X179,0))+MAX(0,MIN(AB179,1+Parámetros!$B$11)-MAX(X179,AD179))+MAX(0,MIN(AB179,2)-MAX(X179,1+AD179))</f>
        <v>0</v>
      </c>
      <c r="AJ179" s="20">
        <f t="shared" si="57"/>
        <v>0</v>
      </c>
      <c r="AK179" s="20">
        <f>AE179*(MAX(0,MIN(AB179,Parámetros!$B$11)-MAX(X179,0))+MAX(0,MIN(AB179,1)-MAX(X179,AD179)))+AF179*(MAX(0,MIN(AB179,1+Parámetros!$B$11)-MAX(X179,1))+MAX(0,MIN(AB179,2)-MAX(X179,1+AD179)))</f>
        <v>0</v>
      </c>
      <c r="AL179" s="20">
        <f t="shared" si="58"/>
        <v>0</v>
      </c>
      <c r="AM179" s="20">
        <f>MAX(0,MIN(AC179,Parámetros!$B$11)-MAX(AB179,0))+MAX(0,MIN(AC179,1+Parámetros!$B$11)-MAX(AB179,AD179))+MAX(0,MIN(AC179,2)-MAX(AB179,1+AD179))</f>
        <v>0</v>
      </c>
      <c r="AN179" s="20">
        <f t="shared" si="59"/>
        <v>0</v>
      </c>
      <c r="AO179" s="20">
        <f>AE179*(MAX(0,MIN(AC179,Parámetros!$B$11)-MAX(AB179,0))+MAX(0,MIN(AC179,1)-MAX(AB179,AD179)))+AF179*(MAX(0,MIN(AC179,1+Parámetros!$B$11)-MAX(AB179,1))+MAX(0,MIN(AC179,2)-MAX(AB179,1+AD179)))</f>
        <v>0</v>
      </c>
    </row>
    <row r="180" spans="1:41" x14ac:dyDescent="0.25">
      <c r="A180" s="15"/>
      <c r="B180" s="8"/>
      <c r="C180" s="5" t="str">
        <f>IF(B180="","",IFERROR(INDEX(Trabajadores!$B$5:$B$204,MATCH(B180,Trabajadores!$A$5:$A$204,0)),"Cédula no registrada"))</f>
        <v/>
      </c>
      <c r="D180" s="11"/>
      <c r="E180" s="11"/>
      <c r="F180" s="8"/>
      <c r="G180" s="18" t="str">
        <f>IF(A180="","",IFERROR(INDEX(Trabajadores!$E$5:$E$204,MATCH(B180,Trabajadores!$A$5:$A$204,0))/Parámetros!$B$6,0)+IF(IFERROR(INDEX(Trabajadores!$E$5:$E$204,MATCH(B180,Trabajadores!$A$5:$A$204,0)),"")="",Parámetros!$B$7,0))</f>
        <v/>
      </c>
      <c r="H180" s="5" t="str">
        <f t="shared" si="40"/>
        <v/>
      </c>
      <c r="I180" s="5" t="str">
        <f>IF(A180="","",IF(COUNTIF(Festivos!$A$5:$A$451,A180)&gt;0,"Festivo",IF(WEEKDAY(A180,2)=7,"Domingo",IF(AND(AF180=1,AC180&gt;1),IF(COUNTIF(Festivos!$A$5:$A$451,A180+1)&gt;0,"Festivo","Domingo")&amp;" desde las 00:00",""))))</f>
        <v/>
      </c>
      <c r="J180" s="19" t="str">
        <f t="shared" si="41"/>
        <v/>
      </c>
      <c r="K180" s="19" t="str">
        <f t="shared" si="42"/>
        <v/>
      </c>
      <c r="L180" s="19" t="str">
        <f t="shared" si="43"/>
        <v/>
      </c>
      <c r="M180" s="19" t="str">
        <f t="shared" si="44"/>
        <v/>
      </c>
      <c r="N180" s="19" t="str">
        <f t="shared" si="45"/>
        <v/>
      </c>
      <c r="O180" s="19" t="str">
        <f t="shared" si="46"/>
        <v/>
      </c>
      <c r="P180" s="19" t="str">
        <f t="shared" si="47"/>
        <v/>
      </c>
      <c r="Q180" s="19" t="str">
        <f t="shared" si="48"/>
        <v/>
      </c>
      <c r="R180" s="19" t="str">
        <f t="shared" si="49"/>
        <v/>
      </c>
      <c r="S180" s="17" t="str">
        <f>IF(B180="","",IFERROR(INDEX(Trabajadores!$G$5:$G$204,MATCH(B180,Trabajadores!$A$5:$A$204,0)),""))</f>
        <v/>
      </c>
      <c r="T180" s="17" t="str">
        <f>IF(OR(OR(A180="",D180="",E180=""),S180=""),"",ROUND(S180*(N(L180)*Parámetros!$B$8+N(M180)*(1+Parámetros!$B$9)+N(N180)*(1+Parámetros!$B$10)+N(O180)*(1+AG180)+N(P180)*(1+AG180+Parámetros!$B$8)+N(Q180)*(1+AG180+Parámetros!$B$9)+N(R180)*(1+AG180+Parámetros!$B$10)),0))</f>
        <v/>
      </c>
      <c r="U180" s="5" t="str">
        <f>IF(OR(A180="",D180="",E180=""),"",IF(N(M180)+N(N180)+N(Q180)+N(R180)&gt;Parámetros!$B$12,"Supera el límite de horas extras diarias",IF(C180="Cédula no registrada","Registre la cédula en «Trabajadores»","")))</f>
        <v/>
      </c>
      <c r="X180" s="20">
        <f t="shared" si="50"/>
        <v>0</v>
      </c>
      <c r="Y180" s="20">
        <f t="shared" si="51"/>
        <v>0</v>
      </c>
      <c r="Z180" s="20">
        <f t="shared" si="52"/>
        <v>0</v>
      </c>
      <c r="AA180" s="20">
        <f t="shared" si="53"/>
        <v>0</v>
      </c>
      <c r="AB180" s="20">
        <f t="shared" si="54"/>
        <v>0</v>
      </c>
      <c r="AC180" s="20">
        <f t="shared" si="55"/>
        <v>0</v>
      </c>
      <c r="AD180" s="20">
        <f>IF(A180="",21/24,MOD(VLOOKUP(A180,Parámetros!$A$24:$B$25,2,TRUE()),1))</f>
        <v>0.875</v>
      </c>
      <c r="AE180" s="5">
        <f>IF(A180="",0,IF(OR(WEEKDAY(A180,2)=7,COUNTIF(Festivos!$A$5:$A$451,A180)&gt;0),1,0))</f>
        <v>0</v>
      </c>
      <c r="AF180" s="5">
        <f>IF(A180="",0,IF(OR(WEEKDAY(A180+1,2)=7,COUNTIF(Festivos!$A$5:$A$451,A180+1)&gt;0),1,0))</f>
        <v>0</v>
      </c>
      <c r="AG180" s="9">
        <f>IF(A180="",0,VLOOKUP(A180,Parámetros!$A$18:$B$21,2,TRUE()))</f>
        <v>0</v>
      </c>
      <c r="AH180" s="20">
        <f t="shared" si="56"/>
        <v>0</v>
      </c>
      <c r="AI180" s="20">
        <f>MAX(0,MIN(AB180,Parámetros!$B$11)-MAX(X180,0))+MAX(0,MIN(AB180,1+Parámetros!$B$11)-MAX(X180,AD180))+MAX(0,MIN(AB180,2)-MAX(X180,1+AD180))</f>
        <v>0</v>
      </c>
      <c r="AJ180" s="20">
        <f t="shared" si="57"/>
        <v>0</v>
      </c>
      <c r="AK180" s="20">
        <f>AE180*(MAX(0,MIN(AB180,Parámetros!$B$11)-MAX(X180,0))+MAX(0,MIN(AB180,1)-MAX(X180,AD180)))+AF180*(MAX(0,MIN(AB180,1+Parámetros!$B$11)-MAX(X180,1))+MAX(0,MIN(AB180,2)-MAX(X180,1+AD180)))</f>
        <v>0</v>
      </c>
      <c r="AL180" s="20">
        <f t="shared" si="58"/>
        <v>0</v>
      </c>
      <c r="AM180" s="20">
        <f>MAX(0,MIN(AC180,Parámetros!$B$11)-MAX(AB180,0))+MAX(0,MIN(AC180,1+Parámetros!$B$11)-MAX(AB180,AD180))+MAX(0,MIN(AC180,2)-MAX(AB180,1+AD180))</f>
        <v>0</v>
      </c>
      <c r="AN180" s="20">
        <f t="shared" si="59"/>
        <v>0</v>
      </c>
      <c r="AO180" s="20">
        <f>AE180*(MAX(0,MIN(AC180,Parámetros!$B$11)-MAX(AB180,0))+MAX(0,MIN(AC180,1)-MAX(AB180,AD180)))+AF180*(MAX(0,MIN(AC180,1+Parámetros!$B$11)-MAX(AB180,1))+MAX(0,MIN(AC180,2)-MAX(AB180,1+AD180)))</f>
        <v>0</v>
      </c>
    </row>
    <row r="181" spans="1:41" x14ac:dyDescent="0.25">
      <c r="A181" s="15"/>
      <c r="B181" s="8"/>
      <c r="C181" s="5" t="str">
        <f>IF(B181="","",IFERROR(INDEX(Trabajadores!$B$5:$B$204,MATCH(B181,Trabajadores!$A$5:$A$204,0)),"Cédula no registrada"))</f>
        <v/>
      </c>
      <c r="D181" s="11"/>
      <c r="E181" s="11"/>
      <c r="F181" s="8"/>
      <c r="G181" s="18" t="str">
        <f>IF(A181="","",IFERROR(INDEX(Trabajadores!$E$5:$E$204,MATCH(B181,Trabajadores!$A$5:$A$204,0))/Parámetros!$B$6,0)+IF(IFERROR(INDEX(Trabajadores!$E$5:$E$204,MATCH(B181,Trabajadores!$A$5:$A$204,0)),"")="",Parámetros!$B$7,0))</f>
        <v/>
      </c>
      <c r="H181" s="5" t="str">
        <f t="shared" si="40"/>
        <v/>
      </c>
      <c r="I181" s="5" t="str">
        <f>IF(A181="","",IF(COUNTIF(Festivos!$A$5:$A$451,A181)&gt;0,"Festivo",IF(WEEKDAY(A181,2)=7,"Domingo",IF(AND(AF181=1,AC181&gt;1),IF(COUNTIF(Festivos!$A$5:$A$451,A181+1)&gt;0,"Festivo","Domingo")&amp;" desde las 00:00",""))))</f>
        <v/>
      </c>
      <c r="J181" s="19" t="str">
        <f t="shared" si="41"/>
        <v/>
      </c>
      <c r="K181" s="19" t="str">
        <f t="shared" si="42"/>
        <v/>
      </c>
      <c r="L181" s="19" t="str">
        <f t="shared" si="43"/>
        <v/>
      </c>
      <c r="M181" s="19" t="str">
        <f t="shared" si="44"/>
        <v/>
      </c>
      <c r="N181" s="19" t="str">
        <f t="shared" si="45"/>
        <v/>
      </c>
      <c r="O181" s="19" t="str">
        <f t="shared" si="46"/>
        <v/>
      </c>
      <c r="P181" s="19" t="str">
        <f t="shared" si="47"/>
        <v/>
      </c>
      <c r="Q181" s="19" t="str">
        <f t="shared" si="48"/>
        <v/>
      </c>
      <c r="R181" s="19" t="str">
        <f t="shared" si="49"/>
        <v/>
      </c>
      <c r="S181" s="17" t="str">
        <f>IF(B181="","",IFERROR(INDEX(Trabajadores!$G$5:$G$204,MATCH(B181,Trabajadores!$A$5:$A$204,0)),""))</f>
        <v/>
      </c>
      <c r="T181" s="17" t="str">
        <f>IF(OR(OR(A181="",D181="",E181=""),S181=""),"",ROUND(S181*(N(L181)*Parámetros!$B$8+N(M181)*(1+Parámetros!$B$9)+N(N181)*(1+Parámetros!$B$10)+N(O181)*(1+AG181)+N(P181)*(1+AG181+Parámetros!$B$8)+N(Q181)*(1+AG181+Parámetros!$B$9)+N(R181)*(1+AG181+Parámetros!$B$10)),0))</f>
        <v/>
      </c>
      <c r="U181" s="5" t="str">
        <f>IF(OR(A181="",D181="",E181=""),"",IF(N(M181)+N(N181)+N(Q181)+N(R181)&gt;Parámetros!$B$12,"Supera el límite de horas extras diarias",IF(C181="Cédula no registrada","Registre la cédula en «Trabajadores»","")))</f>
        <v/>
      </c>
      <c r="X181" s="20">
        <f t="shared" si="50"/>
        <v>0</v>
      </c>
      <c r="Y181" s="20">
        <f t="shared" si="51"/>
        <v>0</v>
      </c>
      <c r="Z181" s="20">
        <f t="shared" si="52"/>
        <v>0</v>
      </c>
      <c r="AA181" s="20">
        <f t="shared" si="53"/>
        <v>0</v>
      </c>
      <c r="AB181" s="20">
        <f t="shared" si="54"/>
        <v>0</v>
      </c>
      <c r="AC181" s="20">
        <f t="shared" si="55"/>
        <v>0</v>
      </c>
      <c r="AD181" s="20">
        <f>IF(A181="",21/24,MOD(VLOOKUP(A181,Parámetros!$A$24:$B$25,2,TRUE()),1))</f>
        <v>0.875</v>
      </c>
      <c r="AE181" s="5">
        <f>IF(A181="",0,IF(OR(WEEKDAY(A181,2)=7,COUNTIF(Festivos!$A$5:$A$451,A181)&gt;0),1,0))</f>
        <v>0</v>
      </c>
      <c r="AF181" s="5">
        <f>IF(A181="",0,IF(OR(WEEKDAY(A181+1,2)=7,COUNTIF(Festivos!$A$5:$A$451,A181+1)&gt;0),1,0))</f>
        <v>0</v>
      </c>
      <c r="AG181" s="9">
        <f>IF(A181="",0,VLOOKUP(A181,Parámetros!$A$18:$B$21,2,TRUE()))</f>
        <v>0</v>
      </c>
      <c r="AH181" s="20">
        <f t="shared" si="56"/>
        <v>0</v>
      </c>
      <c r="AI181" s="20">
        <f>MAX(0,MIN(AB181,Parámetros!$B$11)-MAX(X181,0))+MAX(0,MIN(AB181,1+Parámetros!$B$11)-MAX(X181,AD181))+MAX(0,MIN(AB181,2)-MAX(X181,1+AD181))</f>
        <v>0</v>
      </c>
      <c r="AJ181" s="20">
        <f t="shared" si="57"/>
        <v>0</v>
      </c>
      <c r="AK181" s="20">
        <f>AE181*(MAX(0,MIN(AB181,Parámetros!$B$11)-MAX(X181,0))+MAX(0,MIN(AB181,1)-MAX(X181,AD181)))+AF181*(MAX(0,MIN(AB181,1+Parámetros!$B$11)-MAX(X181,1))+MAX(0,MIN(AB181,2)-MAX(X181,1+AD181)))</f>
        <v>0</v>
      </c>
      <c r="AL181" s="20">
        <f t="shared" si="58"/>
        <v>0</v>
      </c>
      <c r="AM181" s="20">
        <f>MAX(0,MIN(AC181,Parámetros!$B$11)-MAX(AB181,0))+MAX(0,MIN(AC181,1+Parámetros!$B$11)-MAX(AB181,AD181))+MAX(0,MIN(AC181,2)-MAX(AB181,1+AD181))</f>
        <v>0</v>
      </c>
      <c r="AN181" s="20">
        <f t="shared" si="59"/>
        <v>0</v>
      </c>
      <c r="AO181" s="20">
        <f>AE181*(MAX(0,MIN(AC181,Parámetros!$B$11)-MAX(AB181,0))+MAX(0,MIN(AC181,1)-MAX(AB181,AD181)))+AF181*(MAX(0,MIN(AC181,1+Parámetros!$B$11)-MAX(AB181,1))+MAX(0,MIN(AC181,2)-MAX(AB181,1+AD181)))</f>
        <v>0</v>
      </c>
    </row>
    <row r="182" spans="1:41" x14ac:dyDescent="0.25">
      <c r="A182" s="15"/>
      <c r="B182" s="8"/>
      <c r="C182" s="5" t="str">
        <f>IF(B182="","",IFERROR(INDEX(Trabajadores!$B$5:$B$204,MATCH(B182,Trabajadores!$A$5:$A$204,0)),"Cédula no registrada"))</f>
        <v/>
      </c>
      <c r="D182" s="11"/>
      <c r="E182" s="11"/>
      <c r="F182" s="8"/>
      <c r="G182" s="18" t="str">
        <f>IF(A182="","",IFERROR(INDEX(Trabajadores!$E$5:$E$204,MATCH(B182,Trabajadores!$A$5:$A$204,0))/Parámetros!$B$6,0)+IF(IFERROR(INDEX(Trabajadores!$E$5:$E$204,MATCH(B182,Trabajadores!$A$5:$A$204,0)),"")="",Parámetros!$B$7,0))</f>
        <v/>
      </c>
      <c r="H182" s="5" t="str">
        <f t="shared" si="40"/>
        <v/>
      </c>
      <c r="I182" s="5" t="str">
        <f>IF(A182="","",IF(COUNTIF(Festivos!$A$5:$A$451,A182)&gt;0,"Festivo",IF(WEEKDAY(A182,2)=7,"Domingo",IF(AND(AF182=1,AC182&gt;1),IF(COUNTIF(Festivos!$A$5:$A$451,A182+1)&gt;0,"Festivo","Domingo")&amp;" desde las 00:00",""))))</f>
        <v/>
      </c>
      <c r="J182" s="19" t="str">
        <f t="shared" si="41"/>
        <v/>
      </c>
      <c r="K182" s="19" t="str">
        <f t="shared" si="42"/>
        <v/>
      </c>
      <c r="L182" s="19" t="str">
        <f t="shared" si="43"/>
        <v/>
      </c>
      <c r="M182" s="19" t="str">
        <f t="shared" si="44"/>
        <v/>
      </c>
      <c r="N182" s="19" t="str">
        <f t="shared" si="45"/>
        <v/>
      </c>
      <c r="O182" s="19" t="str">
        <f t="shared" si="46"/>
        <v/>
      </c>
      <c r="P182" s="19" t="str">
        <f t="shared" si="47"/>
        <v/>
      </c>
      <c r="Q182" s="19" t="str">
        <f t="shared" si="48"/>
        <v/>
      </c>
      <c r="R182" s="19" t="str">
        <f t="shared" si="49"/>
        <v/>
      </c>
      <c r="S182" s="17" t="str">
        <f>IF(B182="","",IFERROR(INDEX(Trabajadores!$G$5:$G$204,MATCH(B182,Trabajadores!$A$5:$A$204,0)),""))</f>
        <v/>
      </c>
      <c r="T182" s="17" t="str">
        <f>IF(OR(OR(A182="",D182="",E182=""),S182=""),"",ROUND(S182*(N(L182)*Parámetros!$B$8+N(M182)*(1+Parámetros!$B$9)+N(N182)*(1+Parámetros!$B$10)+N(O182)*(1+AG182)+N(P182)*(1+AG182+Parámetros!$B$8)+N(Q182)*(1+AG182+Parámetros!$B$9)+N(R182)*(1+AG182+Parámetros!$B$10)),0))</f>
        <v/>
      </c>
      <c r="U182" s="5" t="str">
        <f>IF(OR(A182="",D182="",E182=""),"",IF(N(M182)+N(N182)+N(Q182)+N(R182)&gt;Parámetros!$B$12,"Supera el límite de horas extras diarias",IF(C182="Cédula no registrada","Registre la cédula en «Trabajadores»","")))</f>
        <v/>
      </c>
      <c r="X182" s="20">
        <f t="shared" si="50"/>
        <v>0</v>
      </c>
      <c r="Y182" s="20">
        <f t="shared" si="51"/>
        <v>0</v>
      </c>
      <c r="Z182" s="20">
        <f t="shared" si="52"/>
        <v>0</v>
      </c>
      <c r="AA182" s="20">
        <f t="shared" si="53"/>
        <v>0</v>
      </c>
      <c r="AB182" s="20">
        <f t="shared" si="54"/>
        <v>0</v>
      </c>
      <c r="AC182" s="20">
        <f t="shared" si="55"/>
        <v>0</v>
      </c>
      <c r="AD182" s="20">
        <f>IF(A182="",21/24,MOD(VLOOKUP(A182,Parámetros!$A$24:$B$25,2,TRUE()),1))</f>
        <v>0.875</v>
      </c>
      <c r="AE182" s="5">
        <f>IF(A182="",0,IF(OR(WEEKDAY(A182,2)=7,COUNTIF(Festivos!$A$5:$A$451,A182)&gt;0),1,0))</f>
        <v>0</v>
      </c>
      <c r="AF182" s="5">
        <f>IF(A182="",0,IF(OR(WEEKDAY(A182+1,2)=7,COUNTIF(Festivos!$A$5:$A$451,A182+1)&gt;0),1,0))</f>
        <v>0</v>
      </c>
      <c r="AG182" s="9">
        <f>IF(A182="",0,VLOOKUP(A182,Parámetros!$A$18:$B$21,2,TRUE()))</f>
        <v>0</v>
      </c>
      <c r="AH182" s="20">
        <f t="shared" si="56"/>
        <v>0</v>
      </c>
      <c r="AI182" s="20">
        <f>MAX(0,MIN(AB182,Parámetros!$B$11)-MAX(X182,0))+MAX(0,MIN(AB182,1+Parámetros!$B$11)-MAX(X182,AD182))+MAX(0,MIN(AB182,2)-MAX(X182,1+AD182))</f>
        <v>0</v>
      </c>
      <c r="AJ182" s="20">
        <f t="shared" si="57"/>
        <v>0</v>
      </c>
      <c r="AK182" s="20">
        <f>AE182*(MAX(0,MIN(AB182,Parámetros!$B$11)-MAX(X182,0))+MAX(0,MIN(AB182,1)-MAX(X182,AD182)))+AF182*(MAX(0,MIN(AB182,1+Parámetros!$B$11)-MAX(X182,1))+MAX(0,MIN(AB182,2)-MAX(X182,1+AD182)))</f>
        <v>0</v>
      </c>
      <c r="AL182" s="20">
        <f t="shared" si="58"/>
        <v>0</v>
      </c>
      <c r="AM182" s="20">
        <f>MAX(0,MIN(AC182,Parámetros!$B$11)-MAX(AB182,0))+MAX(0,MIN(AC182,1+Parámetros!$B$11)-MAX(AB182,AD182))+MAX(0,MIN(AC182,2)-MAX(AB182,1+AD182))</f>
        <v>0</v>
      </c>
      <c r="AN182" s="20">
        <f t="shared" si="59"/>
        <v>0</v>
      </c>
      <c r="AO182" s="20">
        <f>AE182*(MAX(0,MIN(AC182,Parámetros!$B$11)-MAX(AB182,0))+MAX(0,MIN(AC182,1)-MAX(AB182,AD182)))+AF182*(MAX(0,MIN(AC182,1+Parámetros!$B$11)-MAX(AB182,1))+MAX(0,MIN(AC182,2)-MAX(AB182,1+AD182)))</f>
        <v>0</v>
      </c>
    </row>
    <row r="183" spans="1:41" x14ac:dyDescent="0.25">
      <c r="A183" s="15"/>
      <c r="B183" s="8"/>
      <c r="C183" s="5" t="str">
        <f>IF(B183="","",IFERROR(INDEX(Trabajadores!$B$5:$B$204,MATCH(B183,Trabajadores!$A$5:$A$204,0)),"Cédula no registrada"))</f>
        <v/>
      </c>
      <c r="D183" s="11"/>
      <c r="E183" s="11"/>
      <c r="F183" s="8"/>
      <c r="G183" s="18" t="str">
        <f>IF(A183="","",IFERROR(INDEX(Trabajadores!$E$5:$E$204,MATCH(B183,Trabajadores!$A$5:$A$204,0))/Parámetros!$B$6,0)+IF(IFERROR(INDEX(Trabajadores!$E$5:$E$204,MATCH(B183,Trabajadores!$A$5:$A$204,0)),"")="",Parámetros!$B$7,0))</f>
        <v/>
      </c>
      <c r="H183" s="5" t="str">
        <f t="shared" si="40"/>
        <v/>
      </c>
      <c r="I183" s="5" t="str">
        <f>IF(A183="","",IF(COUNTIF(Festivos!$A$5:$A$451,A183)&gt;0,"Festivo",IF(WEEKDAY(A183,2)=7,"Domingo",IF(AND(AF183=1,AC183&gt;1),IF(COUNTIF(Festivos!$A$5:$A$451,A183+1)&gt;0,"Festivo","Domingo")&amp;" desde las 00:00",""))))</f>
        <v/>
      </c>
      <c r="J183" s="19" t="str">
        <f t="shared" si="41"/>
        <v/>
      </c>
      <c r="K183" s="19" t="str">
        <f t="shared" si="42"/>
        <v/>
      </c>
      <c r="L183" s="19" t="str">
        <f t="shared" si="43"/>
        <v/>
      </c>
      <c r="M183" s="19" t="str">
        <f t="shared" si="44"/>
        <v/>
      </c>
      <c r="N183" s="19" t="str">
        <f t="shared" si="45"/>
        <v/>
      </c>
      <c r="O183" s="19" t="str">
        <f t="shared" si="46"/>
        <v/>
      </c>
      <c r="P183" s="19" t="str">
        <f t="shared" si="47"/>
        <v/>
      </c>
      <c r="Q183" s="19" t="str">
        <f t="shared" si="48"/>
        <v/>
      </c>
      <c r="R183" s="19" t="str">
        <f t="shared" si="49"/>
        <v/>
      </c>
      <c r="S183" s="17" t="str">
        <f>IF(B183="","",IFERROR(INDEX(Trabajadores!$G$5:$G$204,MATCH(B183,Trabajadores!$A$5:$A$204,0)),""))</f>
        <v/>
      </c>
      <c r="T183" s="17" t="str">
        <f>IF(OR(OR(A183="",D183="",E183=""),S183=""),"",ROUND(S183*(N(L183)*Parámetros!$B$8+N(M183)*(1+Parámetros!$B$9)+N(N183)*(1+Parámetros!$B$10)+N(O183)*(1+AG183)+N(P183)*(1+AG183+Parámetros!$B$8)+N(Q183)*(1+AG183+Parámetros!$B$9)+N(R183)*(1+AG183+Parámetros!$B$10)),0))</f>
        <v/>
      </c>
      <c r="U183" s="5" t="str">
        <f>IF(OR(A183="",D183="",E183=""),"",IF(N(M183)+N(N183)+N(Q183)+N(R183)&gt;Parámetros!$B$12,"Supera el límite de horas extras diarias",IF(C183="Cédula no registrada","Registre la cédula en «Trabajadores»","")))</f>
        <v/>
      </c>
      <c r="X183" s="20">
        <f t="shared" si="50"/>
        <v>0</v>
      </c>
      <c r="Y183" s="20">
        <f t="shared" si="51"/>
        <v>0</v>
      </c>
      <c r="Z183" s="20">
        <f t="shared" si="52"/>
        <v>0</v>
      </c>
      <c r="AA183" s="20">
        <f t="shared" si="53"/>
        <v>0</v>
      </c>
      <c r="AB183" s="20">
        <f t="shared" si="54"/>
        <v>0</v>
      </c>
      <c r="AC183" s="20">
        <f t="shared" si="55"/>
        <v>0</v>
      </c>
      <c r="AD183" s="20">
        <f>IF(A183="",21/24,MOD(VLOOKUP(A183,Parámetros!$A$24:$B$25,2,TRUE()),1))</f>
        <v>0.875</v>
      </c>
      <c r="AE183" s="5">
        <f>IF(A183="",0,IF(OR(WEEKDAY(A183,2)=7,COUNTIF(Festivos!$A$5:$A$451,A183)&gt;0),1,0))</f>
        <v>0</v>
      </c>
      <c r="AF183" s="5">
        <f>IF(A183="",0,IF(OR(WEEKDAY(A183+1,2)=7,COUNTIF(Festivos!$A$5:$A$451,A183+1)&gt;0),1,0))</f>
        <v>0</v>
      </c>
      <c r="AG183" s="9">
        <f>IF(A183="",0,VLOOKUP(A183,Parámetros!$A$18:$B$21,2,TRUE()))</f>
        <v>0</v>
      </c>
      <c r="AH183" s="20">
        <f t="shared" si="56"/>
        <v>0</v>
      </c>
      <c r="AI183" s="20">
        <f>MAX(0,MIN(AB183,Parámetros!$B$11)-MAX(X183,0))+MAX(0,MIN(AB183,1+Parámetros!$B$11)-MAX(X183,AD183))+MAX(0,MIN(AB183,2)-MAX(X183,1+AD183))</f>
        <v>0</v>
      </c>
      <c r="AJ183" s="20">
        <f t="shared" si="57"/>
        <v>0</v>
      </c>
      <c r="AK183" s="20">
        <f>AE183*(MAX(0,MIN(AB183,Parámetros!$B$11)-MAX(X183,0))+MAX(0,MIN(AB183,1)-MAX(X183,AD183)))+AF183*(MAX(0,MIN(AB183,1+Parámetros!$B$11)-MAX(X183,1))+MAX(0,MIN(AB183,2)-MAX(X183,1+AD183)))</f>
        <v>0</v>
      </c>
      <c r="AL183" s="20">
        <f t="shared" si="58"/>
        <v>0</v>
      </c>
      <c r="AM183" s="20">
        <f>MAX(0,MIN(AC183,Parámetros!$B$11)-MAX(AB183,0))+MAX(0,MIN(AC183,1+Parámetros!$B$11)-MAX(AB183,AD183))+MAX(0,MIN(AC183,2)-MAX(AB183,1+AD183))</f>
        <v>0</v>
      </c>
      <c r="AN183" s="20">
        <f t="shared" si="59"/>
        <v>0</v>
      </c>
      <c r="AO183" s="20">
        <f>AE183*(MAX(0,MIN(AC183,Parámetros!$B$11)-MAX(AB183,0))+MAX(0,MIN(AC183,1)-MAX(AB183,AD183)))+AF183*(MAX(0,MIN(AC183,1+Parámetros!$B$11)-MAX(AB183,1))+MAX(0,MIN(AC183,2)-MAX(AB183,1+AD183)))</f>
        <v>0</v>
      </c>
    </row>
    <row r="184" spans="1:41" x14ac:dyDescent="0.25">
      <c r="A184" s="15"/>
      <c r="B184" s="8"/>
      <c r="C184" s="5" t="str">
        <f>IF(B184="","",IFERROR(INDEX(Trabajadores!$B$5:$B$204,MATCH(B184,Trabajadores!$A$5:$A$204,0)),"Cédula no registrada"))</f>
        <v/>
      </c>
      <c r="D184" s="11"/>
      <c r="E184" s="11"/>
      <c r="F184" s="8"/>
      <c r="G184" s="18" t="str">
        <f>IF(A184="","",IFERROR(INDEX(Trabajadores!$E$5:$E$204,MATCH(B184,Trabajadores!$A$5:$A$204,0))/Parámetros!$B$6,0)+IF(IFERROR(INDEX(Trabajadores!$E$5:$E$204,MATCH(B184,Trabajadores!$A$5:$A$204,0)),"")="",Parámetros!$B$7,0))</f>
        <v/>
      </c>
      <c r="H184" s="5" t="str">
        <f t="shared" si="40"/>
        <v/>
      </c>
      <c r="I184" s="5" t="str">
        <f>IF(A184="","",IF(COUNTIF(Festivos!$A$5:$A$451,A184)&gt;0,"Festivo",IF(WEEKDAY(A184,2)=7,"Domingo",IF(AND(AF184=1,AC184&gt;1),IF(COUNTIF(Festivos!$A$5:$A$451,A184+1)&gt;0,"Festivo","Domingo")&amp;" desde las 00:00",""))))</f>
        <v/>
      </c>
      <c r="J184" s="19" t="str">
        <f t="shared" si="41"/>
        <v/>
      </c>
      <c r="K184" s="19" t="str">
        <f t="shared" si="42"/>
        <v/>
      </c>
      <c r="L184" s="19" t="str">
        <f t="shared" si="43"/>
        <v/>
      </c>
      <c r="M184" s="19" t="str">
        <f t="shared" si="44"/>
        <v/>
      </c>
      <c r="N184" s="19" t="str">
        <f t="shared" si="45"/>
        <v/>
      </c>
      <c r="O184" s="19" t="str">
        <f t="shared" si="46"/>
        <v/>
      </c>
      <c r="P184" s="19" t="str">
        <f t="shared" si="47"/>
        <v/>
      </c>
      <c r="Q184" s="19" t="str">
        <f t="shared" si="48"/>
        <v/>
      </c>
      <c r="R184" s="19" t="str">
        <f t="shared" si="49"/>
        <v/>
      </c>
      <c r="S184" s="17" t="str">
        <f>IF(B184="","",IFERROR(INDEX(Trabajadores!$G$5:$G$204,MATCH(B184,Trabajadores!$A$5:$A$204,0)),""))</f>
        <v/>
      </c>
      <c r="T184" s="17" t="str">
        <f>IF(OR(OR(A184="",D184="",E184=""),S184=""),"",ROUND(S184*(N(L184)*Parámetros!$B$8+N(M184)*(1+Parámetros!$B$9)+N(N184)*(1+Parámetros!$B$10)+N(O184)*(1+AG184)+N(P184)*(1+AG184+Parámetros!$B$8)+N(Q184)*(1+AG184+Parámetros!$B$9)+N(R184)*(1+AG184+Parámetros!$B$10)),0))</f>
        <v/>
      </c>
      <c r="U184" s="5" t="str">
        <f>IF(OR(A184="",D184="",E184=""),"",IF(N(M184)+N(N184)+N(Q184)+N(R184)&gt;Parámetros!$B$12,"Supera el límite de horas extras diarias",IF(C184="Cédula no registrada","Registre la cédula en «Trabajadores»","")))</f>
        <v/>
      </c>
      <c r="X184" s="20">
        <f t="shared" si="50"/>
        <v>0</v>
      </c>
      <c r="Y184" s="20">
        <f t="shared" si="51"/>
        <v>0</v>
      </c>
      <c r="Z184" s="20">
        <f t="shared" si="52"/>
        <v>0</v>
      </c>
      <c r="AA184" s="20">
        <f t="shared" si="53"/>
        <v>0</v>
      </c>
      <c r="AB184" s="20">
        <f t="shared" si="54"/>
        <v>0</v>
      </c>
      <c r="AC184" s="20">
        <f t="shared" si="55"/>
        <v>0</v>
      </c>
      <c r="AD184" s="20">
        <f>IF(A184="",21/24,MOD(VLOOKUP(A184,Parámetros!$A$24:$B$25,2,TRUE()),1))</f>
        <v>0.875</v>
      </c>
      <c r="AE184" s="5">
        <f>IF(A184="",0,IF(OR(WEEKDAY(A184,2)=7,COUNTIF(Festivos!$A$5:$A$451,A184)&gt;0),1,0))</f>
        <v>0</v>
      </c>
      <c r="AF184" s="5">
        <f>IF(A184="",0,IF(OR(WEEKDAY(A184+1,2)=7,COUNTIF(Festivos!$A$5:$A$451,A184+1)&gt;0),1,0))</f>
        <v>0</v>
      </c>
      <c r="AG184" s="9">
        <f>IF(A184="",0,VLOOKUP(A184,Parámetros!$A$18:$B$21,2,TRUE()))</f>
        <v>0</v>
      </c>
      <c r="AH184" s="20">
        <f t="shared" si="56"/>
        <v>0</v>
      </c>
      <c r="AI184" s="20">
        <f>MAX(0,MIN(AB184,Parámetros!$B$11)-MAX(X184,0))+MAX(0,MIN(AB184,1+Parámetros!$B$11)-MAX(X184,AD184))+MAX(0,MIN(AB184,2)-MAX(X184,1+AD184))</f>
        <v>0</v>
      </c>
      <c r="AJ184" s="20">
        <f t="shared" si="57"/>
        <v>0</v>
      </c>
      <c r="AK184" s="20">
        <f>AE184*(MAX(0,MIN(AB184,Parámetros!$B$11)-MAX(X184,0))+MAX(0,MIN(AB184,1)-MAX(X184,AD184)))+AF184*(MAX(0,MIN(AB184,1+Parámetros!$B$11)-MAX(X184,1))+MAX(0,MIN(AB184,2)-MAX(X184,1+AD184)))</f>
        <v>0</v>
      </c>
      <c r="AL184" s="20">
        <f t="shared" si="58"/>
        <v>0</v>
      </c>
      <c r="AM184" s="20">
        <f>MAX(0,MIN(AC184,Parámetros!$B$11)-MAX(AB184,0))+MAX(0,MIN(AC184,1+Parámetros!$B$11)-MAX(AB184,AD184))+MAX(0,MIN(AC184,2)-MAX(AB184,1+AD184))</f>
        <v>0</v>
      </c>
      <c r="AN184" s="20">
        <f t="shared" si="59"/>
        <v>0</v>
      </c>
      <c r="AO184" s="20">
        <f>AE184*(MAX(0,MIN(AC184,Parámetros!$B$11)-MAX(AB184,0))+MAX(0,MIN(AC184,1)-MAX(AB184,AD184)))+AF184*(MAX(0,MIN(AC184,1+Parámetros!$B$11)-MAX(AB184,1))+MAX(0,MIN(AC184,2)-MAX(AB184,1+AD184)))</f>
        <v>0</v>
      </c>
    </row>
    <row r="185" spans="1:41" x14ac:dyDescent="0.25">
      <c r="A185" s="15"/>
      <c r="B185" s="8"/>
      <c r="C185" s="5" t="str">
        <f>IF(B185="","",IFERROR(INDEX(Trabajadores!$B$5:$B$204,MATCH(B185,Trabajadores!$A$5:$A$204,0)),"Cédula no registrada"))</f>
        <v/>
      </c>
      <c r="D185" s="11"/>
      <c r="E185" s="11"/>
      <c r="F185" s="8"/>
      <c r="G185" s="18" t="str">
        <f>IF(A185="","",IFERROR(INDEX(Trabajadores!$E$5:$E$204,MATCH(B185,Trabajadores!$A$5:$A$204,0))/Parámetros!$B$6,0)+IF(IFERROR(INDEX(Trabajadores!$E$5:$E$204,MATCH(B185,Trabajadores!$A$5:$A$204,0)),"")="",Parámetros!$B$7,0))</f>
        <v/>
      </c>
      <c r="H185" s="5" t="str">
        <f t="shared" si="40"/>
        <v/>
      </c>
      <c r="I185" s="5" t="str">
        <f>IF(A185="","",IF(COUNTIF(Festivos!$A$5:$A$451,A185)&gt;0,"Festivo",IF(WEEKDAY(A185,2)=7,"Domingo",IF(AND(AF185=1,AC185&gt;1),IF(COUNTIF(Festivos!$A$5:$A$451,A185+1)&gt;0,"Festivo","Domingo")&amp;" desde las 00:00",""))))</f>
        <v/>
      </c>
      <c r="J185" s="19" t="str">
        <f t="shared" si="41"/>
        <v/>
      </c>
      <c r="K185" s="19" t="str">
        <f t="shared" si="42"/>
        <v/>
      </c>
      <c r="L185" s="19" t="str">
        <f t="shared" si="43"/>
        <v/>
      </c>
      <c r="M185" s="19" t="str">
        <f t="shared" si="44"/>
        <v/>
      </c>
      <c r="N185" s="19" t="str">
        <f t="shared" si="45"/>
        <v/>
      </c>
      <c r="O185" s="19" t="str">
        <f t="shared" si="46"/>
        <v/>
      </c>
      <c r="P185" s="19" t="str">
        <f t="shared" si="47"/>
        <v/>
      </c>
      <c r="Q185" s="19" t="str">
        <f t="shared" si="48"/>
        <v/>
      </c>
      <c r="R185" s="19" t="str">
        <f t="shared" si="49"/>
        <v/>
      </c>
      <c r="S185" s="17" t="str">
        <f>IF(B185="","",IFERROR(INDEX(Trabajadores!$G$5:$G$204,MATCH(B185,Trabajadores!$A$5:$A$204,0)),""))</f>
        <v/>
      </c>
      <c r="T185" s="17" t="str">
        <f>IF(OR(OR(A185="",D185="",E185=""),S185=""),"",ROUND(S185*(N(L185)*Parámetros!$B$8+N(M185)*(1+Parámetros!$B$9)+N(N185)*(1+Parámetros!$B$10)+N(O185)*(1+AG185)+N(P185)*(1+AG185+Parámetros!$B$8)+N(Q185)*(1+AG185+Parámetros!$B$9)+N(R185)*(1+AG185+Parámetros!$B$10)),0))</f>
        <v/>
      </c>
      <c r="U185" s="5" t="str">
        <f>IF(OR(A185="",D185="",E185=""),"",IF(N(M185)+N(N185)+N(Q185)+N(R185)&gt;Parámetros!$B$12,"Supera el límite de horas extras diarias",IF(C185="Cédula no registrada","Registre la cédula en «Trabajadores»","")))</f>
        <v/>
      </c>
      <c r="X185" s="20">
        <f t="shared" si="50"/>
        <v>0</v>
      </c>
      <c r="Y185" s="20">
        <f t="shared" si="51"/>
        <v>0</v>
      </c>
      <c r="Z185" s="20">
        <f t="shared" si="52"/>
        <v>0</v>
      </c>
      <c r="AA185" s="20">
        <f t="shared" si="53"/>
        <v>0</v>
      </c>
      <c r="AB185" s="20">
        <f t="shared" si="54"/>
        <v>0</v>
      </c>
      <c r="AC185" s="20">
        <f t="shared" si="55"/>
        <v>0</v>
      </c>
      <c r="AD185" s="20">
        <f>IF(A185="",21/24,MOD(VLOOKUP(A185,Parámetros!$A$24:$B$25,2,TRUE()),1))</f>
        <v>0.875</v>
      </c>
      <c r="AE185" s="5">
        <f>IF(A185="",0,IF(OR(WEEKDAY(A185,2)=7,COUNTIF(Festivos!$A$5:$A$451,A185)&gt;0),1,0))</f>
        <v>0</v>
      </c>
      <c r="AF185" s="5">
        <f>IF(A185="",0,IF(OR(WEEKDAY(A185+1,2)=7,COUNTIF(Festivos!$A$5:$A$451,A185+1)&gt;0),1,0))</f>
        <v>0</v>
      </c>
      <c r="AG185" s="9">
        <f>IF(A185="",0,VLOOKUP(A185,Parámetros!$A$18:$B$21,2,TRUE()))</f>
        <v>0</v>
      </c>
      <c r="AH185" s="20">
        <f t="shared" si="56"/>
        <v>0</v>
      </c>
      <c r="AI185" s="20">
        <f>MAX(0,MIN(AB185,Parámetros!$B$11)-MAX(X185,0))+MAX(0,MIN(AB185,1+Parámetros!$B$11)-MAX(X185,AD185))+MAX(0,MIN(AB185,2)-MAX(X185,1+AD185))</f>
        <v>0</v>
      </c>
      <c r="AJ185" s="20">
        <f t="shared" si="57"/>
        <v>0</v>
      </c>
      <c r="AK185" s="20">
        <f>AE185*(MAX(0,MIN(AB185,Parámetros!$B$11)-MAX(X185,0))+MAX(0,MIN(AB185,1)-MAX(X185,AD185)))+AF185*(MAX(0,MIN(AB185,1+Parámetros!$B$11)-MAX(X185,1))+MAX(0,MIN(AB185,2)-MAX(X185,1+AD185)))</f>
        <v>0</v>
      </c>
      <c r="AL185" s="20">
        <f t="shared" si="58"/>
        <v>0</v>
      </c>
      <c r="AM185" s="20">
        <f>MAX(0,MIN(AC185,Parámetros!$B$11)-MAX(AB185,0))+MAX(0,MIN(AC185,1+Parámetros!$B$11)-MAX(AB185,AD185))+MAX(0,MIN(AC185,2)-MAX(AB185,1+AD185))</f>
        <v>0</v>
      </c>
      <c r="AN185" s="20">
        <f t="shared" si="59"/>
        <v>0</v>
      </c>
      <c r="AO185" s="20">
        <f>AE185*(MAX(0,MIN(AC185,Parámetros!$B$11)-MAX(AB185,0))+MAX(0,MIN(AC185,1)-MAX(AB185,AD185)))+AF185*(MAX(0,MIN(AC185,1+Parámetros!$B$11)-MAX(AB185,1))+MAX(0,MIN(AC185,2)-MAX(AB185,1+AD185)))</f>
        <v>0</v>
      </c>
    </row>
    <row r="186" spans="1:41" x14ac:dyDescent="0.25">
      <c r="A186" s="15"/>
      <c r="B186" s="8"/>
      <c r="C186" s="5" t="str">
        <f>IF(B186="","",IFERROR(INDEX(Trabajadores!$B$5:$B$204,MATCH(B186,Trabajadores!$A$5:$A$204,0)),"Cédula no registrada"))</f>
        <v/>
      </c>
      <c r="D186" s="11"/>
      <c r="E186" s="11"/>
      <c r="F186" s="8"/>
      <c r="G186" s="18" t="str">
        <f>IF(A186="","",IFERROR(INDEX(Trabajadores!$E$5:$E$204,MATCH(B186,Trabajadores!$A$5:$A$204,0))/Parámetros!$B$6,0)+IF(IFERROR(INDEX(Trabajadores!$E$5:$E$204,MATCH(B186,Trabajadores!$A$5:$A$204,0)),"")="",Parámetros!$B$7,0))</f>
        <v/>
      </c>
      <c r="H186" s="5" t="str">
        <f t="shared" si="40"/>
        <v/>
      </c>
      <c r="I186" s="5" t="str">
        <f>IF(A186="","",IF(COUNTIF(Festivos!$A$5:$A$451,A186)&gt;0,"Festivo",IF(WEEKDAY(A186,2)=7,"Domingo",IF(AND(AF186=1,AC186&gt;1),IF(COUNTIF(Festivos!$A$5:$A$451,A186+1)&gt;0,"Festivo","Domingo")&amp;" desde las 00:00",""))))</f>
        <v/>
      </c>
      <c r="J186" s="19" t="str">
        <f t="shared" si="41"/>
        <v/>
      </c>
      <c r="K186" s="19" t="str">
        <f t="shared" si="42"/>
        <v/>
      </c>
      <c r="L186" s="19" t="str">
        <f t="shared" si="43"/>
        <v/>
      </c>
      <c r="M186" s="19" t="str">
        <f t="shared" si="44"/>
        <v/>
      </c>
      <c r="N186" s="19" t="str">
        <f t="shared" si="45"/>
        <v/>
      </c>
      <c r="O186" s="19" t="str">
        <f t="shared" si="46"/>
        <v/>
      </c>
      <c r="P186" s="19" t="str">
        <f t="shared" si="47"/>
        <v/>
      </c>
      <c r="Q186" s="19" t="str">
        <f t="shared" si="48"/>
        <v/>
      </c>
      <c r="R186" s="19" t="str">
        <f t="shared" si="49"/>
        <v/>
      </c>
      <c r="S186" s="17" t="str">
        <f>IF(B186="","",IFERROR(INDEX(Trabajadores!$G$5:$G$204,MATCH(B186,Trabajadores!$A$5:$A$204,0)),""))</f>
        <v/>
      </c>
      <c r="T186" s="17" t="str">
        <f>IF(OR(OR(A186="",D186="",E186=""),S186=""),"",ROUND(S186*(N(L186)*Parámetros!$B$8+N(M186)*(1+Parámetros!$B$9)+N(N186)*(1+Parámetros!$B$10)+N(O186)*(1+AG186)+N(P186)*(1+AG186+Parámetros!$B$8)+N(Q186)*(1+AG186+Parámetros!$B$9)+N(R186)*(1+AG186+Parámetros!$B$10)),0))</f>
        <v/>
      </c>
      <c r="U186" s="5" t="str">
        <f>IF(OR(A186="",D186="",E186=""),"",IF(N(M186)+N(N186)+N(Q186)+N(R186)&gt;Parámetros!$B$12,"Supera el límite de horas extras diarias",IF(C186="Cédula no registrada","Registre la cédula en «Trabajadores»","")))</f>
        <v/>
      </c>
      <c r="X186" s="20">
        <f t="shared" si="50"/>
        <v>0</v>
      </c>
      <c r="Y186" s="20">
        <f t="shared" si="51"/>
        <v>0</v>
      </c>
      <c r="Z186" s="20">
        <f t="shared" si="52"/>
        <v>0</v>
      </c>
      <c r="AA186" s="20">
        <f t="shared" si="53"/>
        <v>0</v>
      </c>
      <c r="AB186" s="20">
        <f t="shared" si="54"/>
        <v>0</v>
      </c>
      <c r="AC186" s="20">
        <f t="shared" si="55"/>
        <v>0</v>
      </c>
      <c r="AD186" s="20">
        <f>IF(A186="",21/24,MOD(VLOOKUP(A186,Parámetros!$A$24:$B$25,2,TRUE()),1))</f>
        <v>0.875</v>
      </c>
      <c r="AE186" s="5">
        <f>IF(A186="",0,IF(OR(WEEKDAY(A186,2)=7,COUNTIF(Festivos!$A$5:$A$451,A186)&gt;0),1,0))</f>
        <v>0</v>
      </c>
      <c r="AF186" s="5">
        <f>IF(A186="",0,IF(OR(WEEKDAY(A186+1,2)=7,COUNTIF(Festivos!$A$5:$A$451,A186+1)&gt;0),1,0))</f>
        <v>0</v>
      </c>
      <c r="AG186" s="9">
        <f>IF(A186="",0,VLOOKUP(A186,Parámetros!$A$18:$B$21,2,TRUE()))</f>
        <v>0</v>
      </c>
      <c r="AH186" s="20">
        <f t="shared" si="56"/>
        <v>0</v>
      </c>
      <c r="AI186" s="20">
        <f>MAX(0,MIN(AB186,Parámetros!$B$11)-MAX(X186,0))+MAX(0,MIN(AB186,1+Parámetros!$B$11)-MAX(X186,AD186))+MAX(0,MIN(AB186,2)-MAX(X186,1+AD186))</f>
        <v>0</v>
      </c>
      <c r="AJ186" s="20">
        <f t="shared" si="57"/>
        <v>0</v>
      </c>
      <c r="AK186" s="20">
        <f>AE186*(MAX(0,MIN(AB186,Parámetros!$B$11)-MAX(X186,0))+MAX(0,MIN(AB186,1)-MAX(X186,AD186)))+AF186*(MAX(0,MIN(AB186,1+Parámetros!$B$11)-MAX(X186,1))+MAX(0,MIN(AB186,2)-MAX(X186,1+AD186)))</f>
        <v>0</v>
      </c>
      <c r="AL186" s="20">
        <f t="shared" si="58"/>
        <v>0</v>
      </c>
      <c r="AM186" s="20">
        <f>MAX(0,MIN(AC186,Parámetros!$B$11)-MAX(AB186,0))+MAX(0,MIN(AC186,1+Parámetros!$B$11)-MAX(AB186,AD186))+MAX(0,MIN(AC186,2)-MAX(AB186,1+AD186))</f>
        <v>0</v>
      </c>
      <c r="AN186" s="20">
        <f t="shared" si="59"/>
        <v>0</v>
      </c>
      <c r="AO186" s="20">
        <f>AE186*(MAX(0,MIN(AC186,Parámetros!$B$11)-MAX(AB186,0))+MAX(0,MIN(AC186,1)-MAX(AB186,AD186)))+AF186*(MAX(0,MIN(AC186,1+Parámetros!$B$11)-MAX(AB186,1))+MAX(0,MIN(AC186,2)-MAX(AB186,1+AD186)))</f>
        <v>0</v>
      </c>
    </row>
    <row r="187" spans="1:41" x14ac:dyDescent="0.25">
      <c r="A187" s="15"/>
      <c r="B187" s="8"/>
      <c r="C187" s="5" t="str">
        <f>IF(B187="","",IFERROR(INDEX(Trabajadores!$B$5:$B$204,MATCH(B187,Trabajadores!$A$5:$A$204,0)),"Cédula no registrada"))</f>
        <v/>
      </c>
      <c r="D187" s="11"/>
      <c r="E187" s="11"/>
      <c r="F187" s="8"/>
      <c r="G187" s="18" t="str">
        <f>IF(A187="","",IFERROR(INDEX(Trabajadores!$E$5:$E$204,MATCH(B187,Trabajadores!$A$5:$A$204,0))/Parámetros!$B$6,0)+IF(IFERROR(INDEX(Trabajadores!$E$5:$E$204,MATCH(B187,Trabajadores!$A$5:$A$204,0)),"")="",Parámetros!$B$7,0))</f>
        <v/>
      </c>
      <c r="H187" s="5" t="str">
        <f t="shared" si="40"/>
        <v/>
      </c>
      <c r="I187" s="5" t="str">
        <f>IF(A187="","",IF(COUNTIF(Festivos!$A$5:$A$451,A187)&gt;0,"Festivo",IF(WEEKDAY(A187,2)=7,"Domingo",IF(AND(AF187=1,AC187&gt;1),IF(COUNTIF(Festivos!$A$5:$A$451,A187+1)&gt;0,"Festivo","Domingo")&amp;" desde las 00:00",""))))</f>
        <v/>
      </c>
      <c r="J187" s="19" t="str">
        <f t="shared" si="41"/>
        <v/>
      </c>
      <c r="K187" s="19" t="str">
        <f t="shared" si="42"/>
        <v/>
      </c>
      <c r="L187" s="19" t="str">
        <f t="shared" si="43"/>
        <v/>
      </c>
      <c r="M187" s="19" t="str">
        <f t="shared" si="44"/>
        <v/>
      </c>
      <c r="N187" s="19" t="str">
        <f t="shared" si="45"/>
        <v/>
      </c>
      <c r="O187" s="19" t="str">
        <f t="shared" si="46"/>
        <v/>
      </c>
      <c r="P187" s="19" t="str">
        <f t="shared" si="47"/>
        <v/>
      </c>
      <c r="Q187" s="19" t="str">
        <f t="shared" si="48"/>
        <v/>
      </c>
      <c r="R187" s="19" t="str">
        <f t="shared" si="49"/>
        <v/>
      </c>
      <c r="S187" s="17" t="str">
        <f>IF(B187="","",IFERROR(INDEX(Trabajadores!$G$5:$G$204,MATCH(B187,Trabajadores!$A$5:$A$204,0)),""))</f>
        <v/>
      </c>
      <c r="T187" s="17" t="str">
        <f>IF(OR(OR(A187="",D187="",E187=""),S187=""),"",ROUND(S187*(N(L187)*Parámetros!$B$8+N(M187)*(1+Parámetros!$B$9)+N(N187)*(1+Parámetros!$B$10)+N(O187)*(1+AG187)+N(P187)*(1+AG187+Parámetros!$B$8)+N(Q187)*(1+AG187+Parámetros!$B$9)+N(R187)*(1+AG187+Parámetros!$B$10)),0))</f>
        <v/>
      </c>
      <c r="U187" s="5" t="str">
        <f>IF(OR(A187="",D187="",E187=""),"",IF(N(M187)+N(N187)+N(Q187)+N(R187)&gt;Parámetros!$B$12,"Supera el límite de horas extras diarias",IF(C187="Cédula no registrada","Registre la cédula en «Trabajadores»","")))</f>
        <v/>
      </c>
      <c r="X187" s="20">
        <f t="shared" si="50"/>
        <v>0</v>
      </c>
      <c r="Y187" s="20">
        <f t="shared" si="51"/>
        <v>0</v>
      </c>
      <c r="Z187" s="20">
        <f t="shared" si="52"/>
        <v>0</v>
      </c>
      <c r="AA187" s="20">
        <f t="shared" si="53"/>
        <v>0</v>
      </c>
      <c r="AB187" s="20">
        <f t="shared" si="54"/>
        <v>0</v>
      </c>
      <c r="AC187" s="20">
        <f t="shared" si="55"/>
        <v>0</v>
      </c>
      <c r="AD187" s="20">
        <f>IF(A187="",21/24,MOD(VLOOKUP(A187,Parámetros!$A$24:$B$25,2,TRUE()),1))</f>
        <v>0.875</v>
      </c>
      <c r="AE187" s="5">
        <f>IF(A187="",0,IF(OR(WEEKDAY(A187,2)=7,COUNTIF(Festivos!$A$5:$A$451,A187)&gt;0),1,0))</f>
        <v>0</v>
      </c>
      <c r="AF187" s="5">
        <f>IF(A187="",0,IF(OR(WEEKDAY(A187+1,2)=7,COUNTIF(Festivos!$A$5:$A$451,A187+1)&gt;0),1,0))</f>
        <v>0</v>
      </c>
      <c r="AG187" s="9">
        <f>IF(A187="",0,VLOOKUP(A187,Parámetros!$A$18:$B$21,2,TRUE()))</f>
        <v>0</v>
      </c>
      <c r="AH187" s="20">
        <f t="shared" si="56"/>
        <v>0</v>
      </c>
      <c r="AI187" s="20">
        <f>MAX(0,MIN(AB187,Parámetros!$B$11)-MAX(X187,0))+MAX(0,MIN(AB187,1+Parámetros!$B$11)-MAX(X187,AD187))+MAX(0,MIN(AB187,2)-MAX(X187,1+AD187))</f>
        <v>0</v>
      </c>
      <c r="AJ187" s="20">
        <f t="shared" si="57"/>
        <v>0</v>
      </c>
      <c r="AK187" s="20">
        <f>AE187*(MAX(0,MIN(AB187,Parámetros!$B$11)-MAX(X187,0))+MAX(0,MIN(AB187,1)-MAX(X187,AD187)))+AF187*(MAX(0,MIN(AB187,1+Parámetros!$B$11)-MAX(X187,1))+MAX(0,MIN(AB187,2)-MAX(X187,1+AD187)))</f>
        <v>0</v>
      </c>
      <c r="AL187" s="20">
        <f t="shared" si="58"/>
        <v>0</v>
      </c>
      <c r="AM187" s="20">
        <f>MAX(0,MIN(AC187,Parámetros!$B$11)-MAX(AB187,0))+MAX(0,MIN(AC187,1+Parámetros!$B$11)-MAX(AB187,AD187))+MAX(0,MIN(AC187,2)-MAX(AB187,1+AD187))</f>
        <v>0</v>
      </c>
      <c r="AN187" s="20">
        <f t="shared" si="59"/>
        <v>0</v>
      </c>
      <c r="AO187" s="20">
        <f>AE187*(MAX(0,MIN(AC187,Parámetros!$B$11)-MAX(AB187,0))+MAX(0,MIN(AC187,1)-MAX(AB187,AD187)))+AF187*(MAX(0,MIN(AC187,1+Parámetros!$B$11)-MAX(AB187,1))+MAX(0,MIN(AC187,2)-MAX(AB187,1+AD187)))</f>
        <v>0</v>
      </c>
    </row>
    <row r="188" spans="1:41" x14ac:dyDescent="0.25">
      <c r="A188" s="15"/>
      <c r="B188" s="8"/>
      <c r="C188" s="5" t="str">
        <f>IF(B188="","",IFERROR(INDEX(Trabajadores!$B$5:$B$204,MATCH(B188,Trabajadores!$A$5:$A$204,0)),"Cédula no registrada"))</f>
        <v/>
      </c>
      <c r="D188" s="11"/>
      <c r="E188" s="11"/>
      <c r="F188" s="8"/>
      <c r="G188" s="18" t="str">
        <f>IF(A188="","",IFERROR(INDEX(Trabajadores!$E$5:$E$204,MATCH(B188,Trabajadores!$A$5:$A$204,0))/Parámetros!$B$6,0)+IF(IFERROR(INDEX(Trabajadores!$E$5:$E$204,MATCH(B188,Trabajadores!$A$5:$A$204,0)),"")="",Parámetros!$B$7,0))</f>
        <v/>
      </c>
      <c r="H188" s="5" t="str">
        <f t="shared" si="40"/>
        <v/>
      </c>
      <c r="I188" s="5" t="str">
        <f>IF(A188="","",IF(COUNTIF(Festivos!$A$5:$A$451,A188)&gt;0,"Festivo",IF(WEEKDAY(A188,2)=7,"Domingo",IF(AND(AF188=1,AC188&gt;1),IF(COUNTIF(Festivos!$A$5:$A$451,A188+1)&gt;0,"Festivo","Domingo")&amp;" desde las 00:00",""))))</f>
        <v/>
      </c>
      <c r="J188" s="19" t="str">
        <f t="shared" si="41"/>
        <v/>
      </c>
      <c r="K188" s="19" t="str">
        <f t="shared" si="42"/>
        <v/>
      </c>
      <c r="L188" s="19" t="str">
        <f t="shared" si="43"/>
        <v/>
      </c>
      <c r="M188" s="19" t="str">
        <f t="shared" si="44"/>
        <v/>
      </c>
      <c r="N188" s="19" t="str">
        <f t="shared" si="45"/>
        <v/>
      </c>
      <c r="O188" s="19" t="str">
        <f t="shared" si="46"/>
        <v/>
      </c>
      <c r="P188" s="19" t="str">
        <f t="shared" si="47"/>
        <v/>
      </c>
      <c r="Q188" s="19" t="str">
        <f t="shared" si="48"/>
        <v/>
      </c>
      <c r="R188" s="19" t="str">
        <f t="shared" si="49"/>
        <v/>
      </c>
      <c r="S188" s="17" t="str">
        <f>IF(B188="","",IFERROR(INDEX(Trabajadores!$G$5:$G$204,MATCH(B188,Trabajadores!$A$5:$A$204,0)),""))</f>
        <v/>
      </c>
      <c r="T188" s="17" t="str">
        <f>IF(OR(OR(A188="",D188="",E188=""),S188=""),"",ROUND(S188*(N(L188)*Parámetros!$B$8+N(M188)*(1+Parámetros!$B$9)+N(N188)*(1+Parámetros!$B$10)+N(O188)*(1+AG188)+N(P188)*(1+AG188+Parámetros!$B$8)+N(Q188)*(1+AG188+Parámetros!$B$9)+N(R188)*(1+AG188+Parámetros!$B$10)),0))</f>
        <v/>
      </c>
      <c r="U188" s="5" t="str">
        <f>IF(OR(A188="",D188="",E188=""),"",IF(N(M188)+N(N188)+N(Q188)+N(R188)&gt;Parámetros!$B$12,"Supera el límite de horas extras diarias",IF(C188="Cédula no registrada","Registre la cédula en «Trabajadores»","")))</f>
        <v/>
      </c>
      <c r="X188" s="20">
        <f t="shared" si="50"/>
        <v>0</v>
      </c>
      <c r="Y188" s="20">
        <f t="shared" si="51"/>
        <v>0</v>
      </c>
      <c r="Z188" s="20">
        <f t="shared" si="52"/>
        <v>0</v>
      </c>
      <c r="AA188" s="20">
        <f t="shared" si="53"/>
        <v>0</v>
      </c>
      <c r="AB188" s="20">
        <f t="shared" si="54"/>
        <v>0</v>
      </c>
      <c r="AC188" s="20">
        <f t="shared" si="55"/>
        <v>0</v>
      </c>
      <c r="AD188" s="20">
        <f>IF(A188="",21/24,MOD(VLOOKUP(A188,Parámetros!$A$24:$B$25,2,TRUE()),1))</f>
        <v>0.875</v>
      </c>
      <c r="AE188" s="5">
        <f>IF(A188="",0,IF(OR(WEEKDAY(A188,2)=7,COUNTIF(Festivos!$A$5:$A$451,A188)&gt;0),1,0))</f>
        <v>0</v>
      </c>
      <c r="AF188" s="5">
        <f>IF(A188="",0,IF(OR(WEEKDAY(A188+1,2)=7,COUNTIF(Festivos!$A$5:$A$451,A188+1)&gt;0),1,0))</f>
        <v>0</v>
      </c>
      <c r="AG188" s="9">
        <f>IF(A188="",0,VLOOKUP(A188,Parámetros!$A$18:$B$21,2,TRUE()))</f>
        <v>0</v>
      </c>
      <c r="AH188" s="20">
        <f t="shared" si="56"/>
        <v>0</v>
      </c>
      <c r="AI188" s="20">
        <f>MAX(0,MIN(AB188,Parámetros!$B$11)-MAX(X188,0))+MAX(0,MIN(AB188,1+Parámetros!$B$11)-MAX(X188,AD188))+MAX(0,MIN(AB188,2)-MAX(X188,1+AD188))</f>
        <v>0</v>
      </c>
      <c r="AJ188" s="20">
        <f t="shared" si="57"/>
        <v>0</v>
      </c>
      <c r="AK188" s="20">
        <f>AE188*(MAX(0,MIN(AB188,Parámetros!$B$11)-MAX(X188,0))+MAX(0,MIN(AB188,1)-MAX(X188,AD188)))+AF188*(MAX(0,MIN(AB188,1+Parámetros!$B$11)-MAX(X188,1))+MAX(0,MIN(AB188,2)-MAX(X188,1+AD188)))</f>
        <v>0</v>
      </c>
      <c r="AL188" s="20">
        <f t="shared" si="58"/>
        <v>0</v>
      </c>
      <c r="AM188" s="20">
        <f>MAX(0,MIN(AC188,Parámetros!$B$11)-MAX(AB188,0))+MAX(0,MIN(AC188,1+Parámetros!$B$11)-MAX(AB188,AD188))+MAX(0,MIN(AC188,2)-MAX(AB188,1+AD188))</f>
        <v>0</v>
      </c>
      <c r="AN188" s="20">
        <f t="shared" si="59"/>
        <v>0</v>
      </c>
      <c r="AO188" s="20">
        <f>AE188*(MAX(0,MIN(AC188,Parámetros!$B$11)-MAX(AB188,0))+MAX(0,MIN(AC188,1)-MAX(AB188,AD188)))+AF188*(MAX(0,MIN(AC188,1+Parámetros!$B$11)-MAX(AB188,1))+MAX(0,MIN(AC188,2)-MAX(AB188,1+AD188)))</f>
        <v>0</v>
      </c>
    </row>
    <row r="189" spans="1:41" x14ac:dyDescent="0.25">
      <c r="A189" s="15"/>
      <c r="B189" s="8"/>
      <c r="C189" s="5" t="str">
        <f>IF(B189="","",IFERROR(INDEX(Trabajadores!$B$5:$B$204,MATCH(B189,Trabajadores!$A$5:$A$204,0)),"Cédula no registrada"))</f>
        <v/>
      </c>
      <c r="D189" s="11"/>
      <c r="E189" s="11"/>
      <c r="F189" s="8"/>
      <c r="G189" s="18" t="str">
        <f>IF(A189="","",IFERROR(INDEX(Trabajadores!$E$5:$E$204,MATCH(B189,Trabajadores!$A$5:$A$204,0))/Parámetros!$B$6,0)+IF(IFERROR(INDEX(Trabajadores!$E$5:$E$204,MATCH(B189,Trabajadores!$A$5:$A$204,0)),"")="",Parámetros!$B$7,0))</f>
        <v/>
      </c>
      <c r="H189" s="5" t="str">
        <f t="shared" si="40"/>
        <v/>
      </c>
      <c r="I189" s="5" t="str">
        <f>IF(A189="","",IF(COUNTIF(Festivos!$A$5:$A$451,A189)&gt;0,"Festivo",IF(WEEKDAY(A189,2)=7,"Domingo",IF(AND(AF189=1,AC189&gt;1),IF(COUNTIF(Festivos!$A$5:$A$451,A189+1)&gt;0,"Festivo","Domingo")&amp;" desde las 00:00",""))))</f>
        <v/>
      </c>
      <c r="J189" s="19" t="str">
        <f t="shared" si="41"/>
        <v/>
      </c>
      <c r="K189" s="19" t="str">
        <f t="shared" si="42"/>
        <v/>
      </c>
      <c r="L189" s="19" t="str">
        <f t="shared" si="43"/>
        <v/>
      </c>
      <c r="M189" s="19" t="str">
        <f t="shared" si="44"/>
        <v/>
      </c>
      <c r="N189" s="19" t="str">
        <f t="shared" si="45"/>
        <v/>
      </c>
      <c r="O189" s="19" t="str">
        <f t="shared" si="46"/>
        <v/>
      </c>
      <c r="P189" s="19" t="str">
        <f t="shared" si="47"/>
        <v/>
      </c>
      <c r="Q189" s="19" t="str">
        <f t="shared" si="48"/>
        <v/>
      </c>
      <c r="R189" s="19" t="str">
        <f t="shared" si="49"/>
        <v/>
      </c>
      <c r="S189" s="17" t="str">
        <f>IF(B189="","",IFERROR(INDEX(Trabajadores!$G$5:$G$204,MATCH(B189,Trabajadores!$A$5:$A$204,0)),""))</f>
        <v/>
      </c>
      <c r="T189" s="17" t="str">
        <f>IF(OR(OR(A189="",D189="",E189=""),S189=""),"",ROUND(S189*(N(L189)*Parámetros!$B$8+N(M189)*(1+Parámetros!$B$9)+N(N189)*(1+Parámetros!$B$10)+N(O189)*(1+AG189)+N(P189)*(1+AG189+Parámetros!$B$8)+N(Q189)*(1+AG189+Parámetros!$B$9)+N(R189)*(1+AG189+Parámetros!$B$10)),0))</f>
        <v/>
      </c>
      <c r="U189" s="5" t="str">
        <f>IF(OR(A189="",D189="",E189=""),"",IF(N(M189)+N(N189)+N(Q189)+N(R189)&gt;Parámetros!$B$12,"Supera el límite de horas extras diarias",IF(C189="Cédula no registrada","Registre la cédula en «Trabajadores»","")))</f>
        <v/>
      </c>
      <c r="X189" s="20">
        <f t="shared" si="50"/>
        <v>0</v>
      </c>
      <c r="Y189" s="20">
        <f t="shared" si="51"/>
        <v>0</v>
      </c>
      <c r="Z189" s="20">
        <f t="shared" si="52"/>
        <v>0</v>
      </c>
      <c r="AA189" s="20">
        <f t="shared" si="53"/>
        <v>0</v>
      </c>
      <c r="AB189" s="20">
        <f t="shared" si="54"/>
        <v>0</v>
      </c>
      <c r="AC189" s="20">
        <f t="shared" si="55"/>
        <v>0</v>
      </c>
      <c r="AD189" s="20">
        <f>IF(A189="",21/24,MOD(VLOOKUP(A189,Parámetros!$A$24:$B$25,2,TRUE()),1))</f>
        <v>0.875</v>
      </c>
      <c r="AE189" s="5">
        <f>IF(A189="",0,IF(OR(WEEKDAY(A189,2)=7,COUNTIF(Festivos!$A$5:$A$451,A189)&gt;0),1,0))</f>
        <v>0</v>
      </c>
      <c r="AF189" s="5">
        <f>IF(A189="",0,IF(OR(WEEKDAY(A189+1,2)=7,COUNTIF(Festivos!$A$5:$A$451,A189+1)&gt;0),1,0))</f>
        <v>0</v>
      </c>
      <c r="AG189" s="9">
        <f>IF(A189="",0,VLOOKUP(A189,Parámetros!$A$18:$B$21,2,TRUE()))</f>
        <v>0</v>
      </c>
      <c r="AH189" s="20">
        <f t="shared" si="56"/>
        <v>0</v>
      </c>
      <c r="AI189" s="20">
        <f>MAX(0,MIN(AB189,Parámetros!$B$11)-MAX(X189,0))+MAX(0,MIN(AB189,1+Parámetros!$B$11)-MAX(X189,AD189))+MAX(0,MIN(AB189,2)-MAX(X189,1+AD189))</f>
        <v>0</v>
      </c>
      <c r="AJ189" s="20">
        <f t="shared" si="57"/>
        <v>0</v>
      </c>
      <c r="AK189" s="20">
        <f>AE189*(MAX(0,MIN(AB189,Parámetros!$B$11)-MAX(X189,0))+MAX(0,MIN(AB189,1)-MAX(X189,AD189)))+AF189*(MAX(0,MIN(AB189,1+Parámetros!$B$11)-MAX(X189,1))+MAX(0,MIN(AB189,2)-MAX(X189,1+AD189)))</f>
        <v>0</v>
      </c>
      <c r="AL189" s="20">
        <f t="shared" si="58"/>
        <v>0</v>
      </c>
      <c r="AM189" s="20">
        <f>MAX(0,MIN(AC189,Parámetros!$B$11)-MAX(AB189,0))+MAX(0,MIN(AC189,1+Parámetros!$B$11)-MAX(AB189,AD189))+MAX(0,MIN(AC189,2)-MAX(AB189,1+AD189))</f>
        <v>0</v>
      </c>
      <c r="AN189" s="20">
        <f t="shared" si="59"/>
        <v>0</v>
      </c>
      <c r="AO189" s="20">
        <f>AE189*(MAX(0,MIN(AC189,Parámetros!$B$11)-MAX(AB189,0))+MAX(0,MIN(AC189,1)-MAX(AB189,AD189)))+AF189*(MAX(0,MIN(AC189,1+Parámetros!$B$11)-MAX(AB189,1))+MAX(0,MIN(AC189,2)-MAX(AB189,1+AD189)))</f>
        <v>0</v>
      </c>
    </row>
    <row r="190" spans="1:41" x14ac:dyDescent="0.25">
      <c r="A190" s="15"/>
      <c r="B190" s="8"/>
      <c r="C190" s="5" t="str">
        <f>IF(B190="","",IFERROR(INDEX(Trabajadores!$B$5:$B$204,MATCH(B190,Trabajadores!$A$5:$A$204,0)),"Cédula no registrada"))</f>
        <v/>
      </c>
      <c r="D190" s="11"/>
      <c r="E190" s="11"/>
      <c r="F190" s="8"/>
      <c r="G190" s="18" t="str">
        <f>IF(A190="","",IFERROR(INDEX(Trabajadores!$E$5:$E$204,MATCH(B190,Trabajadores!$A$5:$A$204,0))/Parámetros!$B$6,0)+IF(IFERROR(INDEX(Trabajadores!$E$5:$E$204,MATCH(B190,Trabajadores!$A$5:$A$204,0)),"")="",Parámetros!$B$7,0))</f>
        <v/>
      </c>
      <c r="H190" s="5" t="str">
        <f t="shared" si="40"/>
        <v/>
      </c>
      <c r="I190" s="5" t="str">
        <f>IF(A190="","",IF(COUNTIF(Festivos!$A$5:$A$451,A190)&gt;0,"Festivo",IF(WEEKDAY(A190,2)=7,"Domingo",IF(AND(AF190=1,AC190&gt;1),IF(COUNTIF(Festivos!$A$5:$A$451,A190+1)&gt;0,"Festivo","Domingo")&amp;" desde las 00:00",""))))</f>
        <v/>
      </c>
      <c r="J190" s="19" t="str">
        <f t="shared" si="41"/>
        <v/>
      </c>
      <c r="K190" s="19" t="str">
        <f t="shared" si="42"/>
        <v/>
      </c>
      <c r="L190" s="19" t="str">
        <f t="shared" si="43"/>
        <v/>
      </c>
      <c r="M190" s="19" t="str">
        <f t="shared" si="44"/>
        <v/>
      </c>
      <c r="N190" s="19" t="str">
        <f t="shared" si="45"/>
        <v/>
      </c>
      <c r="O190" s="19" t="str">
        <f t="shared" si="46"/>
        <v/>
      </c>
      <c r="P190" s="19" t="str">
        <f t="shared" si="47"/>
        <v/>
      </c>
      <c r="Q190" s="19" t="str">
        <f t="shared" si="48"/>
        <v/>
      </c>
      <c r="R190" s="19" t="str">
        <f t="shared" si="49"/>
        <v/>
      </c>
      <c r="S190" s="17" t="str">
        <f>IF(B190="","",IFERROR(INDEX(Trabajadores!$G$5:$G$204,MATCH(B190,Trabajadores!$A$5:$A$204,0)),""))</f>
        <v/>
      </c>
      <c r="T190" s="17" t="str">
        <f>IF(OR(OR(A190="",D190="",E190=""),S190=""),"",ROUND(S190*(N(L190)*Parámetros!$B$8+N(M190)*(1+Parámetros!$B$9)+N(N190)*(1+Parámetros!$B$10)+N(O190)*(1+AG190)+N(P190)*(1+AG190+Parámetros!$B$8)+N(Q190)*(1+AG190+Parámetros!$B$9)+N(R190)*(1+AG190+Parámetros!$B$10)),0))</f>
        <v/>
      </c>
      <c r="U190" s="5" t="str">
        <f>IF(OR(A190="",D190="",E190=""),"",IF(N(M190)+N(N190)+N(Q190)+N(R190)&gt;Parámetros!$B$12,"Supera el límite de horas extras diarias",IF(C190="Cédula no registrada","Registre la cédula en «Trabajadores»","")))</f>
        <v/>
      </c>
      <c r="X190" s="20">
        <f t="shared" si="50"/>
        <v>0</v>
      </c>
      <c r="Y190" s="20">
        <f t="shared" si="51"/>
        <v>0</v>
      </c>
      <c r="Z190" s="20">
        <f t="shared" si="52"/>
        <v>0</v>
      </c>
      <c r="AA190" s="20">
        <f t="shared" si="53"/>
        <v>0</v>
      </c>
      <c r="AB190" s="20">
        <f t="shared" si="54"/>
        <v>0</v>
      </c>
      <c r="AC190" s="20">
        <f t="shared" si="55"/>
        <v>0</v>
      </c>
      <c r="AD190" s="20">
        <f>IF(A190="",21/24,MOD(VLOOKUP(A190,Parámetros!$A$24:$B$25,2,TRUE()),1))</f>
        <v>0.875</v>
      </c>
      <c r="AE190" s="5">
        <f>IF(A190="",0,IF(OR(WEEKDAY(A190,2)=7,COUNTIF(Festivos!$A$5:$A$451,A190)&gt;0),1,0))</f>
        <v>0</v>
      </c>
      <c r="AF190" s="5">
        <f>IF(A190="",0,IF(OR(WEEKDAY(A190+1,2)=7,COUNTIF(Festivos!$A$5:$A$451,A190+1)&gt;0),1,0))</f>
        <v>0</v>
      </c>
      <c r="AG190" s="9">
        <f>IF(A190="",0,VLOOKUP(A190,Parámetros!$A$18:$B$21,2,TRUE()))</f>
        <v>0</v>
      </c>
      <c r="AH190" s="20">
        <f t="shared" si="56"/>
        <v>0</v>
      </c>
      <c r="AI190" s="20">
        <f>MAX(0,MIN(AB190,Parámetros!$B$11)-MAX(X190,0))+MAX(0,MIN(AB190,1+Parámetros!$B$11)-MAX(X190,AD190))+MAX(0,MIN(AB190,2)-MAX(X190,1+AD190))</f>
        <v>0</v>
      </c>
      <c r="AJ190" s="20">
        <f t="shared" si="57"/>
        <v>0</v>
      </c>
      <c r="AK190" s="20">
        <f>AE190*(MAX(0,MIN(AB190,Parámetros!$B$11)-MAX(X190,0))+MAX(0,MIN(AB190,1)-MAX(X190,AD190)))+AF190*(MAX(0,MIN(AB190,1+Parámetros!$B$11)-MAX(X190,1))+MAX(0,MIN(AB190,2)-MAX(X190,1+AD190)))</f>
        <v>0</v>
      </c>
      <c r="AL190" s="20">
        <f t="shared" si="58"/>
        <v>0</v>
      </c>
      <c r="AM190" s="20">
        <f>MAX(0,MIN(AC190,Parámetros!$B$11)-MAX(AB190,0))+MAX(0,MIN(AC190,1+Parámetros!$B$11)-MAX(AB190,AD190))+MAX(0,MIN(AC190,2)-MAX(AB190,1+AD190))</f>
        <v>0</v>
      </c>
      <c r="AN190" s="20">
        <f t="shared" si="59"/>
        <v>0</v>
      </c>
      <c r="AO190" s="20">
        <f>AE190*(MAX(0,MIN(AC190,Parámetros!$B$11)-MAX(AB190,0))+MAX(0,MIN(AC190,1)-MAX(AB190,AD190)))+AF190*(MAX(0,MIN(AC190,1+Parámetros!$B$11)-MAX(AB190,1))+MAX(0,MIN(AC190,2)-MAX(AB190,1+AD190)))</f>
        <v>0</v>
      </c>
    </row>
    <row r="191" spans="1:41" x14ac:dyDescent="0.25">
      <c r="A191" s="15"/>
      <c r="B191" s="8"/>
      <c r="C191" s="5" t="str">
        <f>IF(B191="","",IFERROR(INDEX(Trabajadores!$B$5:$B$204,MATCH(B191,Trabajadores!$A$5:$A$204,0)),"Cédula no registrada"))</f>
        <v/>
      </c>
      <c r="D191" s="11"/>
      <c r="E191" s="11"/>
      <c r="F191" s="8"/>
      <c r="G191" s="18" t="str">
        <f>IF(A191="","",IFERROR(INDEX(Trabajadores!$E$5:$E$204,MATCH(B191,Trabajadores!$A$5:$A$204,0))/Parámetros!$B$6,0)+IF(IFERROR(INDEX(Trabajadores!$E$5:$E$204,MATCH(B191,Trabajadores!$A$5:$A$204,0)),"")="",Parámetros!$B$7,0))</f>
        <v/>
      </c>
      <c r="H191" s="5" t="str">
        <f t="shared" si="40"/>
        <v/>
      </c>
      <c r="I191" s="5" t="str">
        <f>IF(A191="","",IF(COUNTIF(Festivos!$A$5:$A$451,A191)&gt;0,"Festivo",IF(WEEKDAY(A191,2)=7,"Domingo",IF(AND(AF191=1,AC191&gt;1),IF(COUNTIF(Festivos!$A$5:$A$451,A191+1)&gt;0,"Festivo","Domingo")&amp;" desde las 00:00",""))))</f>
        <v/>
      </c>
      <c r="J191" s="19" t="str">
        <f t="shared" si="41"/>
        <v/>
      </c>
      <c r="K191" s="19" t="str">
        <f t="shared" si="42"/>
        <v/>
      </c>
      <c r="L191" s="19" t="str">
        <f t="shared" si="43"/>
        <v/>
      </c>
      <c r="M191" s="19" t="str">
        <f t="shared" si="44"/>
        <v/>
      </c>
      <c r="N191" s="19" t="str">
        <f t="shared" si="45"/>
        <v/>
      </c>
      <c r="O191" s="19" t="str">
        <f t="shared" si="46"/>
        <v/>
      </c>
      <c r="P191" s="19" t="str">
        <f t="shared" si="47"/>
        <v/>
      </c>
      <c r="Q191" s="19" t="str">
        <f t="shared" si="48"/>
        <v/>
      </c>
      <c r="R191" s="19" t="str">
        <f t="shared" si="49"/>
        <v/>
      </c>
      <c r="S191" s="17" t="str">
        <f>IF(B191="","",IFERROR(INDEX(Trabajadores!$G$5:$G$204,MATCH(B191,Trabajadores!$A$5:$A$204,0)),""))</f>
        <v/>
      </c>
      <c r="T191" s="17" t="str">
        <f>IF(OR(OR(A191="",D191="",E191=""),S191=""),"",ROUND(S191*(N(L191)*Parámetros!$B$8+N(M191)*(1+Parámetros!$B$9)+N(N191)*(1+Parámetros!$B$10)+N(O191)*(1+AG191)+N(P191)*(1+AG191+Parámetros!$B$8)+N(Q191)*(1+AG191+Parámetros!$B$9)+N(R191)*(1+AG191+Parámetros!$B$10)),0))</f>
        <v/>
      </c>
      <c r="U191" s="5" t="str">
        <f>IF(OR(A191="",D191="",E191=""),"",IF(N(M191)+N(N191)+N(Q191)+N(R191)&gt;Parámetros!$B$12,"Supera el límite de horas extras diarias",IF(C191="Cédula no registrada","Registre la cédula en «Trabajadores»","")))</f>
        <v/>
      </c>
      <c r="X191" s="20">
        <f t="shared" si="50"/>
        <v>0</v>
      </c>
      <c r="Y191" s="20">
        <f t="shared" si="51"/>
        <v>0</v>
      </c>
      <c r="Z191" s="20">
        <f t="shared" si="52"/>
        <v>0</v>
      </c>
      <c r="AA191" s="20">
        <f t="shared" si="53"/>
        <v>0</v>
      </c>
      <c r="AB191" s="20">
        <f t="shared" si="54"/>
        <v>0</v>
      </c>
      <c r="AC191" s="20">
        <f t="shared" si="55"/>
        <v>0</v>
      </c>
      <c r="AD191" s="20">
        <f>IF(A191="",21/24,MOD(VLOOKUP(A191,Parámetros!$A$24:$B$25,2,TRUE()),1))</f>
        <v>0.875</v>
      </c>
      <c r="AE191" s="5">
        <f>IF(A191="",0,IF(OR(WEEKDAY(A191,2)=7,COUNTIF(Festivos!$A$5:$A$451,A191)&gt;0),1,0))</f>
        <v>0</v>
      </c>
      <c r="AF191" s="5">
        <f>IF(A191="",0,IF(OR(WEEKDAY(A191+1,2)=7,COUNTIF(Festivos!$A$5:$A$451,A191+1)&gt;0),1,0))</f>
        <v>0</v>
      </c>
      <c r="AG191" s="9">
        <f>IF(A191="",0,VLOOKUP(A191,Parámetros!$A$18:$B$21,2,TRUE()))</f>
        <v>0</v>
      </c>
      <c r="AH191" s="20">
        <f t="shared" si="56"/>
        <v>0</v>
      </c>
      <c r="AI191" s="20">
        <f>MAX(0,MIN(AB191,Parámetros!$B$11)-MAX(X191,0))+MAX(0,MIN(AB191,1+Parámetros!$B$11)-MAX(X191,AD191))+MAX(0,MIN(AB191,2)-MAX(X191,1+AD191))</f>
        <v>0</v>
      </c>
      <c r="AJ191" s="20">
        <f t="shared" si="57"/>
        <v>0</v>
      </c>
      <c r="AK191" s="20">
        <f>AE191*(MAX(0,MIN(AB191,Parámetros!$B$11)-MAX(X191,0))+MAX(0,MIN(AB191,1)-MAX(X191,AD191)))+AF191*(MAX(0,MIN(AB191,1+Parámetros!$B$11)-MAX(X191,1))+MAX(0,MIN(AB191,2)-MAX(X191,1+AD191)))</f>
        <v>0</v>
      </c>
      <c r="AL191" s="20">
        <f t="shared" si="58"/>
        <v>0</v>
      </c>
      <c r="AM191" s="20">
        <f>MAX(0,MIN(AC191,Parámetros!$B$11)-MAX(AB191,0))+MAX(0,MIN(AC191,1+Parámetros!$B$11)-MAX(AB191,AD191))+MAX(0,MIN(AC191,2)-MAX(AB191,1+AD191))</f>
        <v>0</v>
      </c>
      <c r="AN191" s="20">
        <f t="shared" si="59"/>
        <v>0</v>
      </c>
      <c r="AO191" s="20">
        <f>AE191*(MAX(0,MIN(AC191,Parámetros!$B$11)-MAX(AB191,0))+MAX(0,MIN(AC191,1)-MAX(AB191,AD191)))+AF191*(MAX(0,MIN(AC191,1+Parámetros!$B$11)-MAX(AB191,1))+MAX(0,MIN(AC191,2)-MAX(AB191,1+AD191)))</f>
        <v>0</v>
      </c>
    </row>
    <row r="192" spans="1:41" x14ac:dyDescent="0.25">
      <c r="A192" s="15"/>
      <c r="B192" s="8"/>
      <c r="C192" s="5" t="str">
        <f>IF(B192="","",IFERROR(INDEX(Trabajadores!$B$5:$B$204,MATCH(B192,Trabajadores!$A$5:$A$204,0)),"Cédula no registrada"))</f>
        <v/>
      </c>
      <c r="D192" s="11"/>
      <c r="E192" s="11"/>
      <c r="F192" s="8"/>
      <c r="G192" s="18" t="str">
        <f>IF(A192="","",IFERROR(INDEX(Trabajadores!$E$5:$E$204,MATCH(B192,Trabajadores!$A$5:$A$204,0))/Parámetros!$B$6,0)+IF(IFERROR(INDEX(Trabajadores!$E$5:$E$204,MATCH(B192,Trabajadores!$A$5:$A$204,0)),"")="",Parámetros!$B$7,0))</f>
        <v/>
      </c>
      <c r="H192" s="5" t="str">
        <f t="shared" si="40"/>
        <v/>
      </c>
      <c r="I192" s="5" t="str">
        <f>IF(A192="","",IF(COUNTIF(Festivos!$A$5:$A$451,A192)&gt;0,"Festivo",IF(WEEKDAY(A192,2)=7,"Domingo",IF(AND(AF192=1,AC192&gt;1),IF(COUNTIF(Festivos!$A$5:$A$451,A192+1)&gt;0,"Festivo","Domingo")&amp;" desde las 00:00",""))))</f>
        <v/>
      </c>
      <c r="J192" s="19" t="str">
        <f t="shared" si="41"/>
        <v/>
      </c>
      <c r="K192" s="19" t="str">
        <f t="shared" si="42"/>
        <v/>
      </c>
      <c r="L192" s="19" t="str">
        <f t="shared" si="43"/>
        <v/>
      </c>
      <c r="M192" s="19" t="str">
        <f t="shared" si="44"/>
        <v/>
      </c>
      <c r="N192" s="19" t="str">
        <f t="shared" si="45"/>
        <v/>
      </c>
      <c r="O192" s="19" t="str">
        <f t="shared" si="46"/>
        <v/>
      </c>
      <c r="P192" s="19" t="str">
        <f t="shared" si="47"/>
        <v/>
      </c>
      <c r="Q192" s="19" t="str">
        <f t="shared" si="48"/>
        <v/>
      </c>
      <c r="R192" s="19" t="str">
        <f t="shared" si="49"/>
        <v/>
      </c>
      <c r="S192" s="17" t="str">
        <f>IF(B192="","",IFERROR(INDEX(Trabajadores!$G$5:$G$204,MATCH(B192,Trabajadores!$A$5:$A$204,0)),""))</f>
        <v/>
      </c>
      <c r="T192" s="17" t="str">
        <f>IF(OR(OR(A192="",D192="",E192=""),S192=""),"",ROUND(S192*(N(L192)*Parámetros!$B$8+N(M192)*(1+Parámetros!$B$9)+N(N192)*(1+Parámetros!$B$10)+N(O192)*(1+AG192)+N(P192)*(1+AG192+Parámetros!$B$8)+N(Q192)*(1+AG192+Parámetros!$B$9)+N(R192)*(1+AG192+Parámetros!$B$10)),0))</f>
        <v/>
      </c>
      <c r="U192" s="5" t="str">
        <f>IF(OR(A192="",D192="",E192=""),"",IF(N(M192)+N(N192)+N(Q192)+N(R192)&gt;Parámetros!$B$12,"Supera el límite de horas extras diarias",IF(C192="Cédula no registrada","Registre la cédula en «Trabajadores»","")))</f>
        <v/>
      </c>
      <c r="X192" s="20">
        <f t="shared" si="50"/>
        <v>0</v>
      </c>
      <c r="Y192" s="20">
        <f t="shared" si="51"/>
        <v>0</v>
      </c>
      <c r="Z192" s="20">
        <f t="shared" si="52"/>
        <v>0</v>
      </c>
      <c r="AA192" s="20">
        <f t="shared" si="53"/>
        <v>0</v>
      </c>
      <c r="AB192" s="20">
        <f t="shared" si="54"/>
        <v>0</v>
      </c>
      <c r="AC192" s="20">
        <f t="shared" si="55"/>
        <v>0</v>
      </c>
      <c r="AD192" s="20">
        <f>IF(A192="",21/24,MOD(VLOOKUP(A192,Parámetros!$A$24:$B$25,2,TRUE()),1))</f>
        <v>0.875</v>
      </c>
      <c r="AE192" s="5">
        <f>IF(A192="",0,IF(OR(WEEKDAY(A192,2)=7,COUNTIF(Festivos!$A$5:$A$451,A192)&gt;0),1,0))</f>
        <v>0</v>
      </c>
      <c r="AF192" s="5">
        <f>IF(A192="",0,IF(OR(WEEKDAY(A192+1,2)=7,COUNTIF(Festivos!$A$5:$A$451,A192+1)&gt;0),1,0))</f>
        <v>0</v>
      </c>
      <c r="AG192" s="9">
        <f>IF(A192="",0,VLOOKUP(A192,Parámetros!$A$18:$B$21,2,TRUE()))</f>
        <v>0</v>
      </c>
      <c r="AH192" s="20">
        <f t="shared" si="56"/>
        <v>0</v>
      </c>
      <c r="AI192" s="20">
        <f>MAX(0,MIN(AB192,Parámetros!$B$11)-MAX(X192,0))+MAX(0,MIN(AB192,1+Parámetros!$B$11)-MAX(X192,AD192))+MAX(0,MIN(AB192,2)-MAX(X192,1+AD192))</f>
        <v>0</v>
      </c>
      <c r="AJ192" s="20">
        <f t="shared" si="57"/>
        <v>0</v>
      </c>
      <c r="AK192" s="20">
        <f>AE192*(MAX(0,MIN(AB192,Parámetros!$B$11)-MAX(X192,0))+MAX(0,MIN(AB192,1)-MAX(X192,AD192)))+AF192*(MAX(0,MIN(AB192,1+Parámetros!$B$11)-MAX(X192,1))+MAX(0,MIN(AB192,2)-MAX(X192,1+AD192)))</f>
        <v>0</v>
      </c>
      <c r="AL192" s="20">
        <f t="shared" si="58"/>
        <v>0</v>
      </c>
      <c r="AM192" s="20">
        <f>MAX(0,MIN(AC192,Parámetros!$B$11)-MAX(AB192,0))+MAX(0,MIN(AC192,1+Parámetros!$B$11)-MAX(AB192,AD192))+MAX(0,MIN(AC192,2)-MAX(AB192,1+AD192))</f>
        <v>0</v>
      </c>
      <c r="AN192" s="20">
        <f t="shared" si="59"/>
        <v>0</v>
      </c>
      <c r="AO192" s="20">
        <f>AE192*(MAX(0,MIN(AC192,Parámetros!$B$11)-MAX(AB192,0))+MAX(0,MIN(AC192,1)-MAX(AB192,AD192)))+AF192*(MAX(0,MIN(AC192,1+Parámetros!$B$11)-MAX(AB192,1))+MAX(0,MIN(AC192,2)-MAX(AB192,1+AD192)))</f>
        <v>0</v>
      </c>
    </row>
    <row r="193" spans="1:41" x14ac:dyDescent="0.25">
      <c r="A193" s="15"/>
      <c r="B193" s="8"/>
      <c r="C193" s="5" t="str">
        <f>IF(B193="","",IFERROR(INDEX(Trabajadores!$B$5:$B$204,MATCH(B193,Trabajadores!$A$5:$A$204,0)),"Cédula no registrada"))</f>
        <v/>
      </c>
      <c r="D193" s="11"/>
      <c r="E193" s="11"/>
      <c r="F193" s="8"/>
      <c r="G193" s="18" t="str">
        <f>IF(A193="","",IFERROR(INDEX(Trabajadores!$E$5:$E$204,MATCH(B193,Trabajadores!$A$5:$A$204,0))/Parámetros!$B$6,0)+IF(IFERROR(INDEX(Trabajadores!$E$5:$E$204,MATCH(B193,Trabajadores!$A$5:$A$204,0)),"")="",Parámetros!$B$7,0))</f>
        <v/>
      </c>
      <c r="H193" s="5" t="str">
        <f t="shared" si="40"/>
        <v/>
      </c>
      <c r="I193" s="5" t="str">
        <f>IF(A193="","",IF(COUNTIF(Festivos!$A$5:$A$451,A193)&gt;0,"Festivo",IF(WEEKDAY(A193,2)=7,"Domingo",IF(AND(AF193=1,AC193&gt;1),IF(COUNTIF(Festivos!$A$5:$A$451,A193+1)&gt;0,"Festivo","Domingo")&amp;" desde las 00:00",""))))</f>
        <v/>
      </c>
      <c r="J193" s="19" t="str">
        <f t="shared" si="41"/>
        <v/>
      </c>
      <c r="K193" s="19" t="str">
        <f t="shared" si="42"/>
        <v/>
      </c>
      <c r="L193" s="19" t="str">
        <f t="shared" si="43"/>
        <v/>
      </c>
      <c r="M193" s="19" t="str">
        <f t="shared" si="44"/>
        <v/>
      </c>
      <c r="N193" s="19" t="str">
        <f t="shared" si="45"/>
        <v/>
      </c>
      <c r="O193" s="19" t="str">
        <f t="shared" si="46"/>
        <v/>
      </c>
      <c r="P193" s="19" t="str">
        <f t="shared" si="47"/>
        <v/>
      </c>
      <c r="Q193" s="19" t="str">
        <f t="shared" si="48"/>
        <v/>
      </c>
      <c r="R193" s="19" t="str">
        <f t="shared" si="49"/>
        <v/>
      </c>
      <c r="S193" s="17" t="str">
        <f>IF(B193="","",IFERROR(INDEX(Trabajadores!$G$5:$G$204,MATCH(B193,Trabajadores!$A$5:$A$204,0)),""))</f>
        <v/>
      </c>
      <c r="T193" s="17" t="str">
        <f>IF(OR(OR(A193="",D193="",E193=""),S193=""),"",ROUND(S193*(N(L193)*Parámetros!$B$8+N(M193)*(1+Parámetros!$B$9)+N(N193)*(1+Parámetros!$B$10)+N(O193)*(1+AG193)+N(P193)*(1+AG193+Parámetros!$B$8)+N(Q193)*(1+AG193+Parámetros!$B$9)+N(R193)*(1+AG193+Parámetros!$B$10)),0))</f>
        <v/>
      </c>
      <c r="U193" s="5" t="str">
        <f>IF(OR(A193="",D193="",E193=""),"",IF(N(M193)+N(N193)+N(Q193)+N(R193)&gt;Parámetros!$B$12,"Supera el límite de horas extras diarias",IF(C193="Cédula no registrada","Registre la cédula en «Trabajadores»","")))</f>
        <v/>
      </c>
      <c r="X193" s="20">
        <f t="shared" si="50"/>
        <v>0</v>
      </c>
      <c r="Y193" s="20">
        <f t="shared" si="51"/>
        <v>0</v>
      </c>
      <c r="Z193" s="20">
        <f t="shared" si="52"/>
        <v>0</v>
      </c>
      <c r="AA193" s="20">
        <f t="shared" si="53"/>
        <v>0</v>
      </c>
      <c r="AB193" s="20">
        <f t="shared" si="54"/>
        <v>0</v>
      </c>
      <c r="AC193" s="20">
        <f t="shared" si="55"/>
        <v>0</v>
      </c>
      <c r="AD193" s="20">
        <f>IF(A193="",21/24,MOD(VLOOKUP(A193,Parámetros!$A$24:$B$25,2,TRUE()),1))</f>
        <v>0.875</v>
      </c>
      <c r="AE193" s="5">
        <f>IF(A193="",0,IF(OR(WEEKDAY(A193,2)=7,COUNTIF(Festivos!$A$5:$A$451,A193)&gt;0),1,0))</f>
        <v>0</v>
      </c>
      <c r="AF193" s="5">
        <f>IF(A193="",0,IF(OR(WEEKDAY(A193+1,2)=7,COUNTIF(Festivos!$A$5:$A$451,A193+1)&gt;0),1,0))</f>
        <v>0</v>
      </c>
      <c r="AG193" s="9">
        <f>IF(A193="",0,VLOOKUP(A193,Parámetros!$A$18:$B$21,2,TRUE()))</f>
        <v>0</v>
      </c>
      <c r="AH193" s="20">
        <f t="shared" si="56"/>
        <v>0</v>
      </c>
      <c r="AI193" s="20">
        <f>MAX(0,MIN(AB193,Parámetros!$B$11)-MAX(X193,0))+MAX(0,MIN(AB193,1+Parámetros!$B$11)-MAX(X193,AD193))+MAX(0,MIN(AB193,2)-MAX(X193,1+AD193))</f>
        <v>0</v>
      </c>
      <c r="AJ193" s="20">
        <f t="shared" si="57"/>
        <v>0</v>
      </c>
      <c r="AK193" s="20">
        <f>AE193*(MAX(0,MIN(AB193,Parámetros!$B$11)-MAX(X193,0))+MAX(0,MIN(AB193,1)-MAX(X193,AD193)))+AF193*(MAX(0,MIN(AB193,1+Parámetros!$B$11)-MAX(X193,1))+MAX(0,MIN(AB193,2)-MAX(X193,1+AD193)))</f>
        <v>0</v>
      </c>
      <c r="AL193" s="20">
        <f t="shared" si="58"/>
        <v>0</v>
      </c>
      <c r="AM193" s="20">
        <f>MAX(0,MIN(AC193,Parámetros!$B$11)-MAX(AB193,0))+MAX(0,MIN(AC193,1+Parámetros!$B$11)-MAX(AB193,AD193))+MAX(0,MIN(AC193,2)-MAX(AB193,1+AD193))</f>
        <v>0</v>
      </c>
      <c r="AN193" s="20">
        <f t="shared" si="59"/>
        <v>0</v>
      </c>
      <c r="AO193" s="20">
        <f>AE193*(MAX(0,MIN(AC193,Parámetros!$B$11)-MAX(AB193,0))+MAX(0,MIN(AC193,1)-MAX(AB193,AD193)))+AF193*(MAX(0,MIN(AC193,1+Parámetros!$B$11)-MAX(AB193,1))+MAX(0,MIN(AC193,2)-MAX(AB193,1+AD193)))</f>
        <v>0</v>
      </c>
    </row>
    <row r="194" spans="1:41" x14ac:dyDescent="0.25">
      <c r="A194" s="15"/>
      <c r="B194" s="8"/>
      <c r="C194" s="5" t="str">
        <f>IF(B194="","",IFERROR(INDEX(Trabajadores!$B$5:$B$204,MATCH(B194,Trabajadores!$A$5:$A$204,0)),"Cédula no registrada"))</f>
        <v/>
      </c>
      <c r="D194" s="11"/>
      <c r="E194" s="11"/>
      <c r="F194" s="8"/>
      <c r="G194" s="18" t="str">
        <f>IF(A194="","",IFERROR(INDEX(Trabajadores!$E$5:$E$204,MATCH(B194,Trabajadores!$A$5:$A$204,0))/Parámetros!$B$6,0)+IF(IFERROR(INDEX(Trabajadores!$E$5:$E$204,MATCH(B194,Trabajadores!$A$5:$A$204,0)),"")="",Parámetros!$B$7,0))</f>
        <v/>
      </c>
      <c r="H194" s="5" t="str">
        <f t="shared" si="40"/>
        <v/>
      </c>
      <c r="I194" s="5" t="str">
        <f>IF(A194="","",IF(COUNTIF(Festivos!$A$5:$A$451,A194)&gt;0,"Festivo",IF(WEEKDAY(A194,2)=7,"Domingo",IF(AND(AF194=1,AC194&gt;1),IF(COUNTIF(Festivos!$A$5:$A$451,A194+1)&gt;0,"Festivo","Domingo")&amp;" desde las 00:00",""))))</f>
        <v/>
      </c>
      <c r="J194" s="19" t="str">
        <f t="shared" si="41"/>
        <v/>
      </c>
      <c r="K194" s="19" t="str">
        <f t="shared" si="42"/>
        <v/>
      </c>
      <c r="L194" s="19" t="str">
        <f t="shared" si="43"/>
        <v/>
      </c>
      <c r="M194" s="19" t="str">
        <f t="shared" si="44"/>
        <v/>
      </c>
      <c r="N194" s="19" t="str">
        <f t="shared" si="45"/>
        <v/>
      </c>
      <c r="O194" s="19" t="str">
        <f t="shared" si="46"/>
        <v/>
      </c>
      <c r="P194" s="19" t="str">
        <f t="shared" si="47"/>
        <v/>
      </c>
      <c r="Q194" s="19" t="str">
        <f t="shared" si="48"/>
        <v/>
      </c>
      <c r="R194" s="19" t="str">
        <f t="shared" si="49"/>
        <v/>
      </c>
      <c r="S194" s="17" t="str">
        <f>IF(B194="","",IFERROR(INDEX(Trabajadores!$G$5:$G$204,MATCH(B194,Trabajadores!$A$5:$A$204,0)),""))</f>
        <v/>
      </c>
      <c r="T194" s="17" t="str">
        <f>IF(OR(OR(A194="",D194="",E194=""),S194=""),"",ROUND(S194*(N(L194)*Parámetros!$B$8+N(M194)*(1+Parámetros!$B$9)+N(N194)*(1+Parámetros!$B$10)+N(O194)*(1+AG194)+N(P194)*(1+AG194+Parámetros!$B$8)+N(Q194)*(1+AG194+Parámetros!$B$9)+N(R194)*(1+AG194+Parámetros!$B$10)),0))</f>
        <v/>
      </c>
      <c r="U194" s="5" t="str">
        <f>IF(OR(A194="",D194="",E194=""),"",IF(N(M194)+N(N194)+N(Q194)+N(R194)&gt;Parámetros!$B$12,"Supera el límite de horas extras diarias",IF(C194="Cédula no registrada","Registre la cédula en «Trabajadores»","")))</f>
        <v/>
      </c>
      <c r="X194" s="20">
        <f t="shared" si="50"/>
        <v>0</v>
      </c>
      <c r="Y194" s="20">
        <f t="shared" si="51"/>
        <v>0</v>
      </c>
      <c r="Z194" s="20">
        <f t="shared" si="52"/>
        <v>0</v>
      </c>
      <c r="AA194" s="20">
        <f t="shared" si="53"/>
        <v>0</v>
      </c>
      <c r="AB194" s="20">
        <f t="shared" si="54"/>
        <v>0</v>
      </c>
      <c r="AC194" s="20">
        <f t="shared" si="55"/>
        <v>0</v>
      </c>
      <c r="AD194" s="20">
        <f>IF(A194="",21/24,MOD(VLOOKUP(A194,Parámetros!$A$24:$B$25,2,TRUE()),1))</f>
        <v>0.875</v>
      </c>
      <c r="AE194" s="5">
        <f>IF(A194="",0,IF(OR(WEEKDAY(A194,2)=7,COUNTIF(Festivos!$A$5:$A$451,A194)&gt;0),1,0))</f>
        <v>0</v>
      </c>
      <c r="AF194" s="5">
        <f>IF(A194="",0,IF(OR(WEEKDAY(A194+1,2)=7,COUNTIF(Festivos!$A$5:$A$451,A194+1)&gt;0),1,0))</f>
        <v>0</v>
      </c>
      <c r="AG194" s="9">
        <f>IF(A194="",0,VLOOKUP(A194,Parámetros!$A$18:$B$21,2,TRUE()))</f>
        <v>0</v>
      </c>
      <c r="AH194" s="20">
        <f t="shared" si="56"/>
        <v>0</v>
      </c>
      <c r="AI194" s="20">
        <f>MAX(0,MIN(AB194,Parámetros!$B$11)-MAX(X194,0))+MAX(0,MIN(AB194,1+Parámetros!$B$11)-MAX(X194,AD194))+MAX(0,MIN(AB194,2)-MAX(X194,1+AD194))</f>
        <v>0</v>
      </c>
      <c r="AJ194" s="20">
        <f t="shared" si="57"/>
        <v>0</v>
      </c>
      <c r="AK194" s="20">
        <f>AE194*(MAX(0,MIN(AB194,Parámetros!$B$11)-MAX(X194,0))+MAX(0,MIN(AB194,1)-MAX(X194,AD194)))+AF194*(MAX(0,MIN(AB194,1+Parámetros!$B$11)-MAX(X194,1))+MAX(0,MIN(AB194,2)-MAX(X194,1+AD194)))</f>
        <v>0</v>
      </c>
      <c r="AL194" s="20">
        <f t="shared" si="58"/>
        <v>0</v>
      </c>
      <c r="AM194" s="20">
        <f>MAX(0,MIN(AC194,Parámetros!$B$11)-MAX(AB194,0))+MAX(0,MIN(AC194,1+Parámetros!$B$11)-MAX(AB194,AD194))+MAX(0,MIN(AC194,2)-MAX(AB194,1+AD194))</f>
        <v>0</v>
      </c>
      <c r="AN194" s="20">
        <f t="shared" si="59"/>
        <v>0</v>
      </c>
      <c r="AO194" s="20">
        <f>AE194*(MAX(0,MIN(AC194,Parámetros!$B$11)-MAX(AB194,0))+MAX(0,MIN(AC194,1)-MAX(AB194,AD194)))+AF194*(MAX(0,MIN(AC194,1+Parámetros!$B$11)-MAX(AB194,1))+MAX(0,MIN(AC194,2)-MAX(AB194,1+AD194)))</f>
        <v>0</v>
      </c>
    </row>
    <row r="195" spans="1:41" x14ac:dyDescent="0.25">
      <c r="A195" s="15"/>
      <c r="B195" s="8"/>
      <c r="C195" s="5" t="str">
        <f>IF(B195="","",IFERROR(INDEX(Trabajadores!$B$5:$B$204,MATCH(B195,Trabajadores!$A$5:$A$204,0)),"Cédula no registrada"))</f>
        <v/>
      </c>
      <c r="D195" s="11"/>
      <c r="E195" s="11"/>
      <c r="F195" s="8"/>
      <c r="G195" s="18" t="str">
        <f>IF(A195="","",IFERROR(INDEX(Trabajadores!$E$5:$E$204,MATCH(B195,Trabajadores!$A$5:$A$204,0))/Parámetros!$B$6,0)+IF(IFERROR(INDEX(Trabajadores!$E$5:$E$204,MATCH(B195,Trabajadores!$A$5:$A$204,0)),"")="",Parámetros!$B$7,0))</f>
        <v/>
      </c>
      <c r="H195" s="5" t="str">
        <f t="shared" si="40"/>
        <v/>
      </c>
      <c r="I195" s="5" t="str">
        <f>IF(A195="","",IF(COUNTIF(Festivos!$A$5:$A$451,A195)&gt;0,"Festivo",IF(WEEKDAY(A195,2)=7,"Domingo",IF(AND(AF195=1,AC195&gt;1),IF(COUNTIF(Festivos!$A$5:$A$451,A195+1)&gt;0,"Festivo","Domingo")&amp;" desde las 00:00",""))))</f>
        <v/>
      </c>
      <c r="J195" s="19" t="str">
        <f t="shared" si="41"/>
        <v/>
      </c>
      <c r="K195" s="19" t="str">
        <f t="shared" si="42"/>
        <v/>
      </c>
      <c r="L195" s="19" t="str">
        <f t="shared" si="43"/>
        <v/>
      </c>
      <c r="M195" s="19" t="str">
        <f t="shared" si="44"/>
        <v/>
      </c>
      <c r="N195" s="19" t="str">
        <f t="shared" si="45"/>
        <v/>
      </c>
      <c r="O195" s="19" t="str">
        <f t="shared" si="46"/>
        <v/>
      </c>
      <c r="P195" s="19" t="str">
        <f t="shared" si="47"/>
        <v/>
      </c>
      <c r="Q195" s="19" t="str">
        <f t="shared" si="48"/>
        <v/>
      </c>
      <c r="R195" s="19" t="str">
        <f t="shared" si="49"/>
        <v/>
      </c>
      <c r="S195" s="17" t="str">
        <f>IF(B195="","",IFERROR(INDEX(Trabajadores!$G$5:$G$204,MATCH(B195,Trabajadores!$A$5:$A$204,0)),""))</f>
        <v/>
      </c>
      <c r="T195" s="17" t="str">
        <f>IF(OR(OR(A195="",D195="",E195=""),S195=""),"",ROUND(S195*(N(L195)*Parámetros!$B$8+N(M195)*(1+Parámetros!$B$9)+N(N195)*(1+Parámetros!$B$10)+N(O195)*(1+AG195)+N(P195)*(1+AG195+Parámetros!$B$8)+N(Q195)*(1+AG195+Parámetros!$B$9)+N(R195)*(1+AG195+Parámetros!$B$10)),0))</f>
        <v/>
      </c>
      <c r="U195" s="5" t="str">
        <f>IF(OR(A195="",D195="",E195=""),"",IF(N(M195)+N(N195)+N(Q195)+N(R195)&gt;Parámetros!$B$12,"Supera el límite de horas extras diarias",IF(C195="Cédula no registrada","Registre la cédula en «Trabajadores»","")))</f>
        <v/>
      </c>
      <c r="X195" s="20">
        <f t="shared" si="50"/>
        <v>0</v>
      </c>
      <c r="Y195" s="20">
        <f t="shared" si="51"/>
        <v>0</v>
      </c>
      <c r="Z195" s="20">
        <f t="shared" si="52"/>
        <v>0</v>
      </c>
      <c r="AA195" s="20">
        <f t="shared" si="53"/>
        <v>0</v>
      </c>
      <c r="AB195" s="20">
        <f t="shared" si="54"/>
        <v>0</v>
      </c>
      <c r="AC195" s="20">
        <f t="shared" si="55"/>
        <v>0</v>
      </c>
      <c r="AD195" s="20">
        <f>IF(A195="",21/24,MOD(VLOOKUP(A195,Parámetros!$A$24:$B$25,2,TRUE()),1))</f>
        <v>0.875</v>
      </c>
      <c r="AE195" s="5">
        <f>IF(A195="",0,IF(OR(WEEKDAY(A195,2)=7,COUNTIF(Festivos!$A$5:$A$451,A195)&gt;0),1,0))</f>
        <v>0</v>
      </c>
      <c r="AF195" s="5">
        <f>IF(A195="",0,IF(OR(WEEKDAY(A195+1,2)=7,COUNTIF(Festivos!$A$5:$A$451,A195+1)&gt;0),1,0))</f>
        <v>0</v>
      </c>
      <c r="AG195" s="9">
        <f>IF(A195="",0,VLOOKUP(A195,Parámetros!$A$18:$B$21,2,TRUE()))</f>
        <v>0</v>
      </c>
      <c r="AH195" s="20">
        <f t="shared" si="56"/>
        <v>0</v>
      </c>
      <c r="AI195" s="20">
        <f>MAX(0,MIN(AB195,Parámetros!$B$11)-MAX(X195,0))+MAX(0,MIN(AB195,1+Parámetros!$B$11)-MAX(X195,AD195))+MAX(0,MIN(AB195,2)-MAX(X195,1+AD195))</f>
        <v>0</v>
      </c>
      <c r="AJ195" s="20">
        <f t="shared" si="57"/>
        <v>0</v>
      </c>
      <c r="AK195" s="20">
        <f>AE195*(MAX(0,MIN(AB195,Parámetros!$B$11)-MAX(X195,0))+MAX(0,MIN(AB195,1)-MAX(X195,AD195)))+AF195*(MAX(0,MIN(AB195,1+Parámetros!$B$11)-MAX(X195,1))+MAX(0,MIN(AB195,2)-MAX(X195,1+AD195)))</f>
        <v>0</v>
      </c>
      <c r="AL195" s="20">
        <f t="shared" si="58"/>
        <v>0</v>
      </c>
      <c r="AM195" s="20">
        <f>MAX(0,MIN(AC195,Parámetros!$B$11)-MAX(AB195,0))+MAX(0,MIN(AC195,1+Parámetros!$B$11)-MAX(AB195,AD195))+MAX(0,MIN(AC195,2)-MAX(AB195,1+AD195))</f>
        <v>0</v>
      </c>
      <c r="AN195" s="20">
        <f t="shared" si="59"/>
        <v>0</v>
      </c>
      <c r="AO195" s="20">
        <f>AE195*(MAX(0,MIN(AC195,Parámetros!$B$11)-MAX(AB195,0))+MAX(0,MIN(AC195,1)-MAX(AB195,AD195)))+AF195*(MAX(0,MIN(AC195,1+Parámetros!$B$11)-MAX(AB195,1))+MAX(0,MIN(AC195,2)-MAX(AB195,1+AD195)))</f>
        <v>0</v>
      </c>
    </row>
    <row r="196" spans="1:41" x14ac:dyDescent="0.25">
      <c r="A196" s="15"/>
      <c r="B196" s="8"/>
      <c r="C196" s="5" t="str">
        <f>IF(B196="","",IFERROR(INDEX(Trabajadores!$B$5:$B$204,MATCH(B196,Trabajadores!$A$5:$A$204,0)),"Cédula no registrada"))</f>
        <v/>
      </c>
      <c r="D196" s="11"/>
      <c r="E196" s="11"/>
      <c r="F196" s="8"/>
      <c r="G196" s="18" t="str">
        <f>IF(A196="","",IFERROR(INDEX(Trabajadores!$E$5:$E$204,MATCH(B196,Trabajadores!$A$5:$A$204,0))/Parámetros!$B$6,0)+IF(IFERROR(INDEX(Trabajadores!$E$5:$E$204,MATCH(B196,Trabajadores!$A$5:$A$204,0)),"")="",Parámetros!$B$7,0))</f>
        <v/>
      </c>
      <c r="H196" s="5" t="str">
        <f t="shared" si="40"/>
        <v/>
      </c>
      <c r="I196" s="5" t="str">
        <f>IF(A196="","",IF(COUNTIF(Festivos!$A$5:$A$451,A196)&gt;0,"Festivo",IF(WEEKDAY(A196,2)=7,"Domingo",IF(AND(AF196=1,AC196&gt;1),IF(COUNTIF(Festivos!$A$5:$A$451,A196+1)&gt;0,"Festivo","Domingo")&amp;" desde las 00:00",""))))</f>
        <v/>
      </c>
      <c r="J196" s="19" t="str">
        <f t="shared" si="41"/>
        <v/>
      </c>
      <c r="K196" s="19" t="str">
        <f t="shared" si="42"/>
        <v/>
      </c>
      <c r="L196" s="19" t="str">
        <f t="shared" si="43"/>
        <v/>
      </c>
      <c r="M196" s="19" t="str">
        <f t="shared" si="44"/>
        <v/>
      </c>
      <c r="N196" s="19" t="str">
        <f t="shared" si="45"/>
        <v/>
      </c>
      <c r="O196" s="19" t="str">
        <f t="shared" si="46"/>
        <v/>
      </c>
      <c r="P196" s="19" t="str">
        <f t="shared" si="47"/>
        <v/>
      </c>
      <c r="Q196" s="19" t="str">
        <f t="shared" si="48"/>
        <v/>
      </c>
      <c r="R196" s="19" t="str">
        <f t="shared" si="49"/>
        <v/>
      </c>
      <c r="S196" s="17" t="str">
        <f>IF(B196="","",IFERROR(INDEX(Trabajadores!$G$5:$G$204,MATCH(B196,Trabajadores!$A$5:$A$204,0)),""))</f>
        <v/>
      </c>
      <c r="T196" s="17" t="str">
        <f>IF(OR(OR(A196="",D196="",E196=""),S196=""),"",ROUND(S196*(N(L196)*Parámetros!$B$8+N(M196)*(1+Parámetros!$B$9)+N(N196)*(1+Parámetros!$B$10)+N(O196)*(1+AG196)+N(P196)*(1+AG196+Parámetros!$B$8)+N(Q196)*(1+AG196+Parámetros!$B$9)+N(R196)*(1+AG196+Parámetros!$B$10)),0))</f>
        <v/>
      </c>
      <c r="U196" s="5" t="str">
        <f>IF(OR(A196="",D196="",E196=""),"",IF(N(M196)+N(N196)+N(Q196)+N(R196)&gt;Parámetros!$B$12,"Supera el límite de horas extras diarias",IF(C196="Cédula no registrada","Registre la cédula en «Trabajadores»","")))</f>
        <v/>
      </c>
      <c r="X196" s="20">
        <f t="shared" si="50"/>
        <v>0</v>
      </c>
      <c r="Y196" s="20">
        <f t="shared" si="51"/>
        <v>0</v>
      </c>
      <c r="Z196" s="20">
        <f t="shared" si="52"/>
        <v>0</v>
      </c>
      <c r="AA196" s="20">
        <f t="shared" si="53"/>
        <v>0</v>
      </c>
      <c r="AB196" s="20">
        <f t="shared" si="54"/>
        <v>0</v>
      </c>
      <c r="AC196" s="20">
        <f t="shared" si="55"/>
        <v>0</v>
      </c>
      <c r="AD196" s="20">
        <f>IF(A196="",21/24,MOD(VLOOKUP(A196,Parámetros!$A$24:$B$25,2,TRUE()),1))</f>
        <v>0.875</v>
      </c>
      <c r="AE196" s="5">
        <f>IF(A196="",0,IF(OR(WEEKDAY(A196,2)=7,COUNTIF(Festivos!$A$5:$A$451,A196)&gt;0),1,0))</f>
        <v>0</v>
      </c>
      <c r="AF196" s="5">
        <f>IF(A196="",0,IF(OR(WEEKDAY(A196+1,2)=7,COUNTIF(Festivos!$A$5:$A$451,A196+1)&gt;0),1,0))</f>
        <v>0</v>
      </c>
      <c r="AG196" s="9">
        <f>IF(A196="",0,VLOOKUP(A196,Parámetros!$A$18:$B$21,2,TRUE()))</f>
        <v>0</v>
      </c>
      <c r="AH196" s="20">
        <f t="shared" si="56"/>
        <v>0</v>
      </c>
      <c r="AI196" s="20">
        <f>MAX(0,MIN(AB196,Parámetros!$B$11)-MAX(X196,0))+MAX(0,MIN(AB196,1+Parámetros!$B$11)-MAX(X196,AD196))+MAX(0,MIN(AB196,2)-MAX(X196,1+AD196))</f>
        <v>0</v>
      </c>
      <c r="AJ196" s="20">
        <f t="shared" si="57"/>
        <v>0</v>
      </c>
      <c r="AK196" s="20">
        <f>AE196*(MAX(0,MIN(AB196,Parámetros!$B$11)-MAX(X196,0))+MAX(0,MIN(AB196,1)-MAX(X196,AD196)))+AF196*(MAX(0,MIN(AB196,1+Parámetros!$B$11)-MAX(X196,1))+MAX(0,MIN(AB196,2)-MAX(X196,1+AD196)))</f>
        <v>0</v>
      </c>
      <c r="AL196" s="20">
        <f t="shared" si="58"/>
        <v>0</v>
      </c>
      <c r="AM196" s="20">
        <f>MAX(0,MIN(AC196,Parámetros!$B$11)-MAX(AB196,0))+MAX(0,MIN(AC196,1+Parámetros!$B$11)-MAX(AB196,AD196))+MAX(0,MIN(AC196,2)-MAX(AB196,1+AD196))</f>
        <v>0</v>
      </c>
      <c r="AN196" s="20">
        <f t="shared" si="59"/>
        <v>0</v>
      </c>
      <c r="AO196" s="20">
        <f>AE196*(MAX(0,MIN(AC196,Parámetros!$B$11)-MAX(AB196,0))+MAX(0,MIN(AC196,1)-MAX(AB196,AD196)))+AF196*(MAX(0,MIN(AC196,1+Parámetros!$B$11)-MAX(AB196,1))+MAX(0,MIN(AC196,2)-MAX(AB196,1+AD196)))</f>
        <v>0</v>
      </c>
    </row>
    <row r="197" spans="1:41" x14ac:dyDescent="0.25">
      <c r="A197" s="15"/>
      <c r="B197" s="8"/>
      <c r="C197" s="5" t="str">
        <f>IF(B197="","",IFERROR(INDEX(Trabajadores!$B$5:$B$204,MATCH(B197,Trabajadores!$A$5:$A$204,0)),"Cédula no registrada"))</f>
        <v/>
      </c>
      <c r="D197" s="11"/>
      <c r="E197" s="11"/>
      <c r="F197" s="8"/>
      <c r="G197" s="18" t="str">
        <f>IF(A197="","",IFERROR(INDEX(Trabajadores!$E$5:$E$204,MATCH(B197,Trabajadores!$A$5:$A$204,0))/Parámetros!$B$6,0)+IF(IFERROR(INDEX(Trabajadores!$E$5:$E$204,MATCH(B197,Trabajadores!$A$5:$A$204,0)),"")="",Parámetros!$B$7,0))</f>
        <v/>
      </c>
      <c r="H197" s="5" t="str">
        <f t="shared" ref="H197:H260" si="60">IF(A197="","",CHOOSE(WEEKDAY(A197,2),"Lunes","Martes","Miércoles","Jueves","Viernes","Sábado","Domingo"))</f>
        <v/>
      </c>
      <c r="I197" s="5" t="str">
        <f>IF(A197="","",IF(COUNTIF(Festivos!$A$5:$A$451,A197)&gt;0,"Festivo",IF(WEEKDAY(A197,2)=7,"Domingo",IF(AND(AF197=1,AC197&gt;1),IF(COUNTIF(Festivos!$A$5:$A$451,A197+1)&gt;0,"Festivo","Domingo")&amp;" desde las 00:00",""))))</f>
        <v/>
      </c>
      <c r="J197" s="19" t="str">
        <f t="shared" ref="J197:J260" si="61">IF(OR(A197="",D197="",E197=""),"",ROUND((Z197)*24,2))</f>
        <v/>
      </c>
      <c r="K197" s="19" t="str">
        <f t="shared" ref="K197:K260" si="62">IF(OR(A197="",D197="",E197=""),"",ROUND((AH197-AI197-AJ197+AK197)*24,2))</f>
        <v/>
      </c>
      <c r="L197" s="19" t="str">
        <f t="shared" ref="L197:L260" si="63">IF(OR(A197="",D197="",E197=""),"",ROUND((AI197-AK197)*24,2))</f>
        <v/>
      </c>
      <c r="M197" s="19" t="str">
        <f t="shared" ref="M197:M260" si="64">IF(OR(A197="",D197="",E197=""),"",ROUND((AL197-AM197-AN197+AO197)*24,2))</f>
        <v/>
      </c>
      <c r="N197" s="19" t="str">
        <f t="shared" ref="N197:N260" si="65">IF(OR(A197="",D197="",E197=""),"",ROUND((AM197-AO197)*24,2))</f>
        <v/>
      </c>
      <c r="O197" s="19" t="str">
        <f t="shared" ref="O197:O260" si="66">IF(OR(A197="",D197="",E197=""),"",ROUND((AJ197-AK197)*24,2))</f>
        <v/>
      </c>
      <c r="P197" s="19" t="str">
        <f t="shared" ref="P197:P260" si="67">IF(OR(A197="",D197="",E197=""),"",ROUND((AK197)*24,2))</f>
        <v/>
      </c>
      <c r="Q197" s="19" t="str">
        <f t="shared" ref="Q197:Q260" si="68">IF(OR(A197="",D197="",E197=""),"",ROUND((AN197-AO197)*24,2))</f>
        <v/>
      </c>
      <c r="R197" s="19" t="str">
        <f t="shared" ref="R197:R260" si="69">IF(OR(A197="",D197="",E197=""),"",ROUND((AO197)*24,2))</f>
        <v/>
      </c>
      <c r="S197" s="17" t="str">
        <f>IF(B197="","",IFERROR(INDEX(Trabajadores!$G$5:$G$204,MATCH(B197,Trabajadores!$A$5:$A$204,0)),""))</f>
        <v/>
      </c>
      <c r="T197" s="17" t="str">
        <f>IF(OR(OR(A197="",D197="",E197=""),S197=""),"",ROUND(S197*(N(L197)*Parámetros!$B$8+N(M197)*(1+Parámetros!$B$9)+N(N197)*(1+Parámetros!$B$10)+N(O197)*(1+AG197)+N(P197)*(1+AG197+Parámetros!$B$8)+N(Q197)*(1+AG197+Parámetros!$B$9)+N(R197)*(1+AG197+Parámetros!$B$10)),0))</f>
        <v/>
      </c>
      <c r="U197" s="5" t="str">
        <f>IF(OR(A197="",D197="",E197=""),"",IF(N(M197)+N(N197)+N(Q197)+N(R197)&gt;Parámetros!$B$12,"Supera el límite de horas extras diarias",IF(C197="Cédula no registrada","Registre la cédula en «Trabajadores»","")))</f>
        <v/>
      </c>
      <c r="X197" s="20">
        <f t="shared" ref="X197:X260" si="70">IF(OR(A197="",D197="",E197=""),0,MOD(D197,1))</f>
        <v>0</v>
      </c>
      <c r="Y197" s="20">
        <f t="shared" ref="Y197:Y260" si="71">IF(OR(A197="",D197="",E197=""),0,IF(MOD(E197,1)&gt;X197,MOD(E197,1)-X197,MOD(E197,1)+1-X197))</f>
        <v>0</v>
      </c>
      <c r="Z197" s="20">
        <f t="shared" ref="Z197:Z260" si="72">MAX(0,Y197-N(F197)/1440)</f>
        <v>0</v>
      </c>
      <c r="AA197" s="20">
        <f t="shared" ref="AA197:AA260" si="73">IF(G197="",0,MAX(0,N(G197))/24)</f>
        <v>0</v>
      </c>
      <c r="AB197" s="20">
        <f t="shared" ref="AB197:AB260" si="74">X197+MIN(Z197,AA197)</f>
        <v>0</v>
      </c>
      <c r="AC197" s="20">
        <f t="shared" ref="AC197:AC260" si="75">X197+Z197</f>
        <v>0</v>
      </c>
      <c r="AD197" s="20">
        <f>IF(A197="",21/24,MOD(VLOOKUP(A197,Parámetros!$A$24:$B$25,2,TRUE()),1))</f>
        <v>0.875</v>
      </c>
      <c r="AE197" s="5">
        <f>IF(A197="",0,IF(OR(WEEKDAY(A197,2)=7,COUNTIF(Festivos!$A$5:$A$451,A197)&gt;0),1,0))</f>
        <v>0</v>
      </c>
      <c r="AF197" s="5">
        <f>IF(A197="",0,IF(OR(WEEKDAY(A197+1,2)=7,COUNTIF(Festivos!$A$5:$A$451,A197+1)&gt;0),1,0))</f>
        <v>0</v>
      </c>
      <c r="AG197" s="9">
        <f>IF(A197="",0,VLOOKUP(A197,Parámetros!$A$18:$B$21,2,TRUE()))</f>
        <v>0</v>
      </c>
      <c r="AH197" s="20">
        <f t="shared" ref="AH197:AH260" si="76">AB197-X197</f>
        <v>0</v>
      </c>
      <c r="AI197" s="20">
        <f>MAX(0,MIN(AB197,Parámetros!$B$11)-MAX(X197,0))+MAX(0,MIN(AB197,1+Parámetros!$B$11)-MAX(X197,AD197))+MAX(0,MIN(AB197,2)-MAX(X197,1+AD197))</f>
        <v>0</v>
      </c>
      <c r="AJ197" s="20">
        <f t="shared" ref="AJ197:AJ260" si="77">AE197*MAX(0,MIN(AB197,1)-MAX(X197,0))+AF197*MAX(0,MIN(AB197,2)-MAX(X197,1))</f>
        <v>0</v>
      </c>
      <c r="AK197" s="20">
        <f>AE197*(MAX(0,MIN(AB197,Parámetros!$B$11)-MAX(X197,0))+MAX(0,MIN(AB197,1)-MAX(X197,AD197)))+AF197*(MAX(0,MIN(AB197,1+Parámetros!$B$11)-MAX(X197,1))+MAX(0,MIN(AB197,2)-MAX(X197,1+AD197)))</f>
        <v>0</v>
      </c>
      <c r="AL197" s="20">
        <f t="shared" ref="AL197:AL260" si="78">AC197-AB197</f>
        <v>0</v>
      </c>
      <c r="AM197" s="20">
        <f>MAX(0,MIN(AC197,Parámetros!$B$11)-MAX(AB197,0))+MAX(0,MIN(AC197,1+Parámetros!$B$11)-MAX(AB197,AD197))+MAX(0,MIN(AC197,2)-MAX(AB197,1+AD197))</f>
        <v>0</v>
      </c>
      <c r="AN197" s="20">
        <f t="shared" ref="AN197:AN260" si="79">AE197*MAX(0,MIN(AC197,1)-MAX(AB197,0))+AF197*MAX(0,MIN(AC197,2)-MAX(AB197,1))</f>
        <v>0</v>
      </c>
      <c r="AO197" s="20">
        <f>AE197*(MAX(0,MIN(AC197,Parámetros!$B$11)-MAX(AB197,0))+MAX(0,MIN(AC197,1)-MAX(AB197,AD197)))+AF197*(MAX(0,MIN(AC197,1+Parámetros!$B$11)-MAX(AB197,1))+MAX(0,MIN(AC197,2)-MAX(AB197,1+AD197)))</f>
        <v>0</v>
      </c>
    </row>
    <row r="198" spans="1:41" x14ac:dyDescent="0.25">
      <c r="A198" s="15"/>
      <c r="B198" s="8"/>
      <c r="C198" s="5" t="str">
        <f>IF(B198="","",IFERROR(INDEX(Trabajadores!$B$5:$B$204,MATCH(B198,Trabajadores!$A$5:$A$204,0)),"Cédula no registrada"))</f>
        <v/>
      </c>
      <c r="D198" s="11"/>
      <c r="E198" s="11"/>
      <c r="F198" s="8"/>
      <c r="G198" s="18" t="str">
        <f>IF(A198="","",IFERROR(INDEX(Trabajadores!$E$5:$E$204,MATCH(B198,Trabajadores!$A$5:$A$204,0))/Parámetros!$B$6,0)+IF(IFERROR(INDEX(Trabajadores!$E$5:$E$204,MATCH(B198,Trabajadores!$A$5:$A$204,0)),"")="",Parámetros!$B$7,0))</f>
        <v/>
      </c>
      <c r="H198" s="5" t="str">
        <f t="shared" si="60"/>
        <v/>
      </c>
      <c r="I198" s="5" t="str">
        <f>IF(A198="","",IF(COUNTIF(Festivos!$A$5:$A$451,A198)&gt;0,"Festivo",IF(WEEKDAY(A198,2)=7,"Domingo",IF(AND(AF198=1,AC198&gt;1),IF(COUNTIF(Festivos!$A$5:$A$451,A198+1)&gt;0,"Festivo","Domingo")&amp;" desde las 00:00",""))))</f>
        <v/>
      </c>
      <c r="J198" s="19" t="str">
        <f t="shared" si="61"/>
        <v/>
      </c>
      <c r="K198" s="19" t="str">
        <f t="shared" si="62"/>
        <v/>
      </c>
      <c r="L198" s="19" t="str">
        <f t="shared" si="63"/>
        <v/>
      </c>
      <c r="M198" s="19" t="str">
        <f t="shared" si="64"/>
        <v/>
      </c>
      <c r="N198" s="19" t="str">
        <f t="shared" si="65"/>
        <v/>
      </c>
      <c r="O198" s="19" t="str">
        <f t="shared" si="66"/>
        <v/>
      </c>
      <c r="P198" s="19" t="str">
        <f t="shared" si="67"/>
        <v/>
      </c>
      <c r="Q198" s="19" t="str">
        <f t="shared" si="68"/>
        <v/>
      </c>
      <c r="R198" s="19" t="str">
        <f t="shared" si="69"/>
        <v/>
      </c>
      <c r="S198" s="17" t="str">
        <f>IF(B198="","",IFERROR(INDEX(Trabajadores!$G$5:$G$204,MATCH(B198,Trabajadores!$A$5:$A$204,0)),""))</f>
        <v/>
      </c>
      <c r="T198" s="17" t="str">
        <f>IF(OR(OR(A198="",D198="",E198=""),S198=""),"",ROUND(S198*(N(L198)*Parámetros!$B$8+N(M198)*(1+Parámetros!$B$9)+N(N198)*(1+Parámetros!$B$10)+N(O198)*(1+AG198)+N(P198)*(1+AG198+Parámetros!$B$8)+N(Q198)*(1+AG198+Parámetros!$B$9)+N(R198)*(1+AG198+Parámetros!$B$10)),0))</f>
        <v/>
      </c>
      <c r="U198" s="5" t="str">
        <f>IF(OR(A198="",D198="",E198=""),"",IF(N(M198)+N(N198)+N(Q198)+N(R198)&gt;Parámetros!$B$12,"Supera el límite de horas extras diarias",IF(C198="Cédula no registrada","Registre la cédula en «Trabajadores»","")))</f>
        <v/>
      </c>
      <c r="X198" s="20">
        <f t="shared" si="70"/>
        <v>0</v>
      </c>
      <c r="Y198" s="20">
        <f t="shared" si="71"/>
        <v>0</v>
      </c>
      <c r="Z198" s="20">
        <f t="shared" si="72"/>
        <v>0</v>
      </c>
      <c r="AA198" s="20">
        <f t="shared" si="73"/>
        <v>0</v>
      </c>
      <c r="AB198" s="20">
        <f t="shared" si="74"/>
        <v>0</v>
      </c>
      <c r="AC198" s="20">
        <f t="shared" si="75"/>
        <v>0</v>
      </c>
      <c r="AD198" s="20">
        <f>IF(A198="",21/24,MOD(VLOOKUP(A198,Parámetros!$A$24:$B$25,2,TRUE()),1))</f>
        <v>0.875</v>
      </c>
      <c r="AE198" s="5">
        <f>IF(A198="",0,IF(OR(WEEKDAY(A198,2)=7,COUNTIF(Festivos!$A$5:$A$451,A198)&gt;0),1,0))</f>
        <v>0</v>
      </c>
      <c r="AF198" s="5">
        <f>IF(A198="",0,IF(OR(WEEKDAY(A198+1,2)=7,COUNTIF(Festivos!$A$5:$A$451,A198+1)&gt;0),1,0))</f>
        <v>0</v>
      </c>
      <c r="AG198" s="9">
        <f>IF(A198="",0,VLOOKUP(A198,Parámetros!$A$18:$B$21,2,TRUE()))</f>
        <v>0</v>
      </c>
      <c r="AH198" s="20">
        <f t="shared" si="76"/>
        <v>0</v>
      </c>
      <c r="AI198" s="20">
        <f>MAX(0,MIN(AB198,Parámetros!$B$11)-MAX(X198,0))+MAX(0,MIN(AB198,1+Parámetros!$B$11)-MAX(X198,AD198))+MAX(0,MIN(AB198,2)-MAX(X198,1+AD198))</f>
        <v>0</v>
      </c>
      <c r="AJ198" s="20">
        <f t="shared" si="77"/>
        <v>0</v>
      </c>
      <c r="AK198" s="20">
        <f>AE198*(MAX(0,MIN(AB198,Parámetros!$B$11)-MAX(X198,0))+MAX(0,MIN(AB198,1)-MAX(X198,AD198)))+AF198*(MAX(0,MIN(AB198,1+Parámetros!$B$11)-MAX(X198,1))+MAX(0,MIN(AB198,2)-MAX(X198,1+AD198)))</f>
        <v>0</v>
      </c>
      <c r="AL198" s="20">
        <f t="shared" si="78"/>
        <v>0</v>
      </c>
      <c r="AM198" s="20">
        <f>MAX(0,MIN(AC198,Parámetros!$B$11)-MAX(AB198,0))+MAX(0,MIN(AC198,1+Parámetros!$B$11)-MAX(AB198,AD198))+MAX(0,MIN(AC198,2)-MAX(AB198,1+AD198))</f>
        <v>0</v>
      </c>
      <c r="AN198" s="20">
        <f t="shared" si="79"/>
        <v>0</v>
      </c>
      <c r="AO198" s="20">
        <f>AE198*(MAX(0,MIN(AC198,Parámetros!$B$11)-MAX(AB198,0))+MAX(0,MIN(AC198,1)-MAX(AB198,AD198)))+AF198*(MAX(0,MIN(AC198,1+Parámetros!$B$11)-MAX(AB198,1))+MAX(0,MIN(AC198,2)-MAX(AB198,1+AD198)))</f>
        <v>0</v>
      </c>
    </row>
    <row r="199" spans="1:41" x14ac:dyDescent="0.25">
      <c r="A199" s="15"/>
      <c r="B199" s="8"/>
      <c r="C199" s="5" t="str">
        <f>IF(B199="","",IFERROR(INDEX(Trabajadores!$B$5:$B$204,MATCH(B199,Trabajadores!$A$5:$A$204,0)),"Cédula no registrada"))</f>
        <v/>
      </c>
      <c r="D199" s="11"/>
      <c r="E199" s="11"/>
      <c r="F199" s="8"/>
      <c r="G199" s="18" t="str">
        <f>IF(A199="","",IFERROR(INDEX(Trabajadores!$E$5:$E$204,MATCH(B199,Trabajadores!$A$5:$A$204,0))/Parámetros!$B$6,0)+IF(IFERROR(INDEX(Trabajadores!$E$5:$E$204,MATCH(B199,Trabajadores!$A$5:$A$204,0)),"")="",Parámetros!$B$7,0))</f>
        <v/>
      </c>
      <c r="H199" s="5" t="str">
        <f t="shared" si="60"/>
        <v/>
      </c>
      <c r="I199" s="5" t="str">
        <f>IF(A199="","",IF(COUNTIF(Festivos!$A$5:$A$451,A199)&gt;0,"Festivo",IF(WEEKDAY(A199,2)=7,"Domingo",IF(AND(AF199=1,AC199&gt;1),IF(COUNTIF(Festivos!$A$5:$A$451,A199+1)&gt;0,"Festivo","Domingo")&amp;" desde las 00:00",""))))</f>
        <v/>
      </c>
      <c r="J199" s="19" t="str">
        <f t="shared" si="61"/>
        <v/>
      </c>
      <c r="K199" s="19" t="str">
        <f t="shared" si="62"/>
        <v/>
      </c>
      <c r="L199" s="19" t="str">
        <f t="shared" si="63"/>
        <v/>
      </c>
      <c r="M199" s="19" t="str">
        <f t="shared" si="64"/>
        <v/>
      </c>
      <c r="N199" s="19" t="str">
        <f t="shared" si="65"/>
        <v/>
      </c>
      <c r="O199" s="19" t="str">
        <f t="shared" si="66"/>
        <v/>
      </c>
      <c r="P199" s="19" t="str">
        <f t="shared" si="67"/>
        <v/>
      </c>
      <c r="Q199" s="19" t="str">
        <f t="shared" si="68"/>
        <v/>
      </c>
      <c r="R199" s="19" t="str">
        <f t="shared" si="69"/>
        <v/>
      </c>
      <c r="S199" s="17" t="str">
        <f>IF(B199="","",IFERROR(INDEX(Trabajadores!$G$5:$G$204,MATCH(B199,Trabajadores!$A$5:$A$204,0)),""))</f>
        <v/>
      </c>
      <c r="T199" s="17" t="str">
        <f>IF(OR(OR(A199="",D199="",E199=""),S199=""),"",ROUND(S199*(N(L199)*Parámetros!$B$8+N(M199)*(1+Parámetros!$B$9)+N(N199)*(1+Parámetros!$B$10)+N(O199)*(1+AG199)+N(P199)*(1+AG199+Parámetros!$B$8)+N(Q199)*(1+AG199+Parámetros!$B$9)+N(R199)*(1+AG199+Parámetros!$B$10)),0))</f>
        <v/>
      </c>
      <c r="U199" s="5" t="str">
        <f>IF(OR(A199="",D199="",E199=""),"",IF(N(M199)+N(N199)+N(Q199)+N(R199)&gt;Parámetros!$B$12,"Supera el límite de horas extras diarias",IF(C199="Cédula no registrada","Registre la cédula en «Trabajadores»","")))</f>
        <v/>
      </c>
      <c r="X199" s="20">
        <f t="shared" si="70"/>
        <v>0</v>
      </c>
      <c r="Y199" s="20">
        <f t="shared" si="71"/>
        <v>0</v>
      </c>
      <c r="Z199" s="20">
        <f t="shared" si="72"/>
        <v>0</v>
      </c>
      <c r="AA199" s="20">
        <f t="shared" si="73"/>
        <v>0</v>
      </c>
      <c r="AB199" s="20">
        <f t="shared" si="74"/>
        <v>0</v>
      </c>
      <c r="AC199" s="20">
        <f t="shared" si="75"/>
        <v>0</v>
      </c>
      <c r="AD199" s="20">
        <f>IF(A199="",21/24,MOD(VLOOKUP(A199,Parámetros!$A$24:$B$25,2,TRUE()),1))</f>
        <v>0.875</v>
      </c>
      <c r="AE199" s="5">
        <f>IF(A199="",0,IF(OR(WEEKDAY(A199,2)=7,COUNTIF(Festivos!$A$5:$A$451,A199)&gt;0),1,0))</f>
        <v>0</v>
      </c>
      <c r="AF199" s="5">
        <f>IF(A199="",0,IF(OR(WEEKDAY(A199+1,2)=7,COUNTIF(Festivos!$A$5:$A$451,A199+1)&gt;0),1,0))</f>
        <v>0</v>
      </c>
      <c r="AG199" s="9">
        <f>IF(A199="",0,VLOOKUP(A199,Parámetros!$A$18:$B$21,2,TRUE()))</f>
        <v>0</v>
      </c>
      <c r="AH199" s="20">
        <f t="shared" si="76"/>
        <v>0</v>
      </c>
      <c r="AI199" s="20">
        <f>MAX(0,MIN(AB199,Parámetros!$B$11)-MAX(X199,0))+MAX(0,MIN(AB199,1+Parámetros!$B$11)-MAX(X199,AD199))+MAX(0,MIN(AB199,2)-MAX(X199,1+AD199))</f>
        <v>0</v>
      </c>
      <c r="AJ199" s="20">
        <f t="shared" si="77"/>
        <v>0</v>
      </c>
      <c r="AK199" s="20">
        <f>AE199*(MAX(0,MIN(AB199,Parámetros!$B$11)-MAX(X199,0))+MAX(0,MIN(AB199,1)-MAX(X199,AD199)))+AF199*(MAX(0,MIN(AB199,1+Parámetros!$B$11)-MAX(X199,1))+MAX(0,MIN(AB199,2)-MAX(X199,1+AD199)))</f>
        <v>0</v>
      </c>
      <c r="AL199" s="20">
        <f t="shared" si="78"/>
        <v>0</v>
      </c>
      <c r="AM199" s="20">
        <f>MAX(0,MIN(AC199,Parámetros!$B$11)-MAX(AB199,0))+MAX(0,MIN(AC199,1+Parámetros!$B$11)-MAX(AB199,AD199))+MAX(0,MIN(AC199,2)-MAX(AB199,1+AD199))</f>
        <v>0</v>
      </c>
      <c r="AN199" s="20">
        <f t="shared" si="79"/>
        <v>0</v>
      </c>
      <c r="AO199" s="20">
        <f>AE199*(MAX(0,MIN(AC199,Parámetros!$B$11)-MAX(AB199,0))+MAX(0,MIN(AC199,1)-MAX(AB199,AD199)))+AF199*(MAX(0,MIN(AC199,1+Parámetros!$B$11)-MAX(AB199,1))+MAX(0,MIN(AC199,2)-MAX(AB199,1+AD199)))</f>
        <v>0</v>
      </c>
    </row>
    <row r="200" spans="1:41" x14ac:dyDescent="0.25">
      <c r="A200" s="15"/>
      <c r="B200" s="8"/>
      <c r="C200" s="5" t="str">
        <f>IF(B200="","",IFERROR(INDEX(Trabajadores!$B$5:$B$204,MATCH(B200,Trabajadores!$A$5:$A$204,0)),"Cédula no registrada"))</f>
        <v/>
      </c>
      <c r="D200" s="11"/>
      <c r="E200" s="11"/>
      <c r="F200" s="8"/>
      <c r="G200" s="18" t="str">
        <f>IF(A200="","",IFERROR(INDEX(Trabajadores!$E$5:$E$204,MATCH(B200,Trabajadores!$A$5:$A$204,0))/Parámetros!$B$6,0)+IF(IFERROR(INDEX(Trabajadores!$E$5:$E$204,MATCH(B200,Trabajadores!$A$5:$A$204,0)),"")="",Parámetros!$B$7,0))</f>
        <v/>
      </c>
      <c r="H200" s="5" t="str">
        <f t="shared" si="60"/>
        <v/>
      </c>
      <c r="I200" s="5" t="str">
        <f>IF(A200="","",IF(COUNTIF(Festivos!$A$5:$A$451,A200)&gt;0,"Festivo",IF(WEEKDAY(A200,2)=7,"Domingo",IF(AND(AF200=1,AC200&gt;1),IF(COUNTIF(Festivos!$A$5:$A$451,A200+1)&gt;0,"Festivo","Domingo")&amp;" desde las 00:00",""))))</f>
        <v/>
      </c>
      <c r="J200" s="19" t="str">
        <f t="shared" si="61"/>
        <v/>
      </c>
      <c r="K200" s="19" t="str">
        <f t="shared" si="62"/>
        <v/>
      </c>
      <c r="L200" s="19" t="str">
        <f t="shared" si="63"/>
        <v/>
      </c>
      <c r="M200" s="19" t="str">
        <f t="shared" si="64"/>
        <v/>
      </c>
      <c r="N200" s="19" t="str">
        <f t="shared" si="65"/>
        <v/>
      </c>
      <c r="O200" s="19" t="str">
        <f t="shared" si="66"/>
        <v/>
      </c>
      <c r="P200" s="19" t="str">
        <f t="shared" si="67"/>
        <v/>
      </c>
      <c r="Q200" s="19" t="str">
        <f t="shared" si="68"/>
        <v/>
      </c>
      <c r="R200" s="19" t="str">
        <f t="shared" si="69"/>
        <v/>
      </c>
      <c r="S200" s="17" t="str">
        <f>IF(B200="","",IFERROR(INDEX(Trabajadores!$G$5:$G$204,MATCH(B200,Trabajadores!$A$5:$A$204,0)),""))</f>
        <v/>
      </c>
      <c r="T200" s="17" t="str">
        <f>IF(OR(OR(A200="",D200="",E200=""),S200=""),"",ROUND(S200*(N(L200)*Parámetros!$B$8+N(M200)*(1+Parámetros!$B$9)+N(N200)*(1+Parámetros!$B$10)+N(O200)*(1+AG200)+N(P200)*(1+AG200+Parámetros!$B$8)+N(Q200)*(1+AG200+Parámetros!$B$9)+N(R200)*(1+AG200+Parámetros!$B$10)),0))</f>
        <v/>
      </c>
      <c r="U200" s="5" t="str">
        <f>IF(OR(A200="",D200="",E200=""),"",IF(N(M200)+N(N200)+N(Q200)+N(R200)&gt;Parámetros!$B$12,"Supera el límite de horas extras diarias",IF(C200="Cédula no registrada","Registre la cédula en «Trabajadores»","")))</f>
        <v/>
      </c>
      <c r="X200" s="20">
        <f t="shared" si="70"/>
        <v>0</v>
      </c>
      <c r="Y200" s="20">
        <f t="shared" si="71"/>
        <v>0</v>
      </c>
      <c r="Z200" s="20">
        <f t="shared" si="72"/>
        <v>0</v>
      </c>
      <c r="AA200" s="20">
        <f t="shared" si="73"/>
        <v>0</v>
      </c>
      <c r="AB200" s="20">
        <f t="shared" si="74"/>
        <v>0</v>
      </c>
      <c r="AC200" s="20">
        <f t="shared" si="75"/>
        <v>0</v>
      </c>
      <c r="AD200" s="20">
        <f>IF(A200="",21/24,MOD(VLOOKUP(A200,Parámetros!$A$24:$B$25,2,TRUE()),1))</f>
        <v>0.875</v>
      </c>
      <c r="AE200" s="5">
        <f>IF(A200="",0,IF(OR(WEEKDAY(A200,2)=7,COUNTIF(Festivos!$A$5:$A$451,A200)&gt;0),1,0))</f>
        <v>0</v>
      </c>
      <c r="AF200" s="5">
        <f>IF(A200="",0,IF(OR(WEEKDAY(A200+1,2)=7,COUNTIF(Festivos!$A$5:$A$451,A200+1)&gt;0),1,0))</f>
        <v>0</v>
      </c>
      <c r="AG200" s="9">
        <f>IF(A200="",0,VLOOKUP(A200,Parámetros!$A$18:$B$21,2,TRUE()))</f>
        <v>0</v>
      </c>
      <c r="AH200" s="20">
        <f t="shared" si="76"/>
        <v>0</v>
      </c>
      <c r="AI200" s="20">
        <f>MAX(0,MIN(AB200,Parámetros!$B$11)-MAX(X200,0))+MAX(0,MIN(AB200,1+Parámetros!$B$11)-MAX(X200,AD200))+MAX(0,MIN(AB200,2)-MAX(X200,1+AD200))</f>
        <v>0</v>
      </c>
      <c r="AJ200" s="20">
        <f t="shared" si="77"/>
        <v>0</v>
      </c>
      <c r="AK200" s="20">
        <f>AE200*(MAX(0,MIN(AB200,Parámetros!$B$11)-MAX(X200,0))+MAX(0,MIN(AB200,1)-MAX(X200,AD200)))+AF200*(MAX(0,MIN(AB200,1+Parámetros!$B$11)-MAX(X200,1))+MAX(0,MIN(AB200,2)-MAX(X200,1+AD200)))</f>
        <v>0</v>
      </c>
      <c r="AL200" s="20">
        <f t="shared" si="78"/>
        <v>0</v>
      </c>
      <c r="AM200" s="20">
        <f>MAX(0,MIN(AC200,Parámetros!$B$11)-MAX(AB200,0))+MAX(0,MIN(AC200,1+Parámetros!$B$11)-MAX(AB200,AD200))+MAX(0,MIN(AC200,2)-MAX(AB200,1+AD200))</f>
        <v>0</v>
      </c>
      <c r="AN200" s="20">
        <f t="shared" si="79"/>
        <v>0</v>
      </c>
      <c r="AO200" s="20">
        <f>AE200*(MAX(0,MIN(AC200,Parámetros!$B$11)-MAX(AB200,0))+MAX(0,MIN(AC200,1)-MAX(AB200,AD200)))+AF200*(MAX(0,MIN(AC200,1+Parámetros!$B$11)-MAX(AB200,1))+MAX(0,MIN(AC200,2)-MAX(AB200,1+AD200)))</f>
        <v>0</v>
      </c>
    </row>
    <row r="201" spans="1:41" x14ac:dyDescent="0.25">
      <c r="A201" s="15"/>
      <c r="B201" s="8"/>
      <c r="C201" s="5" t="str">
        <f>IF(B201="","",IFERROR(INDEX(Trabajadores!$B$5:$B$204,MATCH(B201,Trabajadores!$A$5:$A$204,0)),"Cédula no registrada"))</f>
        <v/>
      </c>
      <c r="D201" s="11"/>
      <c r="E201" s="11"/>
      <c r="F201" s="8"/>
      <c r="G201" s="18" t="str">
        <f>IF(A201="","",IFERROR(INDEX(Trabajadores!$E$5:$E$204,MATCH(B201,Trabajadores!$A$5:$A$204,0))/Parámetros!$B$6,0)+IF(IFERROR(INDEX(Trabajadores!$E$5:$E$204,MATCH(B201,Trabajadores!$A$5:$A$204,0)),"")="",Parámetros!$B$7,0))</f>
        <v/>
      </c>
      <c r="H201" s="5" t="str">
        <f t="shared" si="60"/>
        <v/>
      </c>
      <c r="I201" s="5" t="str">
        <f>IF(A201="","",IF(COUNTIF(Festivos!$A$5:$A$451,A201)&gt;0,"Festivo",IF(WEEKDAY(A201,2)=7,"Domingo",IF(AND(AF201=1,AC201&gt;1),IF(COUNTIF(Festivos!$A$5:$A$451,A201+1)&gt;0,"Festivo","Domingo")&amp;" desde las 00:00",""))))</f>
        <v/>
      </c>
      <c r="J201" s="19" t="str">
        <f t="shared" si="61"/>
        <v/>
      </c>
      <c r="K201" s="19" t="str">
        <f t="shared" si="62"/>
        <v/>
      </c>
      <c r="L201" s="19" t="str">
        <f t="shared" si="63"/>
        <v/>
      </c>
      <c r="M201" s="19" t="str">
        <f t="shared" si="64"/>
        <v/>
      </c>
      <c r="N201" s="19" t="str">
        <f t="shared" si="65"/>
        <v/>
      </c>
      <c r="O201" s="19" t="str">
        <f t="shared" si="66"/>
        <v/>
      </c>
      <c r="P201" s="19" t="str">
        <f t="shared" si="67"/>
        <v/>
      </c>
      <c r="Q201" s="19" t="str">
        <f t="shared" si="68"/>
        <v/>
      </c>
      <c r="R201" s="19" t="str">
        <f t="shared" si="69"/>
        <v/>
      </c>
      <c r="S201" s="17" t="str">
        <f>IF(B201="","",IFERROR(INDEX(Trabajadores!$G$5:$G$204,MATCH(B201,Trabajadores!$A$5:$A$204,0)),""))</f>
        <v/>
      </c>
      <c r="T201" s="17" t="str">
        <f>IF(OR(OR(A201="",D201="",E201=""),S201=""),"",ROUND(S201*(N(L201)*Parámetros!$B$8+N(M201)*(1+Parámetros!$B$9)+N(N201)*(1+Parámetros!$B$10)+N(O201)*(1+AG201)+N(P201)*(1+AG201+Parámetros!$B$8)+N(Q201)*(1+AG201+Parámetros!$B$9)+N(R201)*(1+AG201+Parámetros!$B$10)),0))</f>
        <v/>
      </c>
      <c r="U201" s="5" t="str">
        <f>IF(OR(A201="",D201="",E201=""),"",IF(N(M201)+N(N201)+N(Q201)+N(R201)&gt;Parámetros!$B$12,"Supera el límite de horas extras diarias",IF(C201="Cédula no registrada","Registre la cédula en «Trabajadores»","")))</f>
        <v/>
      </c>
      <c r="X201" s="20">
        <f t="shared" si="70"/>
        <v>0</v>
      </c>
      <c r="Y201" s="20">
        <f t="shared" si="71"/>
        <v>0</v>
      </c>
      <c r="Z201" s="20">
        <f t="shared" si="72"/>
        <v>0</v>
      </c>
      <c r="AA201" s="20">
        <f t="shared" si="73"/>
        <v>0</v>
      </c>
      <c r="AB201" s="20">
        <f t="shared" si="74"/>
        <v>0</v>
      </c>
      <c r="AC201" s="20">
        <f t="shared" si="75"/>
        <v>0</v>
      </c>
      <c r="AD201" s="20">
        <f>IF(A201="",21/24,MOD(VLOOKUP(A201,Parámetros!$A$24:$B$25,2,TRUE()),1))</f>
        <v>0.875</v>
      </c>
      <c r="AE201" s="5">
        <f>IF(A201="",0,IF(OR(WEEKDAY(A201,2)=7,COUNTIF(Festivos!$A$5:$A$451,A201)&gt;0),1,0))</f>
        <v>0</v>
      </c>
      <c r="AF201" s="5">
        <f>IF(A201="",0,IF(OR(WEEKDAY(A201+1,2)=7,COUNTIF(Festivos!$A$5:$A$451,A201+1)&gt;0),1,0))</f>
        <v>0</v>
      </c>
      <c r="AG201" s="9">
        <f>IF(A201="",0,VLOOKUP(A201,Parámetros!$A$18:$B$21,2,TRUE()))</f>
        <v>0</v>
      </c>
      <c r="AH201" s="20">
        <f t="shared" si="76"/>
        <v>0</v>
      </c>
      <c r="AI201" s="20">
        <f>MAX(0,MIN(AB201,Parámetros!$B$11)-MAX(X201,0))+MAX(0,MIN(AB201,1+Parámetros!$B$11)-MAX(X201,AD201))+MAX(0,MIN(AB201,2)-MAX(X201,1+AD201))</f>
        <v>0</v>
      </c>
      <c r="AJ201" s="20">
        <f t="shared" si="77"/>
        <v>0</v>
      </c>
      <c r="AK201" s="20">
        <f>AE201*(MAX(0,MIN(AB201,Parámetros!$B$11)-MAX(X201,0))+MAX(0,MIN(AB201,1)-MAX(X201,AD201)))+AF201*(MAX(0,MIN(AB201,1+Parámetros!$B$11)-MAX(X201,1))+MAX(0,MIN(AB201,2)-MAX(X201,1+AD201)))</f>
        <v>0</v>
      </c>
      <c r="AL201" s="20">
        <f t="shared" si="78"/>
        <v>0</v>
      </c>
      <c r="AM201" s="20">
        <f>MAX(0,MIN(AC201,Parámetros!$B$11)-MAX(AB201,0))+MAX(0,MIN(AC201,1+Parámetros!$B$11)-MAX(AB201,AD201))+MAX(0,MIN(AC201,2)-MAX(AB201,1+AD201))</f>
        <v>0</v>
      </c>
      <c r="AN201" s="20">
        <f t="shared" si="79"/>
        <v>0</v>
      </c>
      <c r="AO201" s="20">
        <f>AE201*(MAX(0,MIN(AC201,Parámetros!$B$11)-MAX(AB201,0))+MAX(0,MIN(AC201,1)-MAX(AB201,AD201)))+AF201*(MAX(0,MIN(AC201,1+Parámetros!$B$11)-MAX(AB201,1))+MAX(0,MIN(AC201,2)-MAX(AB201,1+AD201)))</f>
        <v>0</v>
      </c>
    </row>
    <row r="202" spans="1:41" x14ac:dyDescent="0.25">
      <c r="A202" s="15"/>
      <c r="B202" s="8"/>
      <c r="C202" s="5" t="str">
        <f>IF(B202="","",IFERROR(INDEX(Trabajadores!$B$5:$B$204,MATCH(B202,Trabajadores!$A$5:$A$204,0)),"Cédula no registrada"))</f>
        <v/>
      </c>
      <c r="D202" s="11"/>
      <c r="E202" s="11"/>
      <c r="F202" s="8"/>
      <c r="G202" s="18" t="str">
        <f>IF(A202="","",IFERROR(INDEX(Trabajadores!$E$5:$E$204,MATCH(B202,Trabajadores!$A$5:$A$204,0))/Parámetros!$B$6,0)+IF(IFERROR(INDEX(Trabajadores!$E$5:$E$204,MATCH(B202,Trabajadores!$A$5:$A$204,0)),"")="",Parámetros!$B$7,0))</f>
        <v/>
      </c>
      <c r="H202" s="5" t="str">
        <f t="shared" si="60"/>
        <v/>
      </c>
      <c r="I202" s="5" t="str">
        <f>IF(A202="","",IF(COUNTIF(Festivos!$A$5:$A$451,A202)&gt;0,"Festivo",IF(WEEKDAY(A202,2)=7,"Domingo",IF(AND(AF202=1,AC202&gt;1),IF(COUNTIF(Festivos!$A$5:$A$451,A202+1)&gt;0,"Festivo","Domingo")&amp;" desde las 00:00",""))))</f>
        <v/>
      </c>
      <c r="J202" s="19" t="str">
        <f t="shared" si="61"/>
        <v/>
      </c>
      <c r="K202" s="19" t="str">
        <f t="shared" si="62"/>
        <v/>
      </c>
      <c r="L202" s="19" t="str">
        <f t="shared" si="63"/>
        <v/>
      </c>
      <c r="M202" s="19" t="str">
        <f t="shared" si="64"/>
        <v/>
      </c>
      <c r="N202" s="19" t="str">
        <f t="shared" si="65"/>
        <v/>
      </c>
      <c r="O202" s="19" t="str">
        <f t="shared" si="66"/>
        <v/>
      </c>
      <c r="P202" s="19" t="str">
        <f t="shared" si="67"/>
        <v/>
      </c>
      <c r="Q202" s="19" t="str">
        <f t="shared" si="68"/>
        <v/>
      </c>
      <c r="R202" s="19" t="str">
        <f t="shared" si="69"/>
        <v/>
      </c>
      <c r="S202" s="17" t="str">
        <f>IF(B202="","",IFERROR(INDEX(Trabajadores!$G$5:$G$204,MATCH(B202,Trabajadores!$A$5:$A$204,0)),""))</f>
        <v/>
      </c>
      <c r="T202" s="17" t="str">
        <f>IF(OR(OR(A202="",D202="",E202=""),S202=""),"",ROUND(S202*(N(L202)*Parámetros!$B$8+N(M202)*(1+Parámetros!$B$9)+N(N202)*(1+Parámetros!$B$10)+N(O202)*(1+AG202)+N(P202)*(1+AG202+Parámetros!$B$8)+N(Q202)*(1+AG202+Parámetros!$B$9)+N(R202)*(1+AG202+Parámetros!$B$10)),0))</f>
        <v/>
      </c>
      <c r="U202" s="5" t="str">
        <f>IF(OR(A202="",D202="",E202=""),"",IF(N(M202)+N(N202)+N(Q202)+N(R202)&gt;Parámetros!$B$12,"Supera el límite de horas extras diarias",IF(C202="Cédula no registrada","Registre la cédula en «Trabajadores»","")))</f>
        <v/>
      </c>
      <c r="X202" s="20">
        <f t="shared" si="70"/>
        <v>0</v>
      </c>
      <c r="Y202" s="20">
        <f t="shared" si="71"/>
        <v>0</v>
      </c>
      <c r="Z202" s="20">
        <f t="shared" si="72"/>
        <v>0</v>
      </c>
      <c r="AA202" s="20">
        <f t="shared" si="73"/>
        <v>0</v>
      </c>
      <c r="AB202" s="20">
        <f t="shared" si="74"/>
        <v>0</v>
      </c>
      <c r="AC202" s="20">
        <f t="shared" si="75"/>
        <v>0</v>
      </c>
      <c r="AD202" s="20">
        <f>IF(A202="",21/24,MOD(VLOOKUP(A202,Parámetros!$A$24:$B$25,2,TRUE()),1))</f>
        <v>0.875</v>
      </c>
      <c r="AE202" s="5">
        <f>IF(A202="",0,IF(OR(WEEKDAY(A202,2)=7,COUNTIF(Festivos!$A$5:$A$451,A202)&gt;0),1,0))</f>
        <v>0</v>
      </c>
      <c r="AF202" s="5">
        <f>IF(A202="",0,IF(OR(WEEKDAY(A202+1,2)=7,COUNTIF(Festivos!$A$5:$A$451,A202+1)&gt;0),1,0))</f>
        <v>0</v>
      </c>
      <c r="AG202" s="9">
        <f>IF(A202="",0,VLOOKUP(A202,Parámetros!$A$18:$B$21,2,TRUE()))</f>
        <v>0</v>
      </c>
      <c r="AH202" s="20">
        <f t="shared" si="76"/>
        <v>0</v>
      </c>
      <c r="AI202" s="20">
        <f>MAX(0,MIN(AB202,Parámetros!$B$11)-MAX(X202,0))+MAX(0,MIN(AB202,1+Parámetros!$B$11)-MAX(X202,AD202))+MAX(0,MIN(AB202,2)-MAX(X202,1+AD202))</f>
        <v>0</v>
      </c>
      <c r="AJ202" s="20">
        <f t="shared" si="77"/>
        <v>0</v>
      </c>
      <c r="AK202" s="20">
        <f>AE202*(MAX(0,MIN(AB202,Parámetros!$B$11)-MAX(X202,0))+MAX(0,MIN(AB202,1)-MAX(X202,AD202)))+AF202*(MAX(0,MIN(AB202,1+Parámetros!$B$11)-MAX(X202,1))+MAX(0,MIN(AB202,2)-MAX(X202,1+AD202)))</f>
        <v>0</v>
      </c>
      <c r="AL202" s="20">
        <f t="shared" si="78"/>
        <v>0</v>
      </c>
      <c r="AM202" s="20">
        <f>MAX(0,MIN(AC202,Parámetros!$B$11)-MAX(AB202,0))+MAX(0,MIN(AC202,1+Parámetros!$B$11)-MAX(AB202,AD202))+MAX(0,MIN(AC202,2)-MAX(AB202,1+AD202))</f>
        <v>0</v>
      </c>
      <c r="AN202" s="20">
        <f t="shared" si="79"/>
        <v>0</v>
      </c>
      <c r="AO202" s="20">
        <f>AE202*(MAX(0,MIN(AC202,Parámetros!$B$11)-MAX(AB202,0))+MAX(0,MIN(AC202,1)-MAX(AB202,AD202)))+AF202*(MAX(0,MIN(AC202,1+Parámetros!$B$11)-MAX(AB202,1))+MAX(0,MIN(AC202,2)-MAX(AB202,1+AD202)))</f>
        <v>0</v>
      </c>
    </row>
    <row r="203" spans="1:41" x14ac:dyDescent="0.25">
      <c r="A203" s="15"/>
      <c r="B203" s="8"/>
      <c r="C203" s="5" t="str">
        <f>IF(B203="","",IFERROR(INDEX(Trabajadores!$B$5:$B$204,MATCH(B203,Trabajadores!$A$5:$A$204,0)),"Cédula no registrada"))</f>
        <v/>
      </c>
      <c r="D203" s="11"/>
      <c r="E203" s="11"/>
      <c r="F203" s="8"/>
      <c r="G203" s="18" t="str">
        <f>IF(A203="","",IFERROR(INDEX(Trabajadores!$E$5:$E$204,MATCH(B203,Trabajadores!$A$5:$A$204,0))/Parámetros!$B$6,0)+IF(IFERROR(INDEX(Trabajadores!$E$5:$E$204,MATCH(B203,Trabajadores!$A$5:$A$204,0)),"")="",Parámetros!$B$7,0))</f>
        <v/>
      </c>
      <c r="H203" s="5" t="str">
        <f t="shared" si="60"/>
        <v/>
      </c>
      <c r="I203" s="5" t="str">
        <f>IF(A203="","",IF(COUNTIF(Festivos!$A$5:$A$451,A203)&gt;0,"Festivo",IF(WEEKDAY(A203,2)=7,"Domingo",IF(AND(AF203=1,AC203&gt;1),IF(COUNTIF(Festivos!$A$5:$A$451,A203+1)&gt;0,"Festivo","Domingo")&amp;" desde las 00:00",""))))</f>
        <v/>
      </c>
      <c r="J203" s="19" t="str">
        <f t="shared" si="61"/>
        <v/>
      </c>
      <c r="K203" s="19" t="str">
        <f t="shared" si="62"/>
        <v/>
      </c>
      <c r="L203" s="19" t="str">
        <f t="shared" si="63"/>
        <v/>
      </c>
      <c r="M203" s="19" t="str">
        <f t="shared" si="64"/>
        <v/>
      </c>
      <c r="N203" s="19" t="str">
        <f t="shared" si="65"/>
        <v/>
      </c>
      <c r="O203" s="19" t="str">
        <f t="shared" si="66"/>
        <v/>
      </c>
      <c r="P203" s="19" t="str">
        <f t="shared" si="67"/>
        <v/>
      </c>
      <c r="Q203" s="19" t="str">
        <f t="shared" si="68"/>
        <v/>
      </c>
      <c r="R203" s="19" t="str">
        <f t="shared" si="69"/>
        <v/>
      </c>
      <c r="S203" s="17" t="str">
        <f>IF(B203="","",IFERROR(INDEX(Trabajadores!$G$5:$G$204,MATCH(B203,Trabajadores!$A$5:$A$204,0)),""))</f>
        <v/>
      </c>
      <c r="T203" s="17" t="str">
        <f>IF(OR(OR(A203="",D203="",E203=""),S203=""),"",ROUND(S203*(N(L203)*Parámetros!$B$8+N(M203)*(1+Parámetros!$B$9)+N(N203)*(1+Parámetros!$B$10)+N(O203)*(1+AG203)+N(P203)*(1+AG203+Parámetros!$B$8)+N(Q203)*(1+AG203+Parámetros!$B$9)+N(R203)*(1+AG203+Parámetros!$B$10)),0))</f>
        <v/>
      </c>
      <c r="U203" s="5" t="str">
        <f>IF(OR(A203="",D203="",E203=""),"",IF(N(M203)+N(N203)+N(Q203)+N(R203)&gt;Parámetros!$B$12,"Supera el límite de horas extras diarias",IF(C203="Cédula no registrada","Registre la cédula en «Trabajadores»","")))</f>
        <v/>
      </c>
      <c r="X203" s="20">
        <f t="shared" si="70"/>
        <v>0</v>
      </c>
      <c r="Y203" s="20">
        <f t="shared" si="71"/>
        <v>0</v>
      </c>
      <c r="Z203" s="20">
        <f t="shared" si="72"/>
        <v>0</v>
      </c>
      <c r="AA203" s="20">
        <f t="shared" si="73"/>
        <v>0</v>
      </c>
      <c r="AB203" s="20">
        <f t="shared" si="74"/>
        <v>0</v>
      </c>
      <c r="AC203" s="20">
        <f t="shared" si="75"/>
        <v>0</v>
      </c>
      <c r="AD203" s="20">
        <f>IF(A203="",21/24,MOD(VLOOKUP(A203,Parámetros!$A$24:$B$25,2,TRUE()),1))</f>
        <v>0.875</v>
      </c>
      <c r="AE203" s="5">
        <f>IF(A203="",0,IF(OR(WEEKDAY(A203,2)=7,COUNTIF(Festivos!$A$5:$A$451,A203)&gt;0),1,0))</f>
        <v>0</v>
      </c>
      <c r="AF203" s="5">
        <f>IF(A203="",0,IF(OR(WEEKDAY(A203+1,2)=7,COUNTIF(Festivos!$A$5:$A$451,A203+1)&gt;0),1,0))</f>
        <v>0</v>
      </c>
      <c r="AG203" s="9">
        <f>IF(A203="",0,VLOOKUP(A203,Parámetros!$A$18:$B$21,2,TRUE()))</f>
        <v>0</v>
      </c>
      <c r="AH203" s="20">
        <f t="shared" si="76"/>
        <v>0</v>
      </c>
      <c r="AI203" s="20">
        <f>MAX(0,MIN(AB203,Parámetros!$B$11)-MAX(X203,0))+MAX(0,MIN(AB203,1+Parámetros!$B$11)-MAX(X203,AD203))+MAX(0,MIN(AB203,2)-MAX(X203,1+AD203))</f>
        <v>0</v>
      </c>
      <c r="AJ203" s="20">
        <f t="shared" si="77"/>
        <v>0</v>
      </c>
      <c r="AK203" s="20">
        <f>AE203*(MAX(0,MIN(AB203,Parámetros!$B$11)-MAX(X203,0))+MAX(0,MIN(AB203,1)-MAX(X203,AD203)))+AF203*(MAX(0,MIN(AB203,1+Parámetros!$B$11)-MAX(X203,1))+MAX(0,MIN(AB203,2)-MAX(X203,1+AD203)))</f>
        <v>0</v>
      </c>
      <c r="AL203" s="20">
        <f t="shared" si="78"/>
        <v>0</v>
      </c>
      <c r="AM203" s="20">
        <f>MAX(0,MIN(AC203,Parámetros!$B$11)-MAX(AB203,0))+MAX(0,MIN(AC203,1+Parámetros!$B$11)-MAX(AB203,AD203))+MAX(0,MIN(AC203,2)-MAX(AB203,1+AD203))</f>
        <v>0</v>
      </c>
      <c r="AN203" s="20">
        <f t="shared" si="79"/>
        <v>0</v>
      </c>
      <c r="AO203" s="20">
        <f>AE203*(MAX(0,MIN(AC203,Parámetros!$B$11)-MAX(AB203,0))+MAX(0,MIN(AC203,1)-MAX(AB203,AD203)))+AF203*(MAX(0,MIN(AC203,1+Parámetros!$B$11)-MAX(AB203,1))+MAX(0,MIN(AC203,2)-MAX(AB203,1+AD203)))</f>
        <v>0</v>
      </c>
    </row>
    <row r="204" spans="1:41" x14ac:dyDescent="0.25">
      <c r="A204" s="15"/>
      <c r="B204" s="8"/>
      <c r="C204" s="5" t="str">
        <f>IF(B204="","",IFERROR(INDEX(Trabajadores!$B$5:$B$204,MATCH(B204,Trabajadores!$A$5:$A$204,0)),"Cédula no registrada"))</f>
        <v/>
      </c>
      <c r="D204" s="11"/>
      <c r="E204" s="11"/>
      <c r="F204" s="8"/>
      <c r="G204" s="18" t="str">
        <f>IF(A204="","",IFERROR(INDEX(Trabajadores!$E$5:$E$204,MATCH(B204,Trabajadores!$A$5:$A$204,0))/Parámetros!$B$6,0)+IF(IFERROR(INDEX(Trabajadores!$E$5:$E$204,MATCH(B204,Trabajadores!$A$5:$A$204,0)),"")="",Parámetros!$B$7,0))</f>
        <v/>
      </c>
      <c r="H204" s="5" t="str">
        <f t="shared" si="60"/>
        <v/>
      </c>
      <c r="I204" s="5" t="str">
        <f>IF(A204="","",IF(COUNTIF(Festivos!$A$5:$A$451,A204)&gt;0,"Festivo",IF(WEEKDAY(A204,2)=7,"Domingo",IF(AND(AF204=1,AC204&gt;1),IF(COUNTIF(Festivos!$A$5:$A$451,A204+1)&gt;0,"Festivo","Domingo")&amp;" desde las 00:00",""))))</f>
        <v/>
      </c>
      <c r="J204" s="19" t="str">
        <f t="shared" si="61"/>
        <v/>
      </c>
      <c r="K204" s="19" t="str">
        <f t="shared" si="62"/>
        <v/>
      </c>
      <c r="L204" s="19" t="str">
        <f t="shared" si="63"/>
        <v/>
      </c>
      <c r="M204" s="19" t="str">
        <f t="shared" si="64"/>
        <v/>
      </c>
      <c r="N204" s="19" t="str">
        <f t="shared" si="65"/>
        <v/>
      </c>
      <c r="O204" s="19" t="str">
        <f t="shared" si="66"/>
        <v/>
      </c>
      <c r="P204" s="19" t="str">
        <f t="shared" si="67"/>
        <v/>
      </c>
      <c r="Q204" s="19" t="str">
        <f t="shared" si="68"/>
        <v/>
      </c>
      <c r="R204" s="19" t="str">
        <f t="shared" si="69"/>
        <v/>
      </c>
      <c r="S204" s="17" t="str">
        <f>IF(B204="","",IFERROR(INDEX(Trabajadores!$G$5:$G$204,MATCH(B204,Trabajadores!$A$5:$A$204,0)),""))</f>
        <v/>
      </c>
      <c r="T204" s="17" t="str">
        <f>IF(OR(OR(A204="",D204="",E204=""),S204=""),"",ROUND(S204*(N(L204)*Parámetros!$B$8+N(M204)*(1+Parámetros!$B$9)+N(N204)*(1+Parámetros!$B$10)+N(O204)*(1+AG204)+N(P204)*(1+AG204+Parámetros!$B$8)+N(Q204)*(1+AG204+Parámetros!$B$9)+N(R204)*(1+AG204+Parámetros!$B$10)),0))</f>
        <v/>
      </c>
      <c r="U204" s="5" t="str">
        <f>IF(OR(A204="",D204="",E204=""),"",IF(N(M204)+N(N204)+N(Q204)+N(R204)&gt;Parámetros!$B$12,"Supera el límite de horas extras diarias",IF(C204="Cédula no registrada","Registre la cédula en «Trabajadores»","")))</f>
        <v/>
      </c>
      <c r="X204" s="20">
        <f t="shared" si="70"/>
        <v>0</v>
      </c>
      <c r="Y204" s="20">
        <f t="shared" si="71"/>
        <v>0</v>
      </c>
      <c r="Z204" s="20">
        <f t="shared" si="72"/>
        <v>0</v>
      </c>
      <c r="AA204" s="20">
        <f t="shared" si="73"/>
        <v>0</v>
      </c>
      <c r="AB204" s="20">
        <f t="shared" si="74"/>
        <v>0</v>
      </c>
      <c r="AC204" s="20">
        <f t="shared" si="75"/>
        <v>0</v>
      </c>
      <c r="AD204" s="20">
        <f>IF(A204="",21/24,MOD(VLOOKUP(A204,Parámetros!$A$24:$B$25,2,TRUE()),1))</f>
        <v>0.875</v>
      </c>
      <c r="AE204" s="5">
        <f>IF(A204="",0,IF(OR(WEEKDAY(A204,2)=7,COUNTIF(Festivos!$A$5:$A$451,A204)&gt;0),1,0))</f>
        <v>0</v>
      </c>
      <c r="AF204" s="5">
        <f>IF(A204="",0,IF(OR(WEEKDAY(A204+1,2)=7,COUNTIF(Festivos!$A$5:$A$451,A204+1)&gt;0),1,0))</f>
        <v>0</v>
      </c>
      <c r="AG204" s="9">
        <f>IF(A204="",0,VLOOKUP(A204,Parámetros!$A$18:$B$21,2,TRUE()))</f>
        <v>0</v>
      </c>
      <c r="AH204" s="20">
        <f t="shared" si="76"/>
        <v>0</v>
      </c>
      <c r="AI204" s="20">
        <f>MAX(0,MIN(AB204,Parámetros!$B$11)-MAX(X204,0))+MAX(0,MIN(AB204,1+Parámetros!$B$11)-MAX(X204,AD204))+MAX(0,MIN(AB204,2)-MAX(X204,1+AD204))</f>
        <v>0</v>
      </c>
      <c r="AJ204" s="20">
        <f t="shared" si="77"/>
        <v>0</v>
      </c>
      <c r="AK204" s="20">
        <f>AE204*(MAX(0,MIN(AB204,Parámetros!$B$11)-MAX(X204,0))+MAX(0,MIN(AB204,1)-MAX(X204,AD204)))+AF204*(MAX(0,MIN(AB204,1+Parámetros!$B$11)-MAX(X204,1))+MAX(0,MIN(AB204,2)-MAX(X204,1+AD204)))</f>
        <v>0</v>
      </c>
      <c r="AL204" s="20">
        <f t="shared" si="78"/>
        <v>0</v>
      </c>
      <c r="AM204" s="20">
        <f>MAX(0,MIN(AC204,Parámetros!$B$11)-MAX(AB204,0))+MAX(0,MIN(AC204,1+Parámetros!$B$11)-MAX(AB204,AD204))+MAX(0,MIN(AC204,2)-MAX(AB204,1+AD204))</f>
        <v>0</v>
      </c>
      <c r="AN204" s="20">
        <f t="shared" si="79"/>
        <v>0</v>
      </c>
      <c r="AO204" s="20">
        <f>AE204*(MAX(0,MIN(AC204,Parámetros!$B$11)-MAX(AB204,0))+MAX(0,MIN(AC204,1)-MAX(AB204,AD204)))+AF204*(MAX(0,MIN(AC204,1+Parámetros!$B$11)-MAX(AB204,1))+MAX(0,MIN(AC204,2)-MAX(AB204,1+AD204)))</f>
        <v>0</v>
      </c>
    </row>
    <row r="205" spans="1:41" x14ac:dyDescent="0.25">
      <c r="A205" s="15"/>
      <c r="B205" s="8"/>
      <c r="C205" s="5" t="str">
        <f>IF(B205="","",IFERROR(INDEX(Trabajadores!$B$5:$B$204,MATCH(B205,Trabajadores!$A$5:$A$204,0)),"Cédula no registrada"))</f>
        <v/>
      </c>
      <c r="D205" s="11"/>
      <c r="E205" s="11"/>
      <c r="F205" s="8"/>
      <c r="G205" s="18" t="str">
        <f>IF(A205="","",IFERROR(INDEX(Trabajadores!$E$5:$E$204,MATCH(B205,Trabajadores!$A$5:$A$204,0))/Parámetros!$B$6,0)+IF(IFERROR(INDEX(Trabajadores!$E$5:$E$204,MATCH(B205,Trabajadores!$A$5:$A$204,0)),"")="",Parámetros!$B$7,0))</f>
        <v/>
      </c>
      <c r="H205" s="5" t="str">
        <f t="shared" si="60"/>
        <v/>
      </c>
      <c r="I205" s="5" t="str">
        <f>IF(A205="","",IF(COUNTIF(Festivos!$A$5:$A$451,A205)&gt;0,"Festivo",IF(WEEKDAY(A205,2)=7,"Domingo",IF(AND(AF205=1,AC205&gt;1),IF(COUNTIF(Festivos!$A$5:$A$451,A205+1)&gt;0,"Festivo","Domingo")&amp;" desde las 00:00",""))))</f>
        <v/>
      </c>
      <c r="J205" s="19" t="str">
        <f t="shared" si="61"/>
        <v/>
      </c>
      <c r="K205" s="19" t="str">
        <f t="shared" si="62"/>
        <v/>
      </c>
      <c r="L205" s="19" t="str">
        <f t="shared" si="63"/>
        <v/>
      </c>
      <c r="M205" s="19" t="str">
        <f t="shared" si="64"/>
        <v/>
      </c>
      <c r="N205" s="19" t="str">
        <f t="shared" si="65"/>
        <v/>
      </c>
      <c r="O205" s="19" t="str">
        <f t="shared" si="66"/>
        <v/>
      </c>
      <c r="P205" s="19" t="str">
        <f t="shared" si="67"/>
        <v/>
      </c>
      <c r="Q205" s="19" t="str">
        <f t="shared" si="68"/>
        <v/>
      </c>
      <c r="R205" s="19" t="str">
        <f t="shared" si="69"/>
        <v/>
      </c>
      <c r="S205" s="17" t="str">
        <f>IF(B205="","",IFERROR(INDEX(Trabajadores!$G$5:$G$204,MATCH(B205,Trabajadores!$A$5:$A$204,0)),""))</f>
        <v/>
      </c>
      <c r="T205" s="17" t="str">
        <f>IF(OR(OR(A205="",D205="",E205=""),S205=""),"",ROUND(S205*(N(L205)*Parámetros!$B$8+N(M205)*(1+Parámetros!$B$9)+N(N205)*(1+Parámetros!$B$10)+N(O205)*(1+AG205)+N(P205)*(1+AG205+Parámetros!$B$8)+N(Q205)*(1+AG205+Parámetros!$B$9)+N(R205)*(1+AG205+Parámetros!$B$10)),0))</f>
        <v/>
      </c>
      <c r="U205" s="5" t="str">
        <f>IF(OR(A205="",D205="",E205=""),"",IF(N(M205)+N(N205)+N(Q205)+N(R205)&gt;Parámetros!$B$12,"Supera el límite de horas extras diarias",IF(C205="Cédula no registrada","Registre la cédula en «Trabajadores»","")))</f>
        <v/>
      </c>
      <c r="X205" s="20">
        <f t="shared" si="70"/>
        <v>0</v>
      </c>
      <c r="Y205" s="20">
        <f t="shared" si="71"/>
        <v>0</v>
      </c>
      <c r="Z205" s="20">
        <f t="shared" si="72"/>
        <v>0</v>
      </c>
      <c r="AA205" s="20">
        <f t="shared" si="73"/>
        <v>0</v>
      </c>
      <c r="AB205" s="20">
        <f t="shared" si="74"/>
        <v>0</v>
      </c>
      <c r="AC205" s="20">
        <f t="shared" si="75"/>
        <v>0</v>
      </c>
      <c r="AD205" s="20">
        <f>IF(A205="",21/24,MOD(VLOOKUP(A205,Parámetros!$A$24:$B$25,2,TRUE()),1))</f>
        <v>0.875</v>
      </c>
      <c r="AE205" s="5">
        <f>IF(A205="",0,IF(OR(WEEKDAY(A205,2)=7,COUNTIF(Festivos!$A$5:$A$451,A205)&gt;0),1,0))</f>
        <v>0</v>
      </c>
      <c r="AF205" s="5">
        <f>IF(A205="",0,IF(OR(WEEKDAY(A205+1,2)=7,COUNTIF(Festivos!$A$5:$A$451,A205+1)&gt;0),1,0))</f>
        <v>0</v>
      </c>
      <c r="AG205" s="9">
        <f>IF(A205="",0,VLOOKUP(A205,Parámetros!$A$18:$B$21,2,TRUE()))</f>
        <v>0</v>
      </c>
      <c r="AH205" s="20">
        <f t="shared" si="76"/>
        <v>0</v>
      </c>
      <c r="AI205" s="20">
        <f>MAX(0,MIN(AB205,Parámetros!$B$11)-MAX(X205,0))+MAX(0,MIN(AB205,1+Parámetros!$B$11)-MAX(X205,AD205))+MAX(0,MIN(AB205,2)-MAX(X205,1+AD205))</f>
        <v>0</v>
      </c>
      <c r="AJ205" s="20">
        <f t="shared" si="77"/>
        <v>0</v>
      </c>
      <c r="AK205" s="20">
        <f>AE205*(MAX(0,MIN(AB205,Parámetros!$B$11)-MAX(X205,0))+MAX(0,MIN(AB205,1)-MAX(X205,AD205)))+AF205*(MAX(0,MIN(AB205,1+Parámetros!$B$11)-MAX(X205,1))+MAX(0,MIN(AB205,2)-MAX(X205,1+AD205)))</f>
        <v>0</v>
      </c>
      <c r="AL205" s="20">
        <f t="shared" si="78"/>
        <v>0</v>
      </c>
      <c r="AM205" s="20">
        <f>MAX(0,MIN(AC205,Parámetros!$B$11)-MAX(AB205,0))+MAX(0,MIN(AC205,1+Parámetros!$B$11)-MAX(AB205,AD205))+MAX(0,MIN(AC205,2)-MAX(AB205,1+AD205))</f>
        <v>0</v>
      </c>
      <c r="AN205" s="20">
        <f t="shared" si="79"/>
        <v>0</v>
      </c>
      <c r="AO205" s="20">
        <f>AE205*(MAX(0,MIN(AC205,Parámetros!$B$11)-MAX(AB205,0))+MAX(0,MIN(AC205,1)-MAX(AB205,AD205)))+AF205*(MAX(0,MIN(AC205,1+Parámetros!$B$11)-MAX(AB205,1))+MAX(0,MIN(AC205,2)-MAX(AB205,1+AD205)))</f>
        <v>0</v>
      </c>
    </row>
    <row r="206" spans="1:41" x14ac:dyDescent="0.25">
      <c r="A206" s="15"/>
      <c r="B206" s="8"/>
      <c r="C206" s="5" t="str">
        <f>IF(B206="","",IFERROR(INDEX(Trabajadores!$B$5:$B$204,MATCH(B206,Trabajadores!$A$5:$A$204,0)),"Cédula no registrada"))</f>
        <v/>
      </c>
      <c r="D206" s="11"/>
      <c r="E206" s="11"/>
      <c r="F206" s="8"/>
      <c r="G206" s="18" t="str">
        <f>IF(A206="","",IFERROR(INDEX(Trabajadores!$E$5:$E$204,MATCH(B206,Trabajadores!$A$5:$A$204,0))/Parámetros!$B$6,0)+IF(IFERROR(INDEX(Trabajadores!$E$5:$E$204,MATCH(B206,Trabajadores!$A$5:$A$204,0)),"")="",Parámetros!$B$7,0))</f>
        <v/>
      </c>
      <c r="H206" s="5" t="str">
        <f t="shared" si="60"/>
        <v/>
      </c>
      <c r="I206" s="5" t="str">
        <f>IF(A206="","",IF(COUNTIF(Festivos!$A$5:$A$451,A206)&gt;0,"Festivo",IF(WEEKDAY(A206,2)=7,"Domingo",IF(AND(AF206=1,AC206&gt;1),IF(COUNTIF(Festivos!$A$5:$A$451,A206+1)&gt;0,"Festivo","Domingo")&amp;" desde las 00:00",""))))</f>
        <v/>
      </c>
      <c r="J206" s="19" t="str">
        <f t="shared" si="61"/>
        <v/>
      </c>
      <c r="K206" s="19" t="str">
        <f t="shared" si="62"/>
        <v/>
      </c>
      <c r="L206" s="19" t="str">
        <f t="shared" si="63"/>
        <v/>
      </c>
      <c r="M206" s="19" t="str">
        <f t="shared" si="64"/>
        <v/>
      </c>
      <c r="N206" s="19" t="str">
        <f t="shared" si="65"/>
        <v/>
      </c>
      <c r="O206" s="19" t="str">
        <f t="shared" si="66"/>
        <v/>
      </c>
      <c r="P206" s="19" t="str">
        <f t="shared" si="67"/>
        <v/>
      </c>
      <c r="Q206" s="19" t="str">
        <f t="shared" si="68"/>
        <v/>
      </c>
      <c r="R206" s="19" t="str">
        <f t="shared" si="69"/>
        <v/>
      </c>
      <c r="S206" s="17" t="str">
        <f>IF(B206="","",IFERROR(INDEX(Trabajadores!$G$5:$G$204,MATCH(B206,Trabajadores!$A$5:$A$204,0)),""))</f>
        <v/>
      </c>
      <c r="T206" s="17" t="str">
        <f>IF(OR(OR(A206="",D206="",E206=""),S206=""),"",ROUND(S206*(N(L206)*Parámetros!$B$8+N(M206)*(1+Parámetros!$B$9)+N(N206)*(1+Parámetros!$B$10)+N(O206)*(1+AG206)+N(P206)*(1+AG206+Parámetros!$B$8)+N(Q206)*(1+AG206+Parámetros!$B$9)+N(R206)*(1+AG206+Parámetros!$B$10)),0))</f>
        <v/>
      </c>
      <c r="U206" s="5" t="str">
        <f>IF(OR(A206="",D206="",E206=""),"",IF(N(M206)+N(N206)+N(Q206)+N(R206)&gt;Parámetros!$B$12,"Supera el límite de horas extras diarias",IF(C206="Cédula no registrada","Registre la cédula en «Trabajadores»","")))</f>
        <v/>
      </c>
      <c r="X206" s="20">
        <f t="shared" si="70"/>
        <v>0</v>
      </c>
      <c r="Y206" s="20">
        <f t="shared" si="71"/>
        <v>0</v>
      </c>
      <c r="Z206" s="20">
        <f t="shared" si="72"/>
        <v>0</v>
      </c>
      <c r="AA206" s="20">
        <f t="shared" si="73"/>
        <v>0</v>
      </c>
      <c r="AB206" s="20">
        <f t="shared" si="74"/>
        <v>0</v>
      </c>
      <c r="AC206" s="20">
        <f t="shared" si="75"/>
        <v>0</v>
      </c>
      <c r="AD206" s="20">
        <f>IF(A206="",21/24,MOD(VLOOKUP(A206,Parámetros!$A$24:$B$25,2,TRUE()),1))</f>
        <v>0.875</v>
      </c>
      <c r="AE206" s="5">
        <f>IF(A206="",0,IF(OR(WEEKDAY(A206,2)=7,COUNTIF(Festivos!$A$5:$A$451,A206)&gt;0),1,0))</f>
        <v>0</v>
      </c>
      <c r="AF206" s="5">
        <f>IF(A206="",0,IF(OR(WEEKDAY(A206+1,2)=7,COUNTIF(Festivos!$A$5:$A$451,A206+1)&gt;0),1,0))</f>
        <v>0</v>
      </c>
      <c r="AG206" s="9">
        <f>IF(A206="",0,VLOOKUP(A206,Parámetros!$A$18:$B$21,2,TRUE()))</f>
        <v>0</v>
      </c>
      <c r="AH206" s="20">
        <f t="shared" si="76"/>
        <v>0</v>
      </c>
      <c r="AI206" s="20">
        <f>MAX(0,MIN(AB206,Parámetros!$B$11)-MAX(X206,0))+MAX(0,MIN(AB206,1+Parámetros!$B$11)-MAX(X206,AD206))+MAX(0,MIN(AB206,2)-MAX(X206,1+AD206))</f>
        <v>0</v>
      </c>
      <c r="AJ206" s="20">
        <f t="shared" si="77"/>
        <v>0</v>
      </c>
      <c r="AK206" s="20">
        <f>AE206*(MAX(0,MIN(AB206,Parámetros!$B$11)-MAX(X206,0))+MAX(0,MIN(AB206,1)-MAX(X206,AD206)))+AF206*(MAX(0,MIN(AB206,1+Parámetros!$B$11)-MAX(X206,1))+MAX(0,MIN(AB206,2)-MAX(X206,1+AD206)))</f>
        <v>0</v>
      </c>
      <c r="AL206" s="20">
        <f t="shared" si="78"/>
        <v>0</v>
      </c>
      <c r="AM206" s="20">
        <f>MAX(0,MIN(AC206,Parámetros!$B$11)-MAX(AB206,0))+MAX(0,MIN(AC206,1+Parámetros!$B$11)-MAX(AB206,AD206))+MAX(0,MIN(AC206,2)-MAX(AB206,1+AD206))</f>
        <v>0</v>
      </c>
      <c r="AN206" s="20">
        <f t="shared" si="79"/>
        <v>0</v>
      </c>
      <c r="AO206" s="20">
        <f>AE206*(MAX(0,MIN(AC206,Parámetros!$B$11)-MAX(AB206,0))+MAX(0,MIN(AC206,1)-MAX(AB206,AD206)))+AF206*(MAX(0,MIN(AC206,1+Parámetros!$B$11)-MAX(AB206,1))+MAX(0,MIN(AC206,2)-MAX(AB206,1+AD206)))</f>
        <v>0</v>
      </c>
    </row>
    <row r="207" spans="1:41" x14ac:dyDescent="0.25">
      <c r="A207" s="15"/>
      <c r="B207" s="8"/>
      <c r="C207" s="5" t="str">
        <f>IF(B207="","",IFERROR(INDEX(Trabajadores!$B$5:$B$204,MATCH(B207,Trabajadores!$A$5:$A$204,0)),"Cédula no registrada"))</f>
        <v/>
      </c>
      <c r="D207" s="11"/>
      <c r="E207" s="11"/>
      <c r="F207" s="8"/>
      <c r="G207" s="18" t="str">
        <f>IF(A207="","",IFERROR(INDEX(Trabajadores!$E$5:$E$204,MATCH(B207,Trabajadores!$A$5:$A$204,0))/Parámetros!$B$6,0)+IF(IFERROR(INDEX(Trabajadores!$E$5:$E$204,MATCH(B207,Trabajadores!$A$5:$A$204,0)),"")="",Parámetros!$B$7,0))</f>
        <v/>
      </c>
      <c r="H207" s="5" t="str">
        <f t="shared" si="60"/>
        <v/>
      </c>
      <c r="I207" s="5" t="str">
        <f>IF(A207="","",IF(COUNTIF(Festivos!$A$5:$A$451,A207)&gt;0,"Festivo",IF(WEEKDAY(A207,2)=7,"Domingo",IF(AND(AF207=1,AC207&gt;1),IF(COUNTIF(Festivos!$A$5:$A$451,A207+1)&gt;0,"Festivo","Domingo")&amp;" desde las 00:00",""))))</f>
        <v/>
      </c>
      <c r="J207" s="19" t="str">
        <f t="shared" si="61"/>
        <v/>
      </c>
      <c r="K207" s="19" t="str">
        <f t="shared" si="62"/>
        <v/>
      </c>
      <c r="L207" s="19" t="str">
        <f t="shared" si="63"/>
        <v/>
      </c>
      <c r="M207" s="19" t="str">
        <f t="shared" si="64"/>
        <v/>
      </c>
      <c r="N207" s="19" t="str">
        <f t="shared" si="65"/>
        <v/>
      </c>
      <c r="O207" s="19" t="str">
        <f t="shared" si="66"/>
        <v/>
      </c>
      <c r="P207" s="19" t="str">
        <f t="shared" si="67"/>
        <v/>
      </c>
      <c r="Q207" s="19" t="str">
        <f t="shared" si="68"/>
        <v/>
      </c>
      <c r="R207" s="19" t="str">
        <f t="shared" si="69"/>
        <v/>
      </c>
      <c r="S207" s="17" t="str">
        <f>IF(B207="","",IFERROR(INDEX(Trabajadores!$G$5:$G$204,MATCH(B207,Trabajadores!$A$5:$A$204,0)),""))</f>
        <v/>
      </c>
      <c r="T207" s="17" t="str">
        <f>IF(OR(OR(A207="",D207="",E207=""),S207=""),"",ROUND(S207*(N(L207)*Parámetros!$B$8+N(M207)*(1+Parámetros!$B$9)+N(N207)*(1+Parámetros!$B$10)+N(O207)*(1+AG207)+N(P207)*(1+AG207+Parámetros!$B$8)+N(Q207)*(1+AG207+Parámetros!$B$9)+N(R207)*(1+AG207+Parámetros!$B$10)),0))</f>
        <v/>
      </c>
      <c r="U207" s="5" t="str">
        <f>IF(OR(A207="",D207="",E207=""),"",IF(N(M207)+N(N207)+N(Q207)+N(R207)&gt;Parámetros!$B$12,"Supera el límite de horas extras diarias",IF(C207="Cédula no registrada","Registre la cédula en «Trabajadores»","")))</f>
        <v/>
      </c>
      <c r="X207" s="20">
        <f t="shared" si="70"/>
        <v>0</v>
      </c>
      <c r="Y207" s="20">
        <f t="shared" si="71"/>
        <v>0</v>
      </c>
      <c r="Z207" s="20">
        <f t="shared" si="72"/>
        <v>0</v>
      </c>
      <c r="AA207" s="20">
        <f t="shared" si="73"/>
        <v>0</v>
      </c>
      <c r="AB207" s="20">
        <f t="shared" si="74"/>
        <v>0</v>
      </c>
      <c r="AC207" s="20">
        <f t="shared" si="75"/>
        <v>0</v>
      </c>
      <c r="AD207" s="20">
        <f>IF(A207="",21/24,MOD(VLOOKUP(A207,Parámetros!$A$24:$B$25,2,TRUE()),1))</f>
        <v>0.875</v>
      </c>
      <c r="AE207" s="5">
        <f>IF(A207="",0,IF(OR(WEEKDAY(A207,2)=7,COUNTIF(Festivos!$A$5:$A$451,A207)&gt;0),1,0))</f>
        <v>0</v>
      </c>
      <c r="AF207" s="5">
        <f>IF(A207="",0,IF(OR(WEEKDAY(A207+1,2)=7,COUNTIF(Festivos!$A$5:$A$451,A207+1)&gt;0),1,0))</f>
        <v>0</v>
      </c>
      <c r="AG207" s="9">
        <f>IF(A207="",0,VLOOKUP(A207,Parámetros!$A$18:$B$21,2,TRUE()))</f>
        <v>0</v>
      </c>
      <c r="AH207" s="20">
        <f t="shared" si="76"/>
        <v>0</v>
      </c>
      <c r="AI207" s="20">
        <f>MAX(0,MIN(AB207,Parámetros!$B$11)-MAX(X207,0))+MAX(0,MIN(AB207,1+Parámetros!$B$11)-MAX(X207,AD207))+MAX(0,MIN(AB207,2)-MAX(X207,1+AD207))</f>
        <v>0</v>
      </c>
      <c r="AJ207" s="20">
        <f t="shared" si="77"/>
        <v>0</v>
      </c>
      <c r="AK207" s="20">
        <f>AE207*(MAX(0,MIN(AB207,Parámetros!$B$11)-MAX(X207,0))+MAX(0,MIN(AB207,1)-MAX(X207,AD207)))+AF207*(MAX(0,MIN(AB207,1+Parámetros!$B$11)-MAX(X207,1))+MAX(0,MIN(AB207,2)-MAX(X207,1+AD207)))</f>
        <v>0</v>
      </c>
      <c r="AL207" s="20">
        <f t="shared" si="78"/>
        <v>0</v>
      </c>
      <c r="AM207" s="20">
        <f>MAX(0,MIN(AC207,Parámetros!$B$11)-MAX(AB207,0))+MAX(0,MIN(AC207,1+Parámetros!$B$11)-MAX(AB207,AD207))+MAX(0,MIN(AC207,2)-MAX(AB207,1+AD207))</f>
        <v>0</v>
      </c>
      <c r="AN207" s="20">
        <f t="shared" si="79"/>
        <v>0</v>
      </c>
      <c r="AO207" s="20">
        <f>AE207*(MAX(0,MIN(AC207,Parámetros!$B$11)-MAX(AB207,0))+MAX(0,MIN(AC207,1)-MAX(AB207,AD207)))+AF207*(MAX(0,MIN(AC207,1+Parámetros!$B$11)-MAX(AB207,1))+MAX(0,MIN(AC207,2)-MAX(AB207,1+AD207)))</f>
        <v>0</v>
      </c>
    </row>
    <row r="208" spans="1:41" x14ac:dyDescent="0.25">
      <c r="A208" s="15"/>
      <c r="B208" s="8"/>
      <c r="C208" s="5" t="str">
        <f>IF(B208="","",IFERROR(INDEX(Trabajadores!$B$5:$B$204,MATCH(B208,Trabajadores!$A$5:$A$204,0)),"Cédula no registrada"))</f>
        <v/>
      </c>
      <c r="D208" s="11"/>
      <c r="E208" s="11"/>
      <c r="F208" s="8"/>
      <c r="G208" s="18" t="str">
        <f>IF(A208="","",IFERROR(INDEX(Trabajadores!$E$5:$E$204,MATCH(B208,Trabajadores!$A$5:$A$204,0))/Parámetros!$B$6,0)+IF(IFERROR(INDEX(Trabajadores!$E$5:$E$204,MATCH(B208,Trabajadores!$A$5:$A$204,0)),"")="",Parámetros!$B$7,0))</f>
        <v/>
      </c>
      <c r="H208" s="5" t="str">
        <f t="shared" si="60"/>
        <v/>
      </c>
      <c r="I208" s="5" t="str">
        <f>IF(A208="","",IF(COUNTIF(Festivos!$A$5:$A$451,A208)&gt;0,"Festivo",IF(WEEKDAY(A208,2)=7,"Domingo",IF(AND(AF208=1,AC208&gt;1),IF(COUNTIF(Festivos!$A$5:$A$451,A208+1)&gt;0,"Festivo","Domingo")&amp;" desde las 00:00",""))))</f>
        <v/>
      </c>
      <c r="J208" s="19" t="str">
        <f t="shared" si="61"/>
        <v/>
      </c>
      <c r="K208" s="19" t="str">
        <f t="shared" si="62"/>
        <v/>
      </c>
      <c r="L208" s="19" t="str">
        <f t="shared" si="63"/>
        <v/>
      </c>
      <c r="M208" s="19" t="str">
        <f t="shared" si="64"/>
        <v/>
      </c>
      <c r="N208" s="19" t="str">
        <f t="shared" si="65"/>
        <v/>
      </c>
      <c r="O208" s="19" t="str">
        <f t="shared" si="66"/>
        <v/>
      </c>
      <c r="P208" s="19" t="str">
        <f t="shared" si="67"/>
        <v/>
      </c>
      <c r="Q208" s="19" t="str">
        <f t="shared" si="68"/>
        <v/>
      </c>
      <c r="R208" s="19" t="str">
        <f t="shared" si="69"/>
        <v/>
      </c>
      <c r="S208" s="17" t="str">
        <f>IF(B208="","",IFERROR(INDEX(Trabajadores!$G$5:$G$204,MATCH(B208,Trabajadores!$A$5:$A$204,0)),""))</f>
        <v/>
      </c>
      <c r="T208" s="17" t="str">
        <f>IF(OR(OR(A208="",D208="",E208=""),S208=""),"",ROUND(S208*(N(L208)*Parámetros!$B$8+N(M208)*(1+Parámetros!$B$9)+N(N208)*(1+Parámetros!$B$10)+N(O208)*(1+AG208)+N(P208)*(1+AG208+Parámetros!$B$8)+N(Q208)*(1+AG208+Parámetros!$B$9)+N(R208)*(1+AG208+Parámetros!$B$10)),0))</f>
        <v/>
      </c>
      <c r="U208" s="5" t="str">
        <f>IF(OR(A208="",D208="",E208=""),"",IF(N(M208)+N(N208)+N(Q208)+N(R208)&gt;Parámetros!$B$12,"Supera el límite de horas extras diarias",IF(C208="Cédula no registrada","Registre la cédula en «Trabajadores»","")))</f>
        <v/>
      </c>
      <c r="X208" s="20">
        <f t="shared" si="70"/>
        <v>0</v>
      </c>
      <c r="Y208" s="20">
        <f t="shared" si="71"/>
        <v>0</v>
      </c>
      <c r="Z208" s="20">
        <f t="shared" si="72"/>
        <v>0</v>
      </c>
      <c r="AA208" s="20">
        <f t="shared" si="73"/>
        <v>0</v>
      </c>
      <c r="AB208" s="20">
        <f t="shared" si="74"/>
        <v>0</v>
      </c>
      <c r="AC208" s="20">
        <f t="shared" si="75"/>
        <v>0</v>
      </c>
      <c r="AD208" s="20">
        <f>IF(A208="",21/24,MOD(VLOOKUP(A208,Parámetros!$A$24:$B$25,2,TRUE()),1))</f>
        <v>0.875</v>
      </c>
      <c r="AE208" s="5">
        <f>IF(A208="",0,IF(OR(WEEKDAY(A208,2)=7,COUNTIF(Festivos!$A$5:$A$451,A208)&gt;0),1,0))</f>
        <v>0</v>
      </c>
      <c r="AF208" s="5">
        <f>IF(A208="",0,IF(OR(WEEKDAY(A208+1,2)=7,COUNTIF(Festivos!$A$5:$A$451,A208+1)&gt;0),1,0))</f>
        <v>0</v>
      </c>
      <c r="AG208" s="9">
        <f>IF(A208="",0,VLOOKUP(A208,Parámetros!$A$18:$B$21,2,TRUE()))</f>
        <v>0</v>
      </c>
      <c r="AH208" s="20">
        <f t="shared" si="76"/>
        <v>0</v>
      </c>
      <c r="AI208" s="20">
        <f>MAX(0,MIN(AB208,Parámetros!$B$11)-MAX(X208,0))+MAX(0,MIN(AB208,1+Parámetros!$B$11)-MAX(X208,AD208))+MAX(0,MIN(AB208,2)-MAX(X208,1+AD208))</f>
        <v>0</v>
      </c>
      <c r="AJ208" s="20">
        <f t="shared" si="77"/>
        <v>0</v>
      </c>
      <c r="AK208" s="20">
        <f>AE208*(MAX(0,MIN(AB208,Parámetros!$B$11)-MAX(X208,0))+MAX(0,MIN(AB208,1)-MAX(X208,AD208)))+AF208*(MAX(0,MIN(AB208,1+Parámetros!$B$11)-MAX(X208,1))+MAX(0,MIN(AB208,2)-MAX(X208,1+AD208)))</f>
        <v>0</v>
      </c>
      <c r="AL208" s="20">
        <f t="shared" si="78"/>
        <v>0</v>
      </c>
      <c r="AM208" s="20">
        <f>MAX(0,MIN(AC208,Parámetros!$B$11)-MAX(AB208,0))+MAX(0,MIN(AC208,1+Parámetros!$B$11)-MAX(AB208,AD208))+MAX(0,MIN(AC208,2)-MAX(AB208,1+AD208))</f>
        <v>0</v>
      </c>
      <c r="AN208" s="20">
        <f t="shared" si="79"/>
        <v>0</v>
      </c>
      <c r="AO208" s="20">
        <f>AE208*(MAX(0,MIN(AC208,Parámetros!$B$11)-MAX(AB208,0))+MAX(0,MIN(AC208,1)-MAX(AB208,AD208)))+AF208*(MAX(0,MIN(AC208,1+Parámetros!$B$11)-MAX(AB208,1))+MAX(0,MIN(AC208,2)-MAX(AB208,1+AD208)))</f>
        <v>0</v>
      </c>
    </row>
    <row r="209" spans="1:41" x14ac:dyDescent="0.25">
      <c r="A209" s="15"/>
      <c r="B209" s="8"/>
      <c r="C209" s="5" t="str">
        <f>IF(B209="","",IFERROR(INDEX(Trabajadores!$B$5:$B$204,MATCH(B209,Trabajadores!$A$5:$A$204,0)),"Cédula no registrada"))</f>
        <v/>
      </c>
      <c r="D209" s="11"/>
      <c r="E209" s="11"/>
      <c r="F209" s="8"/>
      <c r="G209" s="18" t="str">
        <f>IF(A209="","",IFERROR(INDEX(Trabajadores!$E$5:$E$204,MATCH(B209,Trabajadores!$A$5:$A$204,0))/Parámetros!$B$6,0)+IF(IFERROR(INDEX(Trabajadores!$E$5:$E$204,MATCH(B209,Trabajadores!$A$5:$A$204,0)),"")="",Parámetros!$B$7,0))</f>
        <v/>
      </c>
      <c r="H209" s="5" t="str">
        <f t="shared" si="60"/>
        <v/>
      </c>
      <c r="I209" s="5" t="str">
        <f>IF(A209="","",IF(COUNTIF(Festivos!$A$5:$A$451,A209)&gt;0,"Festivo",IF(WEEKDAY(A209,2)=7,"Domingo",IF(AND(AF209=1,AC209&gt;1),IF(COUNTIF(Festivos!$A$5:$A$451,A209+1)&gt;0,"Festivo","Domingo")&amp;" desde las 00:00",""))))</f>
        <v/>
      </c>
      <c r="J209" s="19" t="str">
        <f t="shared" si="61"/>
        <v/>
      </c>
      <c r="K209" s="19" t="str">
        <f t="shared" si="62"/>
        <v/>
      </c>
      <c r="L209" s="19" t="str">
        <f t="shared" si="63"/>
        <v/>
      </c>
      <c r="M209" s="19" t="str">
        <f t="shared" si="64"/>
        <v/>
      </c>
      <c r="N209" s="19" t="str">
        <f t="shared" si="65"/>
        <v/>
      </c>
      <c r="O209" s="19" t="str">
        <f t="shared" si="66"/>
        <v/>
      </c>
      <c r="P209" s="19" t="str">
        <f t="shared" si="67"/>
        <v/>
      </c>
      <c r="Q209" s="19" t="str">
        <f t="shared" si="68"/>
        <v/>
      </c>
      <c r="R209" s="19" t="str">
        <f t="shared" si="69"/>
        <v/>
      </c>
      <c r="S209" s="17" t="str">
        <f>IF(B209="","",IFERROR(INDEX(Trabajadores!$G$5:$G$204,MATCH(B209,Trabajadores!$A$5:$A$204,0)),""))</f>
        <v/>
      </c>
      <c r="T209" s="17" t="str">
        <f>IF(OR(OR(A209="",D209="",E209=""),S209=""),"",ROUND(S209*(N(L209)*Parámetros!$B$8+N(M209)*(1+Parámetros!$B$9)+N(N209)*(1+Parámetros!$B$10)+N(O209)*(1+AG209)+N(P209)*(1+AG209+Parámetros!$B$8)+N(Q209)*(1+AG209+Parámetros!$B$9)+N(R209)*(1+AG209+Parámetros!$B$10)),0))</f>
        <v/>
      </c>
      <c r="U209" s="5" t="str">
        <f>IF(OR(A209="",D209="",E209=""),"",IF(N(M209)+N(N209)+N(Q209)+N(R209)&gt;Parámetros!$B$12,"Supera el límite de horas extras diarias",IF(C209="Cédula no registrada","Registre la cédula en «Trabajadores»","")))</f>
        <v/>
      </c>
      <c r="X209" s="20">
        <f t="shared" si="70"/>
        <v>0</v>
      </c>
      <c r="Y209" s="20">
        <f t="shared" si="71"/>
        <v>0</v>
      </c>
      <c r="Z209" s="20">
        <f t="shared" si="72"/>
        <v>0</v>
      </c>
      <c r="AA209" s="20">
        <f t="shared" si="73"/>
        <v>0</v>
      </c>
      <c r="AB209" s="20">
        <f t="shared" si="74"/>
        <v>0</v>
      </c>
      <c r="AC209" s="20">
        <f t="shared" si="75"/>
        <v>0</v>
      </c>
      <c r="AD209" s="20">
        <f>IF(A209="",21/24,MOD(VLOOKUP(A209,Parámetros!$A$24:$B$25,2,TRUE()),1))</f>
        <v>0.875</v>
      </c>
      <c r="AE209" s="5">
        <f>IF(A209="",0,IF(OR(WEEKDAY(A209,2)=7,COUNTIF(Festivos!$A$5:$A$451,A209)&gt;0),1,0))</f>
        <v>0</v>
      </c>
      <c r="AF209" s="5">
        <f>IF(A209="",0,IF(OR(WEEKDAY(A209+1,2)=7,COUNTIF(Festivos!$A$5:$A$451,A209+1)&gt;0),1,0))</f>
        <v>0</v>
      </c>
      <c r="AG209" s="9">
        <f>IF(A209="",0,VLOOKUP(A209,Parámetros!$A$18:$B$21,2,TRUE()))</f>
        <v>0</v>
      </c>
      <c r="AH209" s="20">
        <f t="shared" si="76"/>
        <v>0</v>
      </c>
      <c r="AI209" s="20">
        <f>MAX(0,MIN(AB209,Parámetros!$B$11)-MAX(X209,0))+MAX(0,MIN(AB209,1+Parámetros!$B$11)-MAX(X209,AD209))+MAX(0,MIN(AB209,2)-MAX(X209,1+AD209))</f>
        <v>0</v>
      </c>
      <c r="AJ209" s="20">
        <f t="shared" si="77"/>
        <v>0</v>
      </c>
      <c r="AK209" s="20">
        <f>AE209*(MAX(0,MIN(AB209,Parámetros!$B$11)-MAX(X209,0))+MAX(0,MIN(AB209,1)-MAX(X209,AD209)))+AF209*(MAX(0,MIN(AB209,1+Parámetros!$B$11)-MAX(X209,1))+MAX(0,MIN(AB209,2)-MAX(X209,1+AD209)))</f>
        <v>0</v>
      </c>
      <c r="AL209" s="20">
        <f t="shared" si="78"/>
        <v>0</v>
      </c>
      <c r="AM209" s="20">
        <f>MAX(0,MIN(AC209,Parámetros!$B$11)-MAX(AB209,0))+MAX(0,MIN(AC209,1+Parámetros!$B$11)-MAX(AB209,AD209))+MAX(0,MIN(AC209,2)-MAX(AB209,1+AD209))</f>
        <v>0</v>
      </c>
      <c r="AN209" s="20">
        <f t="shared" si="79"/>
        <v>0</v>
      </c>
      <c r="AO209" s="20">
        <f>AE209*(MAX(0,MIN(AC209,Parámetros!$B$11)-MAX(AB209,0))+MAX(0,MIN(AC209,1)-MAX(AB209,AD209)))+AF209*(MAX(0,MIN(AC209,1+Parámetros!$B$11)-MAX(AB209,1))+MAX(0,MIN(AC209,2)-MAX(AB209,1+AD209)))</f>
        <v>0</v>
      </c>
    </row>
    <row r="210" spans="1:41" x14ac:dyDescent="0.25">
      <c r="A210" s="15"/>
      <c r="B210" s="8"/>
      <c r="C210" s="5" t="str">
        <f>IF(B210="","",IFERROR(INDEX(Trabajadores!$B$5:$B$204,MATCH(B210,Trabajadores!$A$5:$A$204,0)),"Cédula no registrada"))</f>
        <v/>
      </c>
      <c r="D210" s="11"/>
      <c r="E210" s="11"/>
      <c r="F210" s="8"/>
      <c r="G210" s="18" t="str">
        <f>IF(A210="","",IFERROR(INDEX(Trabajadores!$E$5:$E$204,MATCH(B210,Trabajadores!$A$5:$A$204,0))/Parámetros!$B$6,0)+IF(IFERROR(INDEX(Trabajadores!$E$5:$E$204,MATCH(B210,Trabajadores!$A$5:$A$204,0)),"")="",Parámetros!$B$7,0))</f>
        <v/>
      </c>
      <c r="H210" s="5" t="str">
        <f t="shared" si="60"/>
        <v/>
      </c>
      <c r="I210" s="5" t="str">
        <f>IF(A210="","",IF(COUNTIF(Festivos!$A$5:$A$451,A210)&gt;0,"Festivo",IF(WEEKDAY(A210,2)=7,"Domingo",IF(AND(AF210=1,AC210&gt;1),IF(COUNTIF(Festivos!$A$5:$A$451,A210+1)&gt;0,"Festivo","Domingo")&amp;" desde las 00:00",""))))</f>
        <v/>
      </c>
      <c r="J210" s="19" t="str">
        <f t="shared" si="61"/>
        <v/>
      </c>
      <c r="K210" s="19" t="str">
        <f t="shared" si="62"/>
        <v/>
      </c>
      <c r="L210" s="19" t="str">
        <f t="shared" si="63"/>
        <v/>
      </c>
      <c r="M210" s="19" t="str">
        <f t="shared" si="64"/>
        <v/>
      </c>
      <c r="N210" s="19" t="str">
        <f t="shared" si="65"/>
        <v/>
      </c>
      <c r="O210" s="19" t="str">
        <f t="shared" si="66"/>
        <v/>
      </c>
      <c r="P210" s="19" t="str">
        <f t="shared" si="67"/>
        <v/>
      </c>
      <c r="Q210" s="19" t="str">
        <f t="shared" si="68"/>
        <v/>
      </c>
      <c r="R210" s="19" t="str">
        <f t="shared" si="69"/>
        <v/>
      </c>
      <c r="S210" s="17" t="str">
        <f>IF(B210="","",IFERROR(INDEX(Trabajadores!$G$5:$G$204,MATCH(B210,Trabajadores!$A$5:$A$204,0)),""))</f>
        <v/>
      </c>
      <c r="T210" s="17" t="str">
        <f>IF(OR(OR(A210="",D210="",E210=""),S210=""),"",ROUND(S210*(N(L210)*Parámetros!$B$8+N(M210)*(1+Parámetros!$B$9)+N(N210)*(1+Parámetros!$B$10)+N(O210)*(1+AG210)+N(P210)*(1+AG210+Parámetros!$B$8)+N(Q210)*(1+AG210+Parámetros!$B$9)+N(R210)*(1+AG210+Parámetros!$B$10)),0))</f>
        <v/>
      </c>
      <c r="U210" s="5" t="str">
        <f>IF(OR(A210="",D210="",E210=""),"",IF(N(M210)+N(N210)+N(Q210)+N(R210)&gt;Parámetros!$B$12,"Supera el límite de horas extras diarias",IF(C210="Cédula no registrada","Registre la cédula en «Trabajadores»","")))</f>
        <v/>
      </c>
      <c r="X210" s="20">
        <f t="shared" si="70"/>
        <v>0</v>
      </c>
      <c r="Y210" s="20">
        <f t="shared" si="71"/>
        <v>0</v>
      </c>
      <c r="Z210" s="20">
        <f t="shared" si="72"/>
        <v>0</v>
      </c>
      <c r="AA210" s="20">
        <f t="shared" si="73"/>
        <v>0</v>
      </c>
      <c r="AB210" s="20">
        <f t="shared" si="74"/>
        <v>0</v>
      </c>
      <c r="AC210" s="20">
        <f t="shared" si="75"/>
        <v>0</v>
      </c>
      <c r="AD210" s="20">
        <f>IF(A210="",21/24,MOD(VLOOKUP(A210,Parámetros!$A$24:$B$25,2,TRUE()),1))</f>
        <v>0.875</v>
      </c>
      <c r="AE210" s="5">
        <f>IF(A210="",0,IF(OR(WEEKDAY(A210,2)=7,COUNTIF(Festivos!$A$5:$A$451,A210)&gt;0),1,0))</f>
        <v>0</v>
      </c>
      <c r="AF210" s="5">
        <f>IF(A210="",0,IF(OR(WEEKDAY(A210+1,2)=7,COUNTIF(Festivos!$A$5:$A$451,A210+1)&gt;0),1,0))</f>
        <v>0</v>
      </c>
      <c r="AG210" s="9">
        <f>IF(A210="",0,VLOOKUP(A210,Parámetros!$A$18:$B$21,2,TRUE()))</f>
        <v>0</v>
      </c>
      <c r="AH210" s="20">
        <f t="shared" si="76"/>
        <v>0</v>
      </c>
      <c r="AI210" s="20">
        <f>MAX(0,MIN(AB210,Parámetros!$B$11)-MAX(X210,0))+MAX(0,MIN(AB210,1+Parámetros!$B$11)-MAX(X210,AD210))+MAX(0,MIN(AB210,2)-MAX(X210,1+AD210))</f>
        <v>0</v>
      </c>
      <c r="AJ210" s="20">
        <f t="shared" si="77"/>
        <v>0</v>
      </c>
      <c r="AK210" s="20">
        <f>AE210*(MAX(0,MIN(AB210,Parámetros!$B$11)-MAX(X210,0))+MAX(0,MIN(AB210,1)-MAX(X210,AD210)))+AF210*(MAX(0,MIN(AB210,1+Parámetros!$B$11)-MAX(X210,1))+MAX(0,MIN(AB210,2)-MAX(X210,1+AD210)))</f>
        <v>0</v>
      </c>
      <c r="AL210" s="20">
        <f t="shared" si="78"/>
        <v>0</v>
      </c>
      <c r="AM210" s="20">
        <f>MAX(0,MIN(AC210,Parámetros!$B$11)-MAX(AB210,0))+MAX(0,MIN(AC210,1+Parámetros!$B$11)-MAX(AB210,AD210))+MAX(0,MIN(AC210,2)-MAX(AB210,1+AD210))</f>
        <v>0</v>
      </c>
      <c r="AN210" s="20">
        <f t="shared" si="79"/>
        <v>0</v>
      </c>
      <c r="AO210" s="20">
        <f>AE210*(MAX(0,MIN(AC210,Parámetros!$B$11)-MAX(AB210,0))+MAX(0,MIN(AC210,1)-MAX(AB210,AD210)))+AF210*(MAX(0,MIN(AC210,1+Parámetros!$B$11)-MAX(AB210,1))+MAX(0,MIN(AC210,2)-MAX(AB210,1+AD210)))</f>
        <v>0</v>
      </c>
    </row>
    <row r="211" spans="1:41" x14ac:dyDescent="0.25">
      <c r="A211" s="15"/>
      <c r="B211" s="8"/>
      <c r="C211" s="5" t="str">
        <f>IF(B211="","",IFERROR(INDEX(Trabajadores!$B$5:$B$204,MATCH(B211,Trabajadores!$A$5:$A$204,0)),"Cédula no registrada"))</f>
        <v/>
      </c>
      <c r="D211" s="11"/>
      <c r="E211" s="11"/>
      <c r="F211" s="8"/>
      <c r="G211" s="18" t="str">
        <f>IF(A211="","",IFERROR(INDEX(Trabajadores!$E$5:$E$204,MATCH(B211,Trabajadores!$A$5:$A$204,0))/Parámetros!$B$6,0)+IF(IFERROR(INDEX(Trabajadores!$E$5:$E$204,MATCH(B211,Trabajadores!$A$5:$A$204,0)),"")="",Parámetros!$B$7,0))</f>
        <v/>
      </c>
      <c r="H211" s="5" t="str">
        <f t="shared" si="60"/>
        <v/>
      </c>
      <c r="I211" s="5" t="str">
        <f>IF(A211="","",IF(COUNTIF(Festivos!$A$5:$A$451,A211)&gt;0,"Festivo",IF(WEEKDAY(A211,2)=7,"Domingo",IF(AND(AF211=1,AC211&gt;1),IF(COUNTIF(Festivos!$A$5:$A$451,A211+1)&gt;0,"Festivo","Domingo")&amp;" desde las 00:00",""))))</f>
        <v/>
      </c>
      <c r="J211" s="19" t="str">
        <f t="shared" si="61"/>
        <v/>
      </c>
      <c r="K211" s="19" t="str">
        <f t="shared" si="62"/>
        <v/>
      </c>
      <c r="L211" s="19" t="str">
        <f t="shared" si="63"/>
        <v/>
      </c>
      <c r="M211" s="19" t="str">
        <f t="shared" si="64"/>
        <v/>
      </c>
      <c r="N211" s="19" t="str">
        <f t="shared" si="65"/>
        <v/>
      </c>
      <c r="O211" s="19" t="str">
        <f t="shared" si="66"/>
        <v/>
      </c>
      <c r="P211" s="19" t="str">
        <f t="shared" si="67"/>
        <v/>
      </c>
      <c r="Q211" s="19" t="str">
        <f t="shared" si="68"/>
        <v/>
      </c>
      <c r="R211" s="19" t="str">
        <f t="shared" si="69"/>
        <v/>
      </c>
      <c r="S211" s="17" t="str">
        <f>IF(B211="","",IFERROR(INDEX(Trabajadores!$G$5:$G$204,MATCH(B211,Trabajadores!$A$5:$A$204,0)),""))</f>
        <v/>
      </c>
      <c r="T211" s="17" t="str">
        <f>IF(OR(OR(A211="",D211="",E211=""),S211=""),"",ROUND(S211*(N(L211)*Parámetros!$B$8+N(M211)*(1+Parámetros!$B$9)+N(N211)*(1+Parámetros!$B$10)+N(O211)*(1+AG211)+N(P211)*(1+AG211+Parámetros!$B$8)+N(Q211)*(1+AG211+Parámetros!$B$9)+N(R211)*(1+AG211+Parámetros!$B$10)),0))</f>
        <v/>
      </c>
      <c r="U211" s="5" t="str">
        <f>IF(OR(A211="",D211="",E211=""),"",IF(N(M211)+N(N211)+N(Q211)+N(R211)&gt;Parámetros!$B$12,"Supera el límite de horas extras diarias",IF(C211="Cédula no registrada","Registre la cédula en «Trabajadores»","")))</f>
        <v/>
      </c>
      <c r="X211" s="20">
        <f t="shared" si="70"/>
        <v>0</v>
      </c>
      <c r="Y211" s="20">
        <f t="shared" si="71"/>
        <v>0</v>
      </c>
      <c r="Z211" s="20">
        <f t="shared" si="72"/>
        <v>0</v>
      </c>
      <c r="AA211" s="20">
        <f t="shared" si="73"/>
        <v>0</v>
      </c>
      <c r="AB211" s="20">
        <f t="shared" si="74"/>
        <v>0</v>
      </c>
      <c r="AC211" s="20">
        <f t="shared" si="75"/>
        <v>0</v>
      </c>
      <c r="AD211" s="20">
        <f>IF(A211="",21/24,MOD(VLOOKUP(A211,Parámetros!$A$24:$B$25,2,TRUE()),1))</f>
        <v>0.875</v>
      </c>
      <c r="AE211" s="5">
        <f>IF(A211="",0,IF(OR(WEEKDAY(A211,2)=7,COUNTIF(Festivos!$A$5:$A$451,A211)&gt;0),1,0))</f>
        <v>0</v>
      </c>
      <c r="AF211" s="5">
        <f>IF(A211="",0,IF(OR(WEEKDAY(A211+1,2)=7,COUNTIF(Festivos!$A$5:$A$451,A211+1)&gt;0),1,0))</f>
        <v>0</v>
      </c>
      <c r="AG211" s="9">
        <f>IF(A211="",0,VLOOKUP(A211,Parámetros!$A$18:$B$21,2,TRUE()))</f>
        <v>0</v>
      </c>
      <c r="AH211" s="20">
        <f t="shared" si="76"/>
        <v>0</v>
      </c>
      <c r="AI211" s="20">
        <f>MAX(0,MIN(AB211,Parámetros!$B$11)-MAX(X211,0))+MAX(0,MIN(AB211,1+Parámetros!$B$11)-MAX(X211,AD211))+MAX(0,MIN(AB211,2)-MAX(X211,1+AD211))</f>
        <v>0</v>
      </c>
      <c r="AJ211" s="20">
        <f t="shared" si="77"/>
        <v>0</v>
      </c>
      <c r="AK211" s="20">
        <f>AE211*(MAX(0,MIN(AB211,Parámetros!$B$11)-MAX(X211,0))+MAX(0,MIN(AB211,1)-MAX(X211,AD211)))+AF211*(MAX(0,MIN(AB211,1+Parámetros!$B$11)-MAX(X211,1))+MAX(0,MIN(AB211,2)-MAX(X211,1+AD211)))</f>
        <v>0</v>
      </c>
      <c r="AL211" s="20">
        <f t="shared" si="78"/>
        <v>0</v>
      </c>
      <c r="AM211" s="20">
        <f>MAX(0,MIN(AC211,Parámetros!$B$11)-MAX(AB211,0))+MAX(0,MIN(AC211,1+Parámetros!$B$11)-MAX(AB211,AD211))+MAX(0,MIN(AC211,2)-MAX(AB211,1+AD211))</f>
        <v>0</v>
      </c>
      <c r="AN211" s="20">
        <f t="shared" si="79"/>
        <v>0</v>
      </c>
      <c r="AO211" s="20">
        <f>AE211*(MAX(0,MIN(AC211,Parámetros!$B$11)-MAX(AB211,0))+MAX(0,MIN(AC211,1)-MAX(AB211,AD211)))+AF211*(MAX(0,MIN(AC211,1+Parámetros!$B$11)-MAX(AB211,1))+MAX(0,MIN(AC211,2)-MAX(AB211,1+AD211)))</f>
        <v>0</v>
      </c>
    </row>
    <row r="212" spans="1:41" x14ac:dyDescent="0.25">
      <c r="A212" s="15"/>
      <c r="B212" s="8"/>
      <c r="C212" s="5" t="str">
        <f>IF(B212="","",IFERROR(INDEX(Trabajadores!$B$5:$B$204,MATCH(B212,Trabajadores!$A$5:$A$204,0)),"Cédula no registrada"))</f>
        <v/>
      </c>
      <c r="D212" s="11"/>
      <c r="E212" s="11"/>
      <c r="F212" s="8"/>
      <c r="G212" s="18" t="str">
        <f>IF(A212="","",IFERROR(INDEX(Trabajadores!$E$5:$E$204,MATCH(B212,Trabajadores!$A$5:$A$204,0))/Parámetros!$B$6,0)+IF(IFERROR(INDEX(Trabajadores!$E$5:$E$204,MATCH(B212,Trabajadores!$A$5:$A$204,0)),"")="",Parámetros!$B$7,0))</f>
        <v/>
      </c>
      <c r="H212" s="5" t="str">
        <f t="shared" si="60"/>
        <v/>
      </c>
      <c r="I212" s="5" t="str">
        <f>IF(A212="","",IF(COUNTIF(Festivos!$A$5:$A$451,A212)&gt;0,"Festivo",IF(WEEKDAY(A212,2)=7,"Domingo",IF(AND(AF212=1,AC212&gt;1),IF(COUNTIF(Festivos!$A$5:$A$451,A212+1)&gt;0,"Festivo","Domingo")&amp;" desde las 00:00",""))))</f>
        <v/>
      </c>
      <c r="J212" s="19" t="str">
        <f t="shared" si="61"/>
        <v/>
      </c>
      <c r="K212" s="19" t="str">
        <f t="shared" si="62"/>
        <v/>
      </c>
      <c r="L212" s="19" t="str">
        <f t="shared" si="63"/>
        <v/>
      </c>
      <c r="M212" s="19" t="str">
        <f t="shared" si="64"/>
        <v/>
      </c>
      <c r="N212" s="19" t="str">
        <f t="shared" si="65"/>
        <v/>
      </c>
      <c r="O212" s="19" t="str">
        <f t="shared" si="66"/>
        <v/>
      </c>
      <c r="P212" s="19" t="str">
        <f t="shared" si="67"/>
        <v/>
      </c>
      <c r="Q212" s="19" t="str">
        <f t="shared" si="68"/>
        <v/>
      </c>
      <c r="R212" s="19" t="str">
        <f t="shared" si="69"/>
        <v/>
      </c>
      <c r="S212" s="17" t="str">
        <f>IF(B212="","",IFERROR(INDEX(Trabajadores!$G$5:$G$204,MATCH(B212,Trabajadores!$A$5:$A$204,0)),""))</f>
        <v/>
      </c>
      <c r="T212" s="17" t="str">
        <f>IF(OR(OR(A212="",D212="",E212=""),S212=""),"",ROUND(S212*(N(L212)*Parámetros!$B$8+N(M212)*(1+Parámetros!$B$9)+N(N212)*(1+Parámetros!$B$10)+N(O212)*(1+AG212)+N(P212)*(1+AG212+Parámetros!$B$8)+N(Q212)*(1+AG212+Parámetros!$B$9)+N(R212)*(1+AG212+Parámetros!$B$10)),0))</f>
        <v/>
      </c>
      <c r="U212" s="5" t="str">
        <f>IF(OR(A212="",D212="",E212=""),"",IF(N(M212)+N(N212)+N(Q212)+N(R212)&gt;Parámetros!$B$12,"Supera el límite de horas extras diarias",IF(C212="Cédula no registrada","Registre la cédula en «Trabajadores»","")))</f>
        <v/>
      </c>
      <c r="X212" s="20">
        <f t="shared" si="70"/>
        <v>0</v>
      </c>
      <c r="Y212" s="20">
        <f t="shared" si="71"/>
        <v>0</v>
      </c>
      <c r="Z212" s="20">
        <f t="shared" si="72"/>
        <v>0</v>
      </c>
      <c r="AA212" s="20">
        <f t="shared" si="73"/>
        <v>0</v>
      </c>
      <c r="AB212" s="20">
        <f t="shared" si="74"/>
        <v>0</v>
      </c>
      <c r="AC212" s="20">
        <f t="shared" si="75"/>
        <v>0</v>
      </c>
      <c r="AD212" s="20">
        <f>IF(A212="",21/24,MOD(VLOOKUP(A212,Parámetros!$A$24:$B$25,2,TRUE()),1))</f>
        <v>0.875</v>
      </c>
      <c r="AE212" s="5">
        <f>IF(A212="",0,IF(OR(WEEKDAY(A212,2)=7,COUNTIF(Festivos!$A$5:$A$451,A212)&gt;0),1,0))</f>
        <v>0</v>
      </c>
      <c r="AF212" s="5">
        <f>IF(A212="",0,IF(OR(WEEKDAY(A212+1,2)=7,COUNTIF(Festivos!$A$5:$A$451,A212+1)&gt;0),1,0))</f>
        <v>0</v>
      </c>
      <c r="AG212" s="9">
        <f>IF(A212="",0,VLOOKUP(A212,Parámetros!$A$18:$B$21,2,TRUE()))</f>
        <v>0</v>
      </c>
      <c r="AH212" s="20">
        <f t="shared" si="76"/>
        <v>0</v>
      </c>
      <c r="AI212" s="20">
        <f>MAX(0,MIN(AB212,Parámetros!$B$11)-MAX(X212,0))+MAX(0,MIN(AB212,1+Parámetros!$B$11)-MAX(X212,AD212))+MAX(0,MIN(AB212,2)-MAX(X212,1+AD212))</f>
        <v>0</v>
      </c>
      <c r="AJ212" s="20">
        <f t="shared" si="77"/>
        <v>0</v>
      </c>
      <c r="AK212" s="20">
        <f>AE212*(MAX(0,MIN(AB212,Parámetros!$B$11)-MAX(X212,0))+MAX(0,MIN(AB212,1)-MAX(X212,AD212)))+AF212*(MAX(0,MIN(AB212,1+Parámetros!$B$11)-MAX(X212,1))+MAX(0,MIN(AB212,2)-MAX(X212,1+AD212)))</f>
        <v>0</v>
      </c>
      <c r="AL212" s="20">
        <f t="shared" si="78"/>
        <v>0</v>
      </c>
      <c r="AM212" s="20">
        <f>MAX(0,MIN(AC212,Parámetros!$B$11)-MAX(AB212,0))+MAX(0,MIN(AC212,1+Parámetros!$B$11)-MAX(AB212,AD212))+MAX(0,MIN(AC212,2)-MAX(AB212,1+AD212))</f>
        <v>0</v>
      </c>
      <c r="AN212" s="20">
        <f t="shared" si="79"/>
        <v>0</v>
      </c>
      <c r="AO212" s="20">
        <f>AE212*(MAX(0,MIN(AC212,Parámetros!$B$11)-MAX(AB212,0))+MAX(0,MIN(AC212,1)-MAX(AB212,AD212)))+AF212*(MAX(0,MIN(AC212,1+Parámetros!$B$11)-MAX(AB212,1))+MAX(0,MIN(AC212,2)-MAX(AB212,1+AD212)))</f>
        <v>0</v>
      </c>
    </row>
    <row r="213" spans="1:41" x14ac:dyDescent="0.25">
      <c r="A213" s="15"/>
      <c r="B213" s="8"/>
      <c r="C213" s="5" t="str">
        <f>IF(B213="","",IFERROR(INDEX(Trabajadores!$B$5:$B$204,MATCH(B213,Trabajadores!$A$5:$A$204,0)),"Cédula no registrada"))</f>
        <v/>
      </c>
      <c r="D213" s="11"/>
      <c r="E213" s="11"/>
      <c r="F213" s="8"/>
      <c r="G213" s="18" t="str">
        <f>IF(A213="","",IFERROR(INDEX(Trabajadores!$E$5:$E$204,MATCH(B213,Trabajadores!$A$5:$A$204,0))/Parámetros!$B$6,0)+IF(IFERROR(INDEX(Trabajadores!$E$5:$E$204,MATCH(B213,Trabajadores!$A$5:$A$204,0)),"")="",Parámetros!$B$7,0))</f>
        <v/>
      </c>
      <c r="H213" s="5" t="str">
        <f t="shared" si="60"/>
        <v/>
      </c>
      <c r="I213" s="5" t="str">
        <f>IF(A213="","",IF(COUNTIF(Festivos!$A$5:$A$451,A213)&gt;0,"Festivo",IF(WEEKDAY(A213,2)=7,"Domingo",IF(AND(AF213=1,AC213&gt;1),IF(COUNTIF(Festivos!$A$5:$A$451,A213+1)&gt;0,"Festivo","Domingo")&amp;" desde las 00:00",""))))</f>
        <v/>
      </c>
      <c r="J213" s="19" t="str">
        <f t="shared" si="61"/>
        <v/>
      </c>
      <c r="K213" s="19" t="str">
        <f t="shared" si="62"/>
        <v/>
      </c>
      <c r="L213" s="19" t="str">
        <f t="shared" si="63"/>
        <v/>
      </c>
      <c r="M213" s="19" t="str">
        <f t="shared" si="64"/>
        <v/>
      </c>
      <c r="N213" s="19" t="str">
        <f t="shared" si="65"/>
        <v/>
      </c>
      <c r="O213" s="19" t="str">
        <f t="shared" si="66"/>
        <v/>
      </c>
      <c r="P213" s="19" t="str">
        <f t="shared" si="67"/>
        <v/>
      </c>
      <c r="Q213" s="19" t="str">
        <f t="shared" si="68"/>
        <v/>
      </c>
      <c r="R213" s="19" t="str">
        <f t="shared" si="69"/>
        <v/>
      </c>
      <c r="S213" s="17" t="str">
        <f>IF(B213="","",IFERROR(INDEX(Trabajadores!$G$5:$G$204,MATCH(B213,Trabajadores!$A$5:$A$204,0)),""))</f>
        <v/>
      </c>
      <c r="T213" s="17" t="str">
        <f>IF(OR(OR(A213="",D213="",E213=""),S213=""),"",ROUND(S213*(N(L213)*Parámetros!$B$8+N(M213)*(1+Parámetros!$B$9)+N(N213)*(1+Parámetros!$B$10)+N(O213)*(1+AG213)+N(P213)*(1+AG213+Parámetros!$B$8)+N(Q213)*(1+AG213+Parámetros!$B$9)+N(R213)*(1+AG213+Parámetros!$B$10)),0))</f>
        <v/>
      </c>
      <c r="U213" s="5" t="str">
        <f>IF(OR(A213="",D213="",E213=""),"",IF(N(M213)+N(N213)+N(Q213)+N(R213)&gt;Parámetros!$B$12,"Supera el límite de horas extras diarias",IF(C213="Cédula no registrada","Registre la cédula en «Trabajadores»","")))</f>
        <v/>
      </c>
      <c r="X213" s="20">
        <f t="shared" si="70"/>
        <v>0</v>
      </c>
      <c r="Y213" s="20">
        <f t="shared" si="71"/>
        <v>0</v>
      </c>
      <c r="Z213" s="20">
        <f t="shared" si="72"/>
        <v>0</v>
      </c>
      <c r="AA213" s="20">
        <f t="shared" si="73"/>
        <v>0</v>
      </c>
      <c r="AB213" s="20">
        <f t="shared" si="74"/>
        <v>0</v>
      </c>
      <c r="AC213" s="20">
        <f t="shared" si="75"/>
        <v>0</v>
      </c>
      <c r="AD213" s="20">
        <f>IF(A213="",21/24,MOD(VLOOKUP(A213,Parámetros!$A$24:$B$25,2,TRUE()),1))</f>
        <v>0.875</v>
      </c>
      <c r="AE213" s="5">
        <f>IF(A213="",0,IF(OR(WEEKDAY(A213,2)=7,COUNTIF(Festivos!$A$5:$A$451,A213)&gt;0),1,0))</f>
        <v>0</v>
      </c>
      <c r="AF213" s="5">
        <f>IF(A213="",0,IF(OR(WEEKDAY(A213+1,2)=7,COUNTIF(Festivos!$A$5:$A$451,A213+1)&gt;0),1,0))</f>
        <v>0</v>
      </c>
      <c r="AG213" s="9">
        <f>IF(A213="",0,VLOOKUP(A213,Parámetros!$A$18:$B$21,2,TRUE()))</f>
        <v>0</v>
      </c>
      <c r="AH213" s="20">
        <f t="shared" si="76"/>
        <v>0</v>
      </c>
      <c r="AI213" s="20">
        <f>MAX(0,MIN(AB213,Parámetros!$B$11)-MAX(X213,0))+MAX(0,MIN(AB213,1+Parámetros!$B$11)-MAX(X213,AD213))+MAX(0,MIN(AB213,2)-MAX(X213,1+AD213))</f>
        <v>0</v>
      </c>
      <c r="AJ213" s="20">
        <f t="shared" si="77"/>
        <v>0</v>
      </c>
      <c r="AK213" s="20">
        <f>AE213*(MAX(0,MIN(AB213,Parámetros!$B$11)-MAX(X213,0))+MAX(0,MIN(AB213,1)-MAX(X213,AD213)))+AF213*(MAX(0,MIN(AB213,1+Parámetros!$B$11)-MAX(X213,1))+MAX(0,MIN(AB213,2)-MAX(X213,1+AD213)))</f>
        <v>0</v>
      </c>
      <c r="AL213" s="20">
        <f t="shared" si="78"/>
        <v>0</v>
      </c>
      <c r="AM213" s="20">
        <f>MAX(0,MIN(AC213,Parámetros!$B$11)-MAX(AB213,0))+MAX(0,MIN(AC213,1+Parámetros!$B$11)-MAX(AB213,AD213))+MAX(0,MIN(AC213,2)-MAX(AB213,1+AD213))</f>
        <v>0</v>
      </c>
      <c r="AN213" s="20">
        <f t="shared" si="79"/>
        <v>0</v>
      </c>
      <c r="AO213" s="20">
        <f>AE213*(MAX(0,MIN(AC213,Parámetros!$B$11)-MAX(AB213,0))+MAX(0,MIN(AC213,1)-MAX(AB213,AD213)))+AF213*(MAX(0,MIN(AC213,1+Parámetros!$B$11)-MAX(AB213,1))+MAX(0,MIN(AC213,2)-MAX(AB213,1+AD213)))</f>
        <v>0</v>
      </c>
    </row>
    <row r="214" spans="1:41" x14ac:dyDescent="0.25">
      <c r="A214" s="15"/>
      <c r="B214" s="8"/>
      <c r="C214" s="5" t="str">
        <f>IF(B214="","",IFERROR(INDEX(Trabajadores!$B$5:$B$204,MATCH(B214,Trabajadores!$A$5:$A$204,0)),"Cédula no registrada"))</f>
        <v/>
      </c>
      <c r="D214" s="11"/>
      <c r="E214" s="11"/>
      <c r="F214" s="8"/>
      <c r="G214" s="18" t="str">
        <f>IF(A214="","",IFERROR(INDEX(Trabajadores!$E$5:$E$204,MATCH(B214,Trabajadores!$A$5:$A$204,0))/Parámetros!$B$6,0)+IF(IFERROR(INDEX(Trabajadores!$E$5:$E$204,MATCH(B214,Trabajadores!$A$5:$A$204,0)),"")="",Parámetros!$B$7,0))</f>
        <v/>
      </c>
      <c r="H214" s="5" t="str">
        <f t="shared" si="60"/>
        <v/>
      </c>
      <c r="I214" s="5" t="str">
        <f>IF(A214="","",IF(COUNTIF(Festivos!$A$5:$A$451,A214)&gt;0,"Festivo",IF(WEEKDAY(A214,2)=7,"Domingo",IF(AND(AF214=1,AC214&gt;1),IF(COUNTIF(Festivos!$A$5:$A$451,A214+1)&gt;0,"Festivo","Domingo")&amp;" desde las 00:00",""))))</f>
        <v/>
      </c>
      <c r="J214" s="19" t="str">
        <f t="shared" si="61"/>
        <v/>
      </c>
      <c r="K214" s="19" t="str">
        <f t="shared" si="62"/>
        <v/>
      </c>
      <c r="L214" s="19" t="str">
        <f t="shared" si="63"/>
        <v/>
      </c>
      <c r="M214" s="19" t="str">
        <f t="shared" si="64"/>
        <v/>
      </c>
      <c r="N214" s="19" t="str">
        <f t="shared" si="65"/>
        <v/>
      </c>
      <c r="O214" s="19" t="str">
        <f t="shared" si="66"/>
        <v/>
      </c>
      <c r="P214" s="19" t="str">
        <f t="shared" si="67"/>
        <v/>
      </c>
      <c r="Q214" s="19" t="str">
        <f t="shared" si="68"/>
        <v/>
      </c>
      <c r="R214" s="19" t="str">
        <f t="shared" si="69"/>
        <v/>
      </c>
      <c r="S214" s="17" t="str">
        <f>IF(B214="","",IFERROR(INDEX(Trabajadores!$G$5:$G$204,MATCH(B214,Trabajadores!$A$5:$A$204,0)),""))</f>
        <v/>
      </c>
      <c r="T214" s="17" t="str">
        <f>IF(OR(OR(A214="",D214="",E214=""),S214=""),"",ROUND(S214*(N(L214)*Parámetros!$B$8+N(M214)*(1+Parámetros!$B$9)+N(N214)*(1+Parámetros!$B$10)+N(O214)*(1+AG214)+N(P214)*(1+AG214+Parámetros!$B$8)+N(Q214)*(1+AG214+Parámetros!$B$9)+N(R214)*(1+AG214+Parámetros!$B$10)),0))</f>
        <v/>
      </c>
      <c r="U214" s="5" t="str">
        <f>IF(OR(A214="",D214="",E214=""),"",IF(N(M214)+N(N214)+N(Q214)+N(R214)&gt;Parámetros!$B$12,"Supera el límite de horas extras diarias",IF(C214="Cédula no registrada","Registre la cédula en «Trabajadores»","")))</f>
        <v/>
      </c>
      <c r="X214" s="20">
        <f t="shared" si="70"/>
        <v>0</v>
      </c>
      <c r="Y214" s="20">
        <f t="shared" si="71"/>
        <v>0</v>
      </c>
      <c r="Z214" s="20">
        <f t="shared" si="72"/>
        <v>0</v>
      </c>
      <c r="AA214" s="20">
        <f t="shared" si="73"/>
        <v>0</v>
      </c>
      <c r="AB214" s="20">
        <f t="shared" si="74"/>
        <v>0</v>
      </c>
      <c r="AC214" s="20">
        <f t="shared" si="75"/>
        <v>0</v>
      </c>
      <c r="AD214" s="20">
        <f>IF(A214="",21/24,MOD(VLOOKUP(A214,Parámetros!$A$24:$B$25,2,TRUE()),1))</f>
        <v>0.875</v>
      </c>
      <c r="AE214" s="5">
        <f>IF(A214="",0,IF(OR(WEEKDAY(A214,2)=7,COUNTIF(Festivos!$A$5:$A$451,A214)&gt;0),1,0))</f>
        <v>0</v>
      </c>
      <c r="AF214" s="5">
        <f>IF(A214="",0,IF(OR(WEEKDAY(A214+1,2)=7,COUNTIF(Festivos!$A$5:$A$451,A214+1)&gt;0),1,0))</f>
        <v>0</v>
      </c>
      <c r="AG214" s="9">
        <f>IF(A214="",0,VLOOKUP(A214,Parámetros!$A$18:$B$21,2,TRUE()))</f>
        <v>0</v>
      </c>
      <c r="AH214" s="20">
        <f t="shared" si="76"/>
        <v>0</v>
      </c>
      <c r="AI214" s="20">
        <f>MAX(0,MIN(AB214,Parámetros!$B$11)-MAX(X214,0))+MAX(0,MIN(AB214,1+Parámetros!$B$11)-MAX(X214,AD214))+MAX(0,MIN(AB214,2)-MAX(X214,1+AD214))</f>
        <v>0</v>
      </c>
      <c r="AJ214" s="20">
        <f t="shared" si="77"/>
        <v>0</v>
      </c>
      <c r="AK214" s="20">
        <f>AE214*(MAX(0,MIN(AB214,Parámetros!$B$11)-MAX(X214,0))+MAX(0,MIN(AB214,1)-MAX(X214,AD214)))+AF214*(MAX(0,MIN(AB214,1+Parámetros!$B$11)-MAX(X214,1))+MAX(0,MIN(AB214,2)-MAX(X214,1+AD214)))</f>
        <v>0</v>
      </c>
      <c r="AL214" s="20">
        <f t="shared" si="78"/>
        <v>0</v>
      </c>
      <c r="AM214" s="20">
        <f>MAX(0,MIN(AC214,Parámetros!$B$11)-MAX(AB214,0))+MAX(0,MIN(AC214,1+Parámetros!$B$11)-MAX(AB214,AD214))+MAX(0,MIN(AC214,2)-MAX(AB214,1+AD214))</f>
        <v>0</v>
      </c>
      <c r="AN214" s="20">
        <f t="shared" si="79"/>
        <v>0</v>
      </c>
      <c r="AO214" s="20">
        <f>AE214*(MAX(0,MIN(AC214,Parámetros!$B$11)-MAX(AB214,0))+MAX(0,MIN(AC214,1)-MAX(AB214,AD214)))+AF214*(MAX(0,MIN(AC214,1+Parámetros!$B$11)-MAX(AB214,1))+MAX(0,MIN(AC214,2)-MAX(AB214,1+AD214)))</f>
        <v>0</v>
      </c>
    </row>
    <row r="215" spans="1:41" x14ac:dyDescent="0.25">
      <c r="A215" s="15"/>
      <c r="B215" s="8"/>
      <c r="C215" s="5" t="str">
        <f>IF(B215="","",IFERROR(INDEX(Trabajadores!$B$5:$B$204,MATCH(B215,Trabajadores!$A$5:$A$204,0)),"Cédula no registrada"))</f>
        <v/>
      </c>
      <c r="D215" s="11"/>
      <c r="E215" s="11"/>
      <c r="F215" s="8"/>
      <c r="G215" s="18" t="str">
        <f>IF(A215="","",IFERROR(INDEX(Trabajadores!$E$5:$E$204,MATCH(B215,Trabajadores!$A$5:$A$204,0))/Parámetros!$B$6,0)+IF(IFERROR(INDEX(Trabajadores!$E$5:$E$204,MATCH(B215,Trabajadores!$A$5:$A$204,0)),"")="",Parámetros!$B$7,0))</f>
        <v/>
      </c>
      <c r="H215" s="5" t="str">
        <f t="shared" si="60"/>
        <v/>
      </c>
      <c r="I215" s="5" t="str">
        <f>IF(A215="","",IF(COUNTIF(Festivos!$A$5:$A$451,A215)&gt;0,"Festivo",IF(WEEKDAY(A215,2)=7,"Domingo",IF(AND(AF215=1,AC215&gt;1),IF(COUNTIF(Festivos!$A$5:$A$451,A215+1)&gt;0,"Festivo","Domingo")&amp;" desde las 00:00",""))))</f>
        <v/>
      </c>
      <c r="J215" s="19" t="str">
        <f t="shared" si="61"/>
        <v/>
      </c>
      <c r="K215" s="19" t="str">
        <f t="shared" si="62"/>
        <v/>
      </c>
      <c r="L215" s="19" t="str">
        <f t="shared" si="63"/>
        <v/>
      </c>
      <c r="M215" s="19" t="str">
        <f t="shared" si="64"/>
        <v/>
      </c>
      <c r="N215" s="19" t="str">
        <f t="shared" si="65"/>
        <v/>
      </c>
      <c r="O215" s="19" t="str">
        <f t="shared" si="66"/>
        <v/>
      </c>
      <c r="P215" s="19" t="str">
        <f t="shared" si="67"/>
        <v/>
      </c>
      <c r="Q215" s="19" t="str">
        <f t="shared" si="68"/>
        <v/>
      </c>
      <c r="R215" s="19" t="str">
        <f t="shared" si="69"/>
        <v/>
      </c>
      <c r="S215" s="17" t="str">
        <f>IF(B215="","",IFERROR(INDEX(Trabajadores!$G$5:$G$204,MATCH(B215,Trabajadores!$A$5:$A$204,0)),""))</f>
        <v/>
      </c>
      <c r="T215" s="17" t="str">
        <f>IF(OR(OR(A215="",D215="",E215=""),S215=""),"",ROUND(S215*(N(L215)*Parámetros!$B$8+N(M215)*(1+Parámetros!$B$9)+N(N215)*(1+Parámetros!$B$10)+N(O215)*(1+AG215)+N(P215)*(1+AG215+Parámetros!$B$8)+N(Q215)*(1+AG215+Parámetros!$B$9)+N(R215)*(1+AG215+Parámetros!$B$10)),0))</f>
        <v/>
      </c>
      <c r="U215" s="5" t="str">
        <f>IF(OR(A215="",D215="",E215=""),"",IF(N(M215)+N(N215)+N(Q215)+N(R215)&gt;Parámetros!$B$12,"Supera el límite de horas extras diarias",IF(C215="Cédula no registrada","Registre la cédula en «Trabajadores»","")))</f>
        <v/>
      </c>
      <c r="X215" s="20">
        <f t="shared" si="70"/>
        <v>0</v>
      </c>
      <c r="Y215" s="20">
        <f t="shared" si="71"/>
        <v>0</v>
      </c>
      <c r="Z215" s="20">
        <f t="shared" si="72"/>
        <v>0</v>
      </c>
      <c r="AA215" s="20">
        <f t="shared" si="73"/>
        <v>0</v>
      </c>
      <c r="AB215" s="20">
        <f t="shared" si="74"/>
        <v>0</v>
      </c>
      <c r="AC215" s="20">
        <f t="shared" si="75"/>
        <v>0</v>
      </c>
      <c r="AD215" s="20">
        <f>IF(A215="",21/24,MOD(VLOOKUP(A215,Parámetros!$A$24:$B$25,2,TRUE()),1))</f>
        <v>0.875</v>
      </c>
      <c r="AE215" s="5">
        <f>IF(A215="",0,IF(OR(WEEKDAY(A215,2)=7,COUNTIF(Festivos!$A$5:$A$451,A215)&gt;0),1,0))</f>
        <v>0</v>
      </c>
      <c r="AF215" s="5">
        <f>IF(A215="",0,IF(OR(WEEKDAY(A215+1,2)=7,COUNTIF(Festivos!$A$5:$A$451,A215+1)&gt;0),1,0))</f>
        <v>0</v>
      </c>
      <c r="AG215" s="9">
        <f>IF(A215="",0,VLOOKUP(A215,Parámetros!$A$18:$B$21,2,TRUE()))</f>
        <v>0</v>
      </c>
      <c r="AH215" s="20">
        <f t="shared" si="76"/>
        <v>0</v>
      </c>
      <c r="AI215" s="20">
        <f>MAX(0,MIN(AB215,Parámetros!$B$11)-MAX(X215,0))+MAX(0,MIN(AB215,1+Parámetros!$B$11)-MAX(X215,AD215))+MAX(0,MIN(AB215,2)-MAX(X215,1+AD215))</f>
        <v>0</v>
      </c>
      <c r="AJ215" s="20">
        <f t="shared" si="77"/>
        <v>0</v>
      </c>
      <c r="AK215" s="20">
        <f>AE215*(MAX(0,MIN(AB215,Parámetros!$B$11)-MAX(X215,0))+MAX(0,MIN(AB215,1)-MAX(X215,AD215)))+AF215*(MAX(0,MIN(AB215,1+Parámetros!$B$11)-MAX(X215,1))+MAX(0,MIN(AB215,2)-MAX(X215,1+AD215)))</f>
        <v>0</v>
      </c>
      <c r="AL215" s="20">
        <f t="shared" si="78"/>
        <v>0</v>
      </c>
      <c r="AM215" s="20">
        <f>MAX(0,MIN(AC215,Parámetros!$B$11)-MAX(AB215,0))+MAX(0,MIN(AC215,1+Parámetros!$B$11)-MAX(AB215,AD215))+MAX(0,MIN(AC215,2)-MAX(AB215,1+AD215))</f>
        <v>0</v>
      </c>
      <c r="AN215" s="20">
        <f t="shared" si="79"/>
        <v>0</v>
      </c>
      <c r="AO215" s="20">
        <f>AE215*(MAX(0,MIN(AC215,Parámetros!$B$11)-MAX(AB215,0))+MAX(0,MIN(AC215,1)-MAX(AB215,AD215)))+AF215*(MAX(0,MIN(AC215,1+Parámetros!$B$11)-MAX(AB215,1))+MAX(0,MIN(AC215,2)-MAX(AB215,1+AD215)))</f>
        <v>0</v>
      </c>
    </row>
    <row r="216" spans="1:41" x14ac:dyDescent="0.25">
      <c r="A216" s="15"/>
      <c r="B216" s="8"/>
      <c r="C216" s="5" t="str">
        <f>IF(B216="","",IFERROR(INDEX(Trabajadores!$B$5:$B$204,MATCH(B216,Trabajadores!$A$5:$A$204,0)),"Cédula no registrada"))</f>
        <v/>
      </c>
      <c r="D216" s="11"/>
      <c r="E216" s="11"/>
      <c r="F216" s="8"/>
      <c r="G216" s="18" t="str">
        <f>IF(A216="","",IFERROR(INDEX(Trabajadores!$E$5:$E$204,MATCH(B216,Trabajadores!$A$5:$A$204,0))/Parámetros!$B$6,0)+IF(IFERROR(INDEX(Trabajadores!$E$5:$E$204,MATCH(B216,Trabajadores!$A$5:$A$204,0)),"")="",Parámetros!$B$7,0))</f>
        <v/>
      </c>
      <c r="H216" s="5" t="str">
        <f t="shared" si="60"/>
        <v/>
      </c>
      <c r="I216" s="5" t="str">
        <f>IF(A216="","",IF(COUNTIF(Festivos!$A$5:$A$451,A216)&gt;0,"Festivo",IF(WEEKDAY(A216,2)=7,"Domingo",IF(AND(AF216=1,AC216&gt;1),IF(COUNTIF(Festivos!$A$5:$A$451,A216+1)&gt;0,"Festivo","Domingo")&amp;" desde las 00:00",""))))</f>
        <v/>
      </c>
      <c r="J216" s="19" t="str">
        <f t="shared" si="61"/>
        <v/>
      </c>
      <c r="K216" s="19" t="str">
        <f t="shared" si="62"/>
        <v/>
      </c>
      <c r="L216" s="19" t="str">
        <f t="shared" si="63"/>
        <v/>
      </c>
      <c r="M216" s="19" t="str">
        <f t="shared" si="64"/>
        <v/>
      </c>
      <c r="N216" s="19" t="str">
        <f t="shared" si="65"/>
        <v/>
      </c>
      <c r="O216" s="19" t="str">
        <f t="shared" si="66"/>
        <v/>
      </c>
      <c r="P216" s="19" t="str">
        <f t="shared" si="67"/>
        <v/>
      </c>
      <c r="Q216" s="19" t="str">
        <f t="shared" si="68"/>
        <v/>
      </c>
      <c r="R216" s="19" t="str">
        <f t="shared" si="69"/>
        <v/>
      </c>
      <c r="S216" s="17" t="str">
        <f>IF(B216="","",IFERROR(INDEX(Trabajadores!$G$5:$G$204,MATCH(B216,Trabajadores!$A$5:$A$204,0)),""))</f>
        <v/>
      </c>
      <c r="T216" s="17" t="str">
        <f>IF(OR(OR(A216="",D216="",E216=""),S216=""),"",ROUND(S216*(N(L216)*Parámetros!$B$8+N(M216)*(1+Parámetros!$B$9)+N(N216)*(1+Parámetros!$B$10)+N(O216)*(1+AG216)+N(P216)*(1+AG216+Parámetros!$B$8)+N(Q216)*(1+AG216+Parámetros!$B$9)+N(R216)*(1+AG216+Parámetros!$B$10)),0))</f>
        <v/>
      </c>
      <c r="U216" s="5" t="str">
        <f>IF(OR(A216="",D216="",E216=""),"",IF(N(M216)+N(N216)+N(Q216)+N(R216)&gt;Parámetros!$B$12,"Supera el límite de horas extras diarias",IF(C216="Cédula no registrada","Registre la cédula en «Trabajadores»","")))</f>
        <v/>
      </c>
      <c r="X216" s="20">
        <f t="shared" si="70"/>
        <v>0</v>
      </c>
      <c r="Y216" s="20">
        <f t="shared" si="71"/>
        <v>0</v>
      </c>
      <c r="Z216" s="20">
        <f t="shared" si="72"/>
        <v>0</v>
      </c>
      <c r="AA216" s="20">
        <f t="shared" si="73"/>
        <v>0</v>
      </c>
      <c r="AB216" s="20">
        <f t="shared" si="74"/>
        <v>0</v>
      </c>
      <c r="AC216" s="20">
        <f t="shared" si="75"/>
        <v>0</v>
      </c>
      <c r="AD216" s="20">
        <f>IF(A216="",21/24,MOD(VLOOKUP(A216,Parámetros!$A$24:$B$25,2,TRUE()),1))</f>
        <v>0.875</v>
      </c>
      <c r="AE216" s="5">
        <f>IF(A216="",0,IF(OR(WEEKDAY(A216,2)=7,COUNTIF(Festivos!$A$5:$A$451,A216)&gt;0),1,0))</f>
        <v>0</v>
      </c>
      <c r="AF216" s="5">
        <f>IF(A216="",0,IF(OR(WEEKDAY(A216+1,2)=7,COUNTIF(Festivos!$A$5:$A$451,A216+1)&gt;0),1,0))</f>
        <v>0</v>
      </c>
      <c r="AG216" s="9">
        <f>IF(A216="",0,VLOOKUP(A216,Parámetros!$A$18:$B$21,2,TRUE()))</f>
        <v>0</v>
      </c>
      <c r="AH216" s="20">
        <f t="shared" si="76"/>
        <v>0</v>
      </c>
      <c r="AI216" s="20">
        <f>MAX(0,MIN(AB216,Parámetros!$B$11)-MAX(X216,0))+MAX(0,MIN(AB216,1+Parámetros!$B$11)-MAX(X216,AD216))+MAX(0,MIN(AB216,2)-MAX(X216,1+AD216))</f>
        <v>0</v>
      </c>
      <c r="AJ216" s="20">
        <f t="shared" si="77"/>
        <v>0</v>
      </c>
      <c r="AK216" s="20">
        <f>AE216*(MAX(0,MIN(AB216,Parámetros!$B$11)-MAX(X216,0))+MAX(0,MIN(AB216,1)-MAX(X216,AD216)))+AF216*(MAX(0,MIN(AB216,1+Parámetros!$B$11)-MAX(X216,1))+MAX(0,MIN(AB216,2)-MAX(X216,1+AD216)))</f>
        <v>0</v>
      </c>
      <c r="AL216" s="20">
        <f t="shared" si="78"/>
        <v>0</v>
      </c>
      <c r="AM216" s="20">
        <f>MAX(0,MIN(AC216,Parámetros!$B$11)-MAX(AB216,0))+MAX(0,MIN(AC216,1+Parámetros!$B$11)-MAX(AB216,AD216))+MAX(0,MIN(AC216,2)-MAX(AB216,1+AD216))</f>
        <v>0</v>
      </c>
      <c r="AN216" s="20">
        <f t="shared" si="79"/>
        <v>0</v>
      </c>
      <c r="AO216" s="20">
        <f>AE216*(MAX(0,MIN(AC216,Parámetros!$B$11)-MAX(AB216,0))+MAX(0,MIN(AC216,1)-MAX(AB216,AD216)))+AF216*(MAX(0,MIN(AC216,1+Parámetros!$B$11)-MAX(AB216,1))+MAX(0,MIN(AC216,2)-MAX(AB216,1+AD216)))</f>
        <v>0</v>
      </c>
    </row>
    <row r="217" spans="1:41" x14ac:dyDescent="0.25">
      <c r="A217" s="15"/>
      <c r="B217" s="8"/>
      <c r="C217" s="5" t="str">
        <f>IF(B217="","",IFERROR(INDEX(Trabajadores!$B$5:$B$204,MATCH(B217,Trabajadores!$A$5:$A$204,0)),"Cédula no registrada"))</f>
        <v/>
      </c>
      <c r="D217" s="11"/>
      <c r="E217" s="11"/>
      <c r="F217" s="8"/>
      <c r="G217" s="18" t="str">
        <f>IF(A217="","",IFERROR(INDEX(Trabajadores!$E$5:$E$204,MATCH(B217,Trabajadores!$A$5:$A$204,0))/Parámetros!$B$6,0)+IF(IFERROR(INDEX(Trabajadores!$E$5:$E$204,MATCH(B217,Trabajadores!$A$5:$A$204,0)),"")="",Parámetros!$B$7,0))</f>
        <v/>
      </c>
      <c r="H217" s="5" t="str">
        <f t="shared" si="60"/>
        <v/>
      </c>
      <c r="I217" s="5" t="str">
        <f>IF(A217="","",IF(COUNTIF(Festivos!$A$5:$A$451,A217)&gt;0,"Festivo",IF(WEEKDAY(A217,2)=7,"Domingo",IF(AND(AF217=1,AC217&gt;1),IF(COUNTIF(Festivos!$A$5:$A$451,A217+1)&gt;0,"Festivo","Domingo")&amp;" desde las 00:00",""))))</f>
        <v/>
      </c>
      <c r="J217" s="19" t="str">
        <f t="shared" si="61"/>
        <v/>
      </c>
      <c r="K217" s="19" t="str">
        <f t="shared" si="62"/>
        <v/>
      </c>
      <c r="L217" s="19" t="str">
        <f t="shared" si="63"/>
        <v/>
      </c>
      <c r="M217" s="19" t="str">
        <f t="shared" si="64"/>
        <v/>
      </c>
      <c r="N217" s="19" t="str">
        <f t="shared" si="65"/>
        <v/>
      </c>
      <c r="O217" s="19" t="str">
        <f t="shared" si="66"/>
        <v/>
      </c>
      <c r="P217" s="19" t="str">
        <f t="shared" si="67"/>
        <v/>
      </c>
      <c r="Q217" s="19" t="str">
        <f t="shared" si="68"/>
        <v/>
      </c>
      <c r="R217" s="19" t="str">
        <f t="shared" si="69"/>
        <v/>
      </c>
      <c r="S217" s="17" t="str">
        <f>IF(B217="","",IFERROR(INDEX(Trabajadores!$G$5:$G$204,MATCH(B217,Trabajadores!$A$5:$A$204,0)),""))</f>
        <v/>
      </c>
      <c r="T217" s="17" t="str">
        <f>IF(OR(OR(A217="",D217="",E217=""),S217=""),"",ROUND(S217*(N(L217)*Parámetros!$B$8+N(M217)*(1+Parámetros!$B$9)+N(N217)*(1+Parámetros!$B$10)+N(O217)*(1+AG217)+N(P217)*(1+AG217+Parámetros!$B$8)+N(Q217)*(1+AG217+Parámetros!$B$9)+N(R217)*(1+AG217+Parámetros!$B$10)),0))</f>
        <v/>
      </c>
      <c r="U217" s="5" t="str">
        <f>IF(OR(A217="",D217="",E217=""),"",IF(N(M217)+N(N217)+N(Q217)+N(R217)&gt;Parámetros!$B$12,"Supera el límite de horas extras diarias",IF(C217="Cédula no registrada","Registre la cédula en «Trabajadores»","")))</f>
        <v/>
      </c>
      <c r="X217" s="20">
        <f t="shared" si="70"/>
        <v>0</v>
      </c>
      <c r="Y217" s="20">
        <f t="shared" si="71"/>
        <v>0</v>
      </c>
      <c r="Z217" s="20">
        <f t="shared" si="72"/>
        <v>0</v>
      </c>
      <c r="AA217" s="20">
        <f t="shared" si="73"/>
        <v>0</v>
      </c>
      <c r="AB217" s="20">
        <f t="shared" si="74"/>
        <v>0</v>
      </c>
      <c r="AC217" s="20">
        <f t="shared" si="75"/>
        <v>0</v>
      </c>
      <c r="AD217" s="20">
        <f>IF(A217="",21/24,MOD(VLOOKUP(A217,Parámetros!$A$24:$B$25,2,TRUE()),1))</f>
        <v>0.875</v>
      </c>
      <c r="AE217" s="5">
        <f>IF(A217="",0,IF(OR(WEEKDAY(A217,2)=7,COUNTIF(Festivos!$A$5:$A$451,A217)&gt;0),1,0))</f>
        <v>0</v>
      </c>
      <c r="AF217" s="5">
        <f>IF(A217="",0,IF(OR(WEEKDAY(A217+1,2)=7,COUNTIF(Festivos!$A$5:$A$451,A217+1)&gt;0),1,0))</f>
        <v>0</v>
      </c>
      <c r="AG217" s="9">
        <f>IF(A217="",0,VLOOKUP(A217,Parámetros!$A$18:$B$21,2,TRUE()))</f>
        <v>0</v>
      </c>
      <c r="AH217" s="20">
        <f t="shared" si="76"/>
        <v>0</v>
      </c>
      <c r="AI217" s="20">
        <f>MAX(0,MIN(AB217,Parámetros!$B$11)-MAX(X217,0))+MAX(0,MIN(AB217,1+Parámetros!$B$11)-MAX(X217,AD217))+MAX(0,MIN(AB217,2)-MAX(X217,1+AD217))</f>
        <v>0</v>
      </c>
      <c r="AJ217" s="20">
        <f t="shared" si="77"/>
        <v>0</v>
      </c>
      <c r="AK217" s="20">
        <f>AE217*(MAX(0,MIN(AB217,Parámetros!$B$11)-MAX(X217,0))+MAX(0,MIN(AB217,1)-MAX(X217,AD217)))+AF217*(MAX(0,MIN(AB217,1+Parámetros!$B$11)-MAX(X217,1))+MAX(0,MIN(AB217,2)-MAX(X217,1+AD217)))</f>
        <v>0</v>
      </c>
      <c r="AL217" s="20">
        <f t="shared" si="78"/>
        <v>0</v>
      </c>
      <c r="AM217" s="20">
        <f>MAX(0,MIN(AC217,Parámetros!$B$11)-MAX(AB217,0))+MAX(0,MIN(AC217,1+Parámetros!$B$11)-MAX(AB217,AD217))+MAX(0,MIN(AC217,2)-MAX(AB217,1+AD217))</f>
        <v>0</v>
      </c>
      <c r="AN217" s="20">
        <f t="shared" si="79"/>
        <v>0</v>
      </c>
      <c r="AO217" s="20">
        <f>AE217*(MAX(0,MIN(AC217,Parámetros!$B$11)-MAX(AB217,0))+MAX(0,MIN(AC217,1)-MAX(AB217,AD217)))+AF217*(MAX(0,MIN(AC217,1+Parámetros!$B$11)-MAX(AB217,1))+MAX(0,MIN(AC217,2)-MAX(AB217,1+AD217)))</f>
        <v>0</v>
      </c>
    </row>
    <row r="218" spans="1:41" x14ac:dyDescent="0.25">
      <c r="A218" s="15"/>
      <c r="B218" s="8"/>
      <c r="C218" s="5" t="str">
        <f>IF(B218="","",IFERROR(INDEX(Trabajadores!$B$5:$B$204,MATCH(B218,Trabajadores!$A$5:$A$204,0)),"Cédula no registrada"))</f>
        <v/>
      </c>
      <c r="D218" s="11"/>
      <c r="E218" s="11"/>
      <c r="F218" s="8"/>
      <c r="G218" s="18" t="str">
        <f>IF(A218="","",IFERROR(INDEX(Trabajadores!$E$5:$E$204,MATCH(B218,Trabajadores!$A$5:$A$204,0))/Parámetros!$B$6,0)+IF(IFERROR(INDEX(Trabajadores!$E$5:$E$204,MATCH(B218,Trabajadores!$A$5:$A$204,0)),"")="",Parámetros!$B$7,0))</f>
        <v/>
      </c>
      <c r="H218" s="5" t="str">
        <f t="shared" si="60"/>
        <v/>
      </c>
      <c r="I218" s="5" t="str">
        <f>IF(A218="","",IF(COUNTIF(Festivos!$A$5:$A$451,A218)&gt;0,"Festivo",IF(WEEKDAY(A218,2)=7,"Domingo",IF(AND(AF218=1,AC218&gt;1),IF(COUNTIF(Festivos!$A$5:$A$451,A218+1)&gt;0,"Festivo","Domingo")&amp;" desde las 00:00",""))))</f>
        <v/>
      </c>
      <c r="J218" s="19" t="str">
        <f t="shared" si="61"/>
        <v/>
      </c>
      <c r="K218" s="19" t="str">
        <f t="shared" si="62"/>
        <v/>
      </c>
      <c r="L218" s="19" t="str">
        <f t="shared" si="63"/>
        <v/>
      </c>
      <c r="M218" s="19" t="str">
        <f t="shared" si="64"/>
        <v/>
      </c>
      <c r="N218" s="19" t="str">
        <f t="shared" si="65"/>
        <v/>
      </c>
      <c r="O218" s="19" t="str">
        <f t="shared" si="66"/>
        <v/>
      </c>
      <c r="P218" s="19" t="str">
        <f t="shared" si="67"/>
        <v/>
      </c>
      <c r="Q218" s="19" t="str">
        <f t="shared" si="68"/>
        <v/>
      </c>
      <c r="R218" s="19" t="str">
        <f t="shared" si="69"/>
        <v/>
      </c>
      <c r="S218" s="17" t="str">
        <f>IF(B218="","",IFERROR(INDEX(Trabajadores!$G$5:$G$204,MATCH(B218,Trabajadores!$A$5:$A$204,0)),""))</f>
        <v/>
      </c>
      <c r="T218" s="17" t="str">
        <f>IF(OR(OR(A218="",D218="",E218=""),S218=""),"",ROUND(S218*(N(L218)*Parámetros!$B$8+N(M218)*(1+Parámetros!$B$9)+N(N218)*(1+Parámetros!$B$10)+N(O218)*(1+AG218)+N(P218)*(1+AG218+Parámetros!$B$8)+N(Q218)*(1+AG218+Parámetros!$B$9)+N(R218)*(1+AG218+Parámetros!$B$10)),0))</f>
        <v/>
      </c>
      <c r="U218" s="5" t="str">
        <f>IF(OR(A218="",D218="",E218=""),"",IF(N(M218)+N(N218)+N(Q218)+N(R218)&gt;Parámetros!$B$12,"Supera el límite de horas extras diarias",IF(C218="Cédula no registrada","Registre la cédula en «Trabajadores»","")))</f>
        <v/>
      </c>
      <c r="X218" s="20">
        <f t="shared" si="70"/>
        <v>0</v>
      </c>
      <c r="Y218" s="20">
        <f t="shared" si="71"/>
        <v>0</v>
      </c>
      <c r="Z218" s="20">
        <f t="shared" si="72"/>
        <v>0</v>
      </c>
      <c r="AA218" s="20">
        <f t="shared" si="73"/>
        <v>0</v>
      </c>
      <c r="AB218" s="20">
        <f t="shared" si="74"/>
        <v>0</v>
      </c>
      <c r="AC218" s="20">
        <f t="shared" si="75"/>
        <v>0</v>
      </c>
      <c r="AD218" s="20">
        <f>IF(A218="",21/24,MOD(VLOOKUP(A218,Parámetros!$A$24:$B$25,2,TRUE()),1))</f>
        <v>0.875</v>
      </c>
      <c r="AE218" s="5">
        <f>IF(A218="",0,IF(OR(WEEKDAY(A218,2)=7,COUNTIF(Festivos!$A$5:$A$451,A218)&gt;0),1,0))</f>
        <v>0</v>
      </c>
      <c r="AF218" s="5">
        <f>IF(A218="",0,IF(OR(WEEKDAY(A218+1,2)=7,COUNTIF(Festivos!$A$5:$A$451,A218+1)&gt;0),1,0))</f>
        <v>0</v>
      </c>
      <c r="AG218" s="9">
        <f>IF(A218="",0,VLOOKUP(A218,Parámetros!$A$18:$B$21,2,TRUE()))</f>
        <v>0</v>
      </c>
      <c r="AH218" s="20">
        <f t="shared" si="76"/>
        <v>0</v>
      </c>
      <c r="AI218" s="20">
        <f>MAX(0,MIN(AB218,Parámetros!$B$11)-MAX(X218,0))+MAX(0,MIN(AB218,1+Parámetros!$B$11)-MAX(X218,AD218))+MAX(0,MIN(AB218,2)-MAX(X218,1+AD218))</f>
        <v>0</v>
      </c>
      <c r="AJ218" s="20">
        <f t="shared" si="77"/>
        <v>0</v>
      </c>
      <c r="AK218" s="20">
        <f>AE218*(MAX(0,MIN(AB218,Parámetros!$B$11)-MAX(X218,0))+MAX(0,MIN(AB218,1)-MAX(X218,AD218)))+AF218*(MAX(0,MIN(AB218,1+Parámetros!$B$11)-MAX(X218,1))+MAX(0,MIN(AB218,2)-MAX(X218,1+AD218)))</f>
        <v>0</v>
      </c>
      <c r="AL218" s="20">
        <f t="shared" si="78"/>
        <v>0</v>
      </c>
      <c r="AM218" s="20">
        <f>MAX(0,MIN(AC218,Parámetros!$B$11)-MAX(AB218,0))+MAX(0,MIN(AC218,1+Parámetros!$B$11)-MAX(AB218,AD218))+MAX(0,MIN(AC218,2)-MAX(AB218,1+AD218))</f>
        <v>0</v>
      </c>
      <c r="AN218" s="20">
        <f t="shared" si="79"/>
        <v>0</v>
      </c>
      <c r="AO218" s="20">
        <f>AE218*(MAX(0,MIN(AC218,Parámetros!$B$11)-MAX(AB218,0))+MAX(0,MIN(AC218,1)-MAX(AB218,AD218)))+AF218*(MAX(0,MIN(AC218,1+Parámetros!$B$11)-MAX(AB218,1))+MAX(0,MIN(AC218,2)-MAX(AB218,1+AD218)))</f>
        <v>0</v>
      </c>
    </row>
    <row r="219" spans="1:41" x14ac:dyDescent="0.25">
      <c r="A219" s="15"/>
      <c r="B219" s="8"/>
      <c r="C219" s="5" t="str">
        <f>IF(B219="","",IFERROR(INDEX(Trabajadores!$B$5:$B$204,MATCH(B219,Trabajadores!$A$5:$A$204,0)),"Cédula no registrada"))</f>
        <v/>
      </c>
      <c r="D219" s="11"/>
      <c r="E219" s="11"/>
      <c r="F219" s="8"/>
      <c r="G219" s="18" t="str">
        <f>IF(A219="","",IFERROR(INDEX(Trabajadores!$E$5:$E$204,MATCH(B219,Trabajadores!$A$5:$A$204,0))/Parámetros!$B$6,0)+IF(IFERROR(INDEX(Trabajadores!$E$5:$E$204,MATCH(B219,Trabajadores!$A$5:$A$204,0)),"")="",Parámetros!$B$7,0))</f>
        <v/>
      </c>
      <c r="H219" s="5" t="str">
        <f t="shared" si="60"/>
        <v/>
      </c>
      <c r="I219" s="5" t="str">
        <f>IF(A219="","",IF(COUNTIF(Festivos!$A$5:$A$451,A219)&gt;0,"Festivo",IF(WEEKDAY(A219,2)=7,"Domingo",IF(AND(AF219=1,AC219&gt;1),IF(COUNTIF(Festivos!$A$5:$A$451,A219+1)&gt;0,"Festivo","Domingo")&amp;" desde las 00:00",""))))</f>
        <v/>
      </c>
      <c r="J219" s="19" t="str">
        <f t="shared" si="61"/>
        <v/>
      </c>
      <c r="K219" s="19" t="str">
        <f t="shared" si="62"/>
        <v/>
      </c>
      <c r="L219" s="19" t="str">
        <f t="shared" si="63"/>
        <v/>
      </c>
      <c r="M219" s="19" t="str">
        <f t="shared" si="64"/>
        <v/>
      </c>
      <c r="N219" s="19" t="str">
        <f t="shared" si="65"/>
        <v/>
      </c>
      <c r="O219" s="19" t="str">
        <f t="shared" si="66"/>
        <v/>
      </c>
      <c r="P219" s="19" t="str">
        <f t="shared" si="67"/>
        <v/>
      </c>
      <c r="Q219" s="19" t="str">
        <f t="shared" si="68"/>
        <v/>
      </c>
      <c r="R219" s="19" t="str">
        <f t="shared" si="69"/>
        <v/>
      </c>
      <c r="S219" s="17" t="str">
        <f>IF(B219="","",IFERROR(INDEX(Trabajadores!$G$5:$G$204,MATCH(B219,Trabajadores!$A$5:$A$204,0)),""))</f>
        <v/>
      </c>
      <c r="T219" s="17" t="str">
        <f>IF(OR(OR(A219="",D219="",E219=""),S219=""),"",ROUND(S219*(N(L219)*Parámetros!$B$8+N(M219)*(1+Parámetros!$B$9)+N(N219)*(1+Parámetros!$B$10)+N(O219)*(1+AG219)+N(P219)*(1+AG219+Parámetros!$B$8)+N(Q219)*(1+AG219+Parámetros!$B$9)+N(R219)*(1+AG219+Parámetros!$B$10)),0))</f>
        <v/>
      </c>
      <c r="U219" s="5" t="str">
        <f>IF(OR(A219="",D219="",E219=""),"",IF(N(M219)+N(N219)+N(Q219)+N(R219)&gt;Parámetros!$B$12,"Supera el límite de horas extras diarias",IF(C219="Cédula no registrada","Registre la cédula en «Trabajadores»","")))</f>
        <v/>
      </c>
      <c r="X219" s="20">
        <f t="shared" si="70"/>
        <v>0</v>
      </c>
      <c r="Y219" s="20">
        <f t="shared" si="71"/>
        <v>0</v>
      </c>
      <c r="Z219" s="20">
        <f t="shared" si="72"/>
        <v>0</v>
      </c>
      <c r="AA219" s="20">
        <f t="shared" si="73"/>
        <v>0</v>
      </c>
      <c r="AB219" s="20">
        <f t="shared" si="74"/>
        <v>0</v>
      </c>
      <c r="AC219" s="20">
        <f t="shared" si="75"/>
        <v>0</v>
      </c>
      <c r="AD219" s="20">
        <f>IF(A219="",21/24,MOD(VLOOKUP(A219,Parámetros!$A$24:$B$25,2,TRUE()),1))</f>
        <v>0.875</v>
      </c>
      <c r="AE219" s="5">
        <f>IF(A219="",0,IF(OR(WEEKDAY(A219,2)=7,COUNTIF(Festivos!$A$5:$A$451,A219)&gt;0),1,0))</f>
        <v>0</v>
      </c>
      <c r="AF219" s="5">
        <f>IF(A219="",0,IF(OR(WEEKDAY(A219+1,2)=7,COUNTIF(Festivos!$A$5:$A$451,A219+1)&gt;0),1,0))</f>
        <v>0</v>
      </c>
      <c r="AG219" s="9">
        <f>IF(A219="",0,VLOOKUP(A219,Parámetros!$A$18:$B$21,2,TRUE()))</f>
        <v>0</v>
      </c>
      <c r="AH219" s="20">
        <f t="shared" si="76"/>
        <v>0</v>
      </c>
      <c r="AI219" s="20">
        <f>MAX(0,MIN(AB219,Parámetros!$B$11)-MAX(X219,0))+MAX(0,MIN(AB219,1+Parámetros!$B$11)-MAX(X219,AD219))+MAX(0,MIN(AB219,2)-MAX(X219,1+AD219))</f>
        <v>0</v>
      </c>
      <c r="AJ219" s="20">
        <f t="shared" si="77"/>
        <v>0</v>
      </c>
      <c r="AK219" s="20">
        <f>AE219*(MAX(0,MIN(AB219,Parámetros!$B$11)-MAX(X219,0))+MAX(0,MIN(AB219,1)-MAX(X219,AD219)))+AF219*(MAX(0,MIN(AB219,1+Parámetros!$B$11)-MAX(X219,1))+MAX(0,MIN(AB219,2)-MAX(X219,1+AD219)))</f>
        <v>0</v>
      </c>
      <c r="AL219" s="20">
        <f t="shared" si="78"/>
        <v>0</v>
      </c>
      <c r="AM219" s="20">
        <f>MAX(0,MIN(AC219,Parámetros!$B$11)-MAX(AB219,0))+MAX(0,MIN(AC219,1+Parámetros!$B$11)-MAX(AB219,AD219))+MAX(0,MIN(AC219,2)-MAX(AB219,1+AD219))</f>
        <v>0</v>
      </c>
      <c r="AN219" s="20">
        <f t="shared" si="79"/>
        <v>0</v>
      </c>
      <c r="AO219" s="20">
        <f>AE219*(MAX(0,MIN(AC219,Parámetros!$B$11)-MAX(AB219,0))+MAX(0,MIN(AC219,1)-MAX(AB219,AD219)))+AF219*(MAX(0,MIN(AC219,1+Parámetros!$B$11)-MAX(AB219,1))+MAX(0,MIN(AC219,2)-MAX(AB219,1+AD219)))</f>
        <v>0</v>
      </c>
    </row>
    <row r="220" spans="1:41" x14ac:dyDescent="0.25">
      <c r="A220" s="15"/>
      <c r="B220" s="8"/>
      <c r="C220" s="5" t="str">
        <f>IF(B220="","",IFERROR(INDEX(Trabajadores!$B$5:$B$204,MATCH(B220,Trabajadores!$A$5:$A$204,0)),"Cédula no registrada"))</f>
        <v/>
      </c>
      <c r="D220" s="11"/>
      <c r="E220" s="11"/>
      <c r="F220" s="8"/>
      <c r="G220" s="18" t="str">
        <f>IF(A220="","",IFERROR(INDEX(Trabajadores!$E$5:$E$204,MATCH(B220,Trabajadores!$A$5:$A$204,0))/Parámetros!$B$6,0)+IF(IFERROR(INDEX(Trabajadores!$E$5:$E$204,MATCH(B220,Trabajadores!$A$5:$A$204,0)),"")="",Parámetros!$B$7,0))</f>
        <v/>
      </c>
      <c r="H220" s="5" t="str">
        <f t="shared" si="60"/>
        <v/>
      </c>
      <c r="I220" s="5" t="str">
        <f>IF(A220="","",IF(COUNTIF(Festivos!$A$5:$A$451,A220)&gt;0,"Festivo",IF(WEEKDAY(A220,2)=7,"Domingo",IF(AND(AF220=1,AC220&gt;1),IF(COUNTIF(Festivos!$A$5:$A$451,A220+1)&gt;0,"Festivo","Domingo")&amp;" desde las 00:00",""))))</f>
        <v/>
      </c>
      <c r="J220" s="19" t="str">
        <f t="shared" si="61"/>
        <v/>
      </c>
      <c r="K220" s="19" t="str">
        <f t="shared" si="62"/>
        <v/>
      </c>
      <c r="L220" s="19" t="str">
        <f t="shared" si="63"/>
        <v/>
      </c>
      <c r="M220" s="19" t="str">
        <f t="shared" si="64"/>
        <v/>
      </c>
      <c r="N220" s="19" t="str">
        <f t="shared" si="65"/>
        <v/>
      </c>
      <c r="O220" s="19" t="str">
        <f t="shared" si="66"/>
        <v/>
      </c>
      <c r="P220" s="19" t="str">
        <f t="shared" si="67"/>
        <v/>
      </c>
      <c r="Q220" s="19" t="str">
        <f t="shared" si="68"/>
        <v/>
      </c>
      <c r="R220" s="19" t="str">
        <f t="shared" si="69"/>
        <v/>
      </c>
      <c r="S220" s="17" t="str">
        <f>IF(B220="","",IFERROR(INDEX(Trabajadores!$G$5:$G$204,MATCH(B220,Trabajadores!$A$5:$A$204,0)),""))</f>
        <v/>
      </c>
      <c r="T220" s="17" t="str">
        <f>IF(OR(OR(A220="",D220="",E220=""),S220=""),"",ROUND(S220*(N(L220)*Parámetros!$B$8+N(M220)*(1+Parámetros!$B$9)+N(N220)*(1+Parámetros!$B$10)+N(O220)*(1+AG220)+N(P220)*(1+AG220+Parámetros!$B$8)+N(Q220)*(1+AG220+Parámetros!$B$9)+N(R220)*(1+AG220+Parámetros!$B$10)),0))</f>
        <v/>
      </c>
      <c r="U220" s="5" t="str">
        <f>IF(OR(A220="",D220="",E220=""),"",IF(N(M220)+N(N220)+N(Q220)+N(R220)&gt;Parámetros!$B$12,"Supera el límite de horas extras diarias",IF(C220="Cédula no registrada","Registre la cédula en «Trabajadores»","")))</f>
        <v/>
      </c>
      <c r="X220" s="20">
        <f t="shared" si="70"/>
        <v>0</v>
      </c>
      <c r="Y220" s="20">
        <f t="shared" si="71"/>
        <v>0</v>
      </c>
      <c r="Z220" s="20">
        <f t="shared" si="72"/>
        <v>0</v>
      </c>
      <c r="AA220" s="20">
        <f t="shared" si="73"/>
        <v>0</v>
      </c>
      <c r="AB220" s="20">
        <f t="shared" si="74"/>
        <v>0</v>
      </c>
      <c r="AC220" s="20">
        <f t="shared" si="75"/>
        <v>0</v>
      </c>
      <c r="AD220" s="20">
        <f>IF(A220="",21/24,MOD(VLOOKUP(A220,Parámetros!$A$24:$B$25,2,TRUE()),1))</f>
        <v>0.875</v>
      </c>
      <c r="AE220" s="5">
        <f>IF(A220="",0,IF(OR(WEEKDAY(A220,2)=7,COUNTIF(Festivos!$A$5:$A$451,A220)&gt;0),1,0))</f>
        <v>0</v>
      </c>
      <c r="AF220" s="5">
        <f>IF(A220="",0,IF(OR(WEEKDAY(A220+1,2)=7,COUNTIF(Festivos!$A$5:$A$451,A220+1)&gt;0),1,0))</f>
        <v>0</v>
      </c>
      <c r="AG220" s="9">
        <f>IF(A220="",0,VLOOKUP(A220,Parámetros!$A$18:$B$21,2,TRUE()))</f>
        <v>0</v>
      </c>
      <c r="AH220" s="20">
        <f t="shared" si="76"/>
        <v>0</v>
      </c>
      <c r="AI220" s="20">
        <f>MAX(0,MIN(AB220,Parámetros!$B$11)-MAX(X220,0))+MAX(0,MIN(AB220,1+Parámetros!$B$11)-MAX(X220,AD220))+MAX(0,MIN(AB220,2)-MAX(X220,1+AD220))</f>
        <v>0</v>
      </c>
      <c r="AJ220" s="20">
        <f t="shared" si="77"/>
        <v>0</v>
      </c>
      <c r="AK220" s="20">
        <f>AE220*(MAX(0,MIN(AB220,Parámetros!$B$11)-MAX(X220,0))+MAX(0,MIN(AB220,1)-MAX(X220,AD220)))+AF220*(MAX(0,MIN(AB220,1+Parámetros!$B$11)-MAX(X220,1))+MAX(0,MIN(AB220,2)-MAX(X220,1+AD220)))</f>
        <v>0</v>
      </c>
      <c r="AL220" s="20">
        <f t="shared" si="78"/>
        <v>0</v>
      </c>
      <c r="AM220" s="20">
        <f>MAX(0,MIN(AC220,Parámetros!$B$11)-MAX(AB220,0))+MAX(0,MIN(AC220,1+Parámetros!$B$11)-MAX(AB220,AD220))+MAX(0,MIN(AC220,2)-MAX(AB220,1+AD220))</f>
        <v>0</v>
      </c>
      <c r="AN220" s="20">
        <f t="shared" si="79"/>
        <v>0</v>
      </c>
      <c r="AO220" s="20">
        <f>AE220*(MAX(0,MIN(AC220,Parámetros!$B$11)-MAX(AB220,0))+MAX(0,MIN(AC220,1)-MAX(AB220,AD220)))+AF220*(MAX(0,MIN(AC220,1+Parámetros!$B$11)-MAX(AB220,1))+MAX(0,MIN(AC220,2)-MAX(AB220,1+AD220)))</f>
        <v>0</v>
      </c>
    </row>
    <row r="221" spans="1:41" x14ac:dyDescent="0.25">
      <c r="A221" s="15"/>
      <c r="B221" s="8"/>
      <c r="C221" s="5" t="str">
        <f>IF(B221="","",IFERROR(INDEX(Trabajadores!$B$5:$B$204,MATCH(B221,Trabajadores!$A$5:$A$204,0)),"Cédula no registrada"))</f>
        <v/>
      </c>
      <c r="D221" s="11"/>
      <c r="E221" s="11"/>
      <c r="F221" s="8"/>
      <c r="G221" s="18" t="str">
        <f>IF(A221="","",IFERROR(INDEX(Trabajadores!$E$5:$E$204,MATCH(B221,Trabajadores!$A$5:$A$204,0))/Parámetros!$B$6,0)+IF(IFERROR(INDEX(Trabajadores!$E$5:$E$204,MATCH(B221,Trabajadores!$A$5:$A$204,0)),"")="",Parámetros!$B$7,0))</f>
        <v/>
      </c>
      <c r="H221" s="5" t="str">
        <f t="shared" si="60"/>
        <v/>
      </c>
      <c r="I221" s="5" t="str">
        <f>IF(A221="","",IF(COUNTIF(Festivos!$A$5:$A$451,A221)&gt;0,"Festivo",IF(WEEKDAY(A221,2)=7,"Domingo",IF(AND(AF221=1,AC221&gt;1),IF(COUNTIF(Festivos!$A$5:$A$451,A221+1)&gt;0,"Festivo","Domingo")&amp;" desde las 00:00",""))))</f>
        <v/>
      </c>
      <c r="J221" s="19" t="str">
        <f t="shared" si="61"/>
        <v/>
      </c>
      <c r="K221" s="19" t="str">
        <f t="shared" si="62"/>
        <v/>
      </c>
      <c r="L221" s="19" t="str">
        <f t="shared" si="63"/>
        <v/>
      </c>
      <c r="M221" s="19" t="str">
        <f t="shared" si="64"/>
        <v/>
      </c>
      <c r="N221" s="19" t="str">
        <f t="shared" si="65"/>
        <v/>
      </c>
      <c r="O221" s="19" t="str">
        <f t="shared" si="66"/>
        <v/>
      </c>
      <c r="P221" s="19" t="str">
        <f t="shared" si="67"/>
        <v/>
      </c>
      <c r="Q221" s="19" t="str">
        <f t="shared" si="68"/>
        <v/>
      </c>
      <c r="R221" s="19" t="str">
        <f t="shared" si="69"/>
        <v/>
      </c>
      <c r="S221" s="17" t="str">
        <f>IF(B221="","",IFERROR(INDEX(Trabajadores!$G$5:$G$204,MATCH(B221,Trabajadores!$A$5:$A$204,0)),""))</f>
        <v/>
      </c>
      <c r="T221" s="17" t="str">
        <f>IF(OR(OR(A221="",D221="",E221=""),S221=""),"",ROUND(S221*(N(L221)*Parámetros!$B$8+N(M221)*(1+Parámetros!$B$9)+N(N221)*(1+Parámetros!$B$10)+N(O221)*(1+AG221)+N(P221)*(1+AG221+Parámetros!$B$8)+N(Q221)*(1+AG221+Parámetros!$B$9)+N(R221)*(1+AG221+Parámetros!$B$10)),0))</f>
        <v/>
      </c>
      <c r="U221" s="5" t="str">
        <f>IF(OR(A221="",D221="",E221=""),"",IF(N(M221)+N(N221)+N(Q221)+N(R221)&gt;Parámetros!$B$12,"Supera el límite de horas extras diarias",IF(C221="Cédula no registrada","Registre la cédula en «Trabajadores»","")))</f>
        <v/>
      </c>
      <c r="X221" s="20">
        <f t="shared" si="70"/>
        <v>0</v>
      </c>
      <c r="Y221" s="20">
        <f t="shared" si="71"/>
        <v>0</v>
      </c>
      <c r="Z221" s="20">
        <f t="shared" si="72"/>
        <v>0</v>
      </c>
      <c r="AA221" s="20">
        <f t="shared" si="73"/>
        <v>0</v>
      </c>
      <c r="AB221" s="20">
        <f t="shared" si="74"/>
        <v>0</v>
      </c>
      <c r="AC221" s="20">
        <f t="shared" si="75"/>
        <v>0</v>
      </c>
      <c r="AD221" s="20">
        <f>IF(A221="",21/24,MOD(VLOOKUP(A221,Parámetros!$A$24:$B$25,2,TRUE()),1))</f>
        <v>0.875</v>
      </c>
      <c r="AE221" s="5">
        <f>IF(A221="",0,IF(OR(WEEKDAY(A221,2)=7,COUNTIF(Festivos!$A$5:$A$451,A221)&gt;0),1,0))</f>
        <v>0</v>
      </c>
      <c r="AF221" s="5">
        <f>IF(A221="",0,IF(OR(WEEKDAY(A221+1,2)=7,COUNTIF(Festivos!$A$5:$A$451,A221+1)&gt;0),1,0))</f>
        <v>0</v>
      </c>
      <c r="AG221" s="9">
        <f>IF(A221="",0,VLOOKUP(A221,Parámetros!$A$18:$B$21,2,TRUE()))</f>
        <v>0</v>
      </c>
      <c r="AH221" s="20">
        <f t="shared" si="76"/>
        <v>0</v>
      </c>
      <c r="AI221" s="20">
        <f>MAX(0,MIN(AB221,Parámetros!$B$11)-MAX(X221,0))+MAX(0,MIN(AB221,1+Parámetros!$B$11)-MAX(X221,AD221))+MAX(0,MIN(AB221,2)-MAX(X221,1+AD221))</f>
        <v>0</v>
      </c>
      <c r="AJ221" s="20">
        <f t="shared" si="77"/>
        <v>0</v>
      </c>
      <c r="AK221" s="20">
        <f>AE221*(MAX(0,MIN(AB221,Parámetros!$B$11)-MAX(X221,0))+MAX(0,MIN(AB221,1)-MAX(X221,AD221)))+AF221*(MAX(0,MIN(AB221,1+Parámetros!$B$11)-MAX(X221,1))+MAX(0,MIN(AB221,2)-MAX(X221,1+AD221)))</f>
        <v>0</v>
      </c>
      <c r="AL221" s="20">
        <f t="shared" si="78"/>
        <v>0</v>
      </c>
      <c r="AM221" s="20">
        <f>MAX(0,MIN(AC221,Parámetros!$B$11)-MAX(AB221,0))+MAX(0,MIN(AC221,1+Parámetros!$B$11)-MAX(AB221,AD221))+MAX(0,MIN(AC221,2)-MAX(AB221,1+AD221))</f>
        <v>0</v>
      </c>
      <c r="AN221" s="20">
        <f t="shared" si="79"/>
        <v>0</v>
      </c>
      <c r="AO221" s="20">
        <f>AE221*(MAX(0,MIN(AC221,Parámetros!$B$11)-MAX(AB221,0))+MAX(0,MIN(AC221,1)-MAX(AB221,AD221)))+AF221*(MAX(0,MIN(AC221,1+Parámetros!$B$11)-MAX(AB221,1))+MAX(0,MIN(AC221,2)-MAX(AB221,1+AD221)))</f>
        <v>0</v>
      </c>
    </row>
    <row r="222" spans="1:41" x14ac:dyDescent="0.25">
      <c r="A222" s="15"/>
      <c r="B222" s="8"/>
      <c r="C222" s="5" t="str">
        <f>IF(B222="","",IFERROR(INDEX(Trabajadores!$B$5:$B$204,MATCH(B222,Trabajadores!$A$5:$A$204,0)),"Cédula no registrada"))</f>
        <v/>
      </c>
      <c r="D222" s="11"/>
      <c r="E222" s="11"/>
      <c r="F222" s="8"/>
      <c r="G222" s="18" t="str">
        <f>IF(A222="","",IFERROR(INDEX(Trabajadores!$E$5:$E$204,MATCH(B222,Trabajadores!$A$5:$A$204,0))/Parámetros!$B$6,0)+IF(IFERROR(INDEX(Trabajadores!$E$5:$E$204,MATCH(B222,Trabajadores!$A$5:$A$204,0)),"")="",Parámetros!$B$7,0))</f>
        <v/>
      </c>
      <c r="H222" s="5" t="str">
        <f t="shared" si="60"/>
        <v/>
      </c>
      <c r="I222" s="5" t="str">
        <f>IF(A222="","",IF(COUNTIF(Festivos!$A$5:$A$451,A222)&gt;0,"Festivo",IF(WEEKDAY(A222,2)=7,"Domingo",IF(AND(AF222=1,AC222&gt;1),IF(COUNTIF(Festivos!$A$5:$A$451,A222+1)&gt;0,"Festivo","Domingo")&amp;" desde las 00:00",""))))</f>
        <v/>
      </c>
      <c r="J222" s="19" t="str">
        <f t="shared" si="61"/>
        <v/>
      </c>
      <c r="K222" s="19" t="str">
        <f t="shared" si="62"/>
        <v/>
      </c>
      <c r="L222" s="19" t="str">
        <f t="shared" si="63"/>
        <v/>
      </c>
      <c r="M222" s="19" t="str">
        <f t="shared" si="64"/>
        <v/>
      </c>
      <c r="N222" s="19" t="str">
        <f t="shared" si="65"/>
        <v/>
      </c>
      <c r="O222" s="19" t="str">
        <f t="shared" si="66"/>
        <v/>
      </c>
      <c r="P222" s="19" t="str">
        <f t="shared" si="67"/>
        <v/>
      </c>
      <c r="Q222" s="19" t="str">
        <f t="shared" si="68"/>
        <v/>
      </c>
      <c r="R222" s="19" t="str">
        <f t="shared" si="69"/>
        <v/>
      </c>
      <c r="S222" s="17" t="str">
        <f>IF(B222="","",IFERROR(INDEX(Trabajadores!$G$5:$G$204,MATCH(B222,Trabajadores!$A$5:$A$204,0)),""))</f>
        <v/>
      </c>
      <c r="T222" s="17" t="str">
        <f>IF(OR(OR(A222="",D222="",E222=""),S222=""),"",ROUND(S222*(N(L222)*Parámetros!$B$8+N(M222)*(1+Parámetros!$B$9)+N(N222)*(1+Parámetros!$B$10)+N(O222)*(1+AG222)+N(P222)*(1+AG222+Parámetros!$B$8)+N(Q222)*(1+AG222+Parámetros!$B$9)+N(R222)*(1+AG222+Parámetros!$B$10)),0))</f>
        <v/>
      </c>
      <c r="U222" s="5" t="str">
        <f>IF(OR(A222="",D222="",E222=""),"",IF(N(M222)+N(N222)+N(Q222)+N(R222)&gt;Parámetros!$B$12,"Supera el límite de horas extras diarias",IF(C222="Cédula no registrada","Registre la cédula en «Trabajadores»","")))</f>
        <v/>
      </c>
      <c r="X222" s="20">
        <f t="shared" si="70"/>
        <v>0</v>
      </c>
      <c r="Y222" s="20">
        <f t="shared" si="71"/>
        <v>0</v>
      </c>
      <c r="Z222" s="20">
        <f t="shared" si="72"/>
        <v>0</v>
      </c>
      <c r="AA222" s="20">
        <f t="shared" si="73"/>
        <v>0</v>
      </c>
      <c r="AB222" s="20">
        <f t="shared" si="74"/>
        <v>0</v>
      </c>
      <c r="AC222" s="20">
        <f t="shared" si="75"/>
        <v>0</v>
      </c>
      <c r="AD222" s="20">
        <f>IF(A222="",21/24,MOD(VLOOKUP(A222,Parámetros!$A$24:$B$25,2,TRUE()),1))</f>
        <v>0.875</v>
      </c>
      <c r="AE222" s="5">
        <f>IF(A222="",0,IF(OR(WEEKDAY(A222,2)=7,COUNTIF(Festivos!$A$5:$A$451,A222)&gt;0),1,0))</f>
        <v>0</v>
      </c>
      <c r="AF222" s="5">
        <f>IF(A222="",0,IF(OR(WEEKDAY(A222+1,2)=7,COUNTIF(Festivos!$A$5:$A$451,A222+1)&gt;0),1,0))</f>
        <v>0</v>
      </c>
      <c r="AG222" s="9">
        <f>IF(A222="",0,VLOOKUP(A222,Parámetros!$A$18:$B$21,2,TRUE()))</f>
        <v>0</v>
      </c>
      <c r="AH222" s="20">
        <f t="shared" si="76"/>
        <v>0</v>
      </c>
      <c r="AI222" s="20">
        <f>MAX(0,MIN(AB222,Parámetros!$B$11)-MAX(X222,0))+MAX(0,MIN(AB222,1+Parámetros!$B$11)-MAX(X222,AD222))+MAX(0,MIN(AB222,2)-MAX(X222,1+AD222))</f>
        <v>0</v>
      </c>
      <c r="AJ222" s="20">
        <f t="shared" si="77"/>
        <v>0</v>
      </c>
      <c r="AK222" s="20">
        <f>AE222*(MAX(0,MIN(AB222,Parámetros!$B$11)-MAX(X222,0))+MAX(0,MIN(AB222,1)-MAX(X222,AD222)))+AF222*(MAX(0,MIN(AB222,1+Parámetros!$B$11)-MAX(X222,1))+MAX(0,MIN(AB222,2)-MAX(X222,1+AD222)))</f>
        <v>0</v>
      </c>
      <c r="AL222" s="20">
        <f t="shared" si="78"/>
        <v>0</v>
      </c>
      <c r="AM222" s="20">
        <f>MAX(0,MIN(AC222,Parámetros!$B$11)-MAX(AB222,0))+MAX(0,MIN(AC222,1+Parámetros!$B$11)-MAX(AB222,AD222))+MAX(0,MIN(AC222,2)-MAX(AB222,1+AD222))</f>
        <v>0</v>
      </c>
      <c r="AN222" s="20">
        <f t="shared" si="79"/>
        <v>0</v>
      </c>
      <c r="AO222" s="20">
        <f>AE222*(MAX(0,MIN(AC222,Parámetros!$B$11)-MAX(AB222,0))+MAX(0,MIN(AC222,1)-MAX(AB222,AD222)))+AF222*(MAX(0,MIN(AC222,1+Parámetros!$B$11)-MAX(AB222,1))+MAX(0,MIN(AC222,2)-MAX(AB222,1+AD222)))</f>
        <v>0</v>
      </c>
    </row>
    <row r="223" spans="1:41" x14ac:dyDescent="0.25">
      <c r="A223" s="15"/>
      <c r="B223" s="8"/>
      <c r="C223" s="5" t="str">
        <f>IF(B223="","",IFERROR(INDEX(Trabajadores!$B$5:$B$204,MATCH(B223,Trabajadores!$A$5:$A$204,0)),"Cédula no registrada"))</f>
        <v/>
      </c>
      <c r="D223" s="11"/>
      <c r="E223" s="11"/>
      <c r="F223" s="8"/>
      <c r="G223" s="18" t="str">
        <f>IF(A223="","",IFERROR(INDEX(Trabajadores!$E$5:$E$204,MATCH(B223,Trabajadores!$A$5:$A$204,0))/Parámetros!$B$6,0)+IF(IFERROR(INDEX(Trabajadores!$E$5:$E$204,MATCH(B223,Trabajadores!$A$5:$A$204,0)),"")="",Parámetros!$B$7,0))</f>
        <v/>
      </c>
      <c r="H223" s="5" t="str">
        <f t="shared" si="60"/>
        <v/>
      </c>
      <c r="I223" s="5" t="str">
        <f>IF(A223="","",IF(COUNTIF(Festivos!$A$5:$A$451,A223)&gt;0,"Festivo",IF(WEEKDAY(A223,2)=7,"Domingo",IF(AND(AF223=1,AC223&gt;1),IF(COUNTIF(Festivos!$A$5:$A$451,A223+1)&gt;0,"Festivo","Domingo")&amp;" desde las 00:00",""))))</f>
        <v/>
      </c>
      <c r="J223" s="19" t="str">
        <f t="shared" si="61"/>
        <v/>
      </c>
      <c r="K223" s="19" t="str">
        <f t="shared" si="62"/>
        <v/>
      </c>
      <c r="L223" s="19" t="str">
        <f t="shared" si="63"/>
        <v/>
      </c>
      <c r="M223" s="19" t="str">
        <f t="shared" si="64"/>
        <v/>
      </c>
      <c r="N223" s="19" t="str">
        <f t="shared" si="65"/>
        <v/>
      </c>
      <c r="O223" s="19" t="str">
        <f t="shared" si="66"/>
        <v/>
      </c>
      <c r="P223" s="19" t="str">
        <f t="shared" si="67"/>
        <v/>
      </c>
      <c r="Q223" s="19" t="str">
        <f t="shared" si="68"/>
        <v/>
      </c>
      <c r="R223" s="19" t="str">
        <f t="shared" si="69"/>
        <v/>
      </c>
      <c r="S223" s="17" t="str">
        <f>IF(B223="","",IFERROR(INDEX(Trabajadores!$G$5:$G$204,MATCH(B223,Trabajadores!$A$5:$A$204,0)),""))</f>
        <v/>
      </c>
      <c r="T223" s="17" t="str">
        <f>IF(OR(OR(A223="",D223="",E223=""),S223=""),"",ROUND(S223*(N(L223)*Parámetros!$B$8+N(M223)*(1+Parámetros!$B$9)+N(N223)*(1+Parámetros!$B$10)+N(O223)*(1+AG223)+N(P223)*(1+AG223+Parámetros!$B$8)+N(Q223)*(1+AG223+Parámetros!$B$9)+N(R223)*(1+AG223+Parámetros!$B$10)),0))</f>
        <v/>
      </c>
      <c r="U223" s="5" t="str">
        <f>IF(OR(A223="",D223="",E223=""),"",IF(N(M223)+N(N223)+N(Q223)+N(R223)&gt;Parámetros!$B$12,"Supera el límite de horas extras diarias",IF(C223="Cédula no registrada","Registre la cédula en «Trabajadores»","")))</f>
        <v/>
      </c>
      <c r="X223" s="20">
        <f t="shared" si="70"/>
        <v>0</v>
      </c>
      <c r="Y223" s="20">
        <f t="shared" si="71"/>
        <v>0</v>
      </c>
      <c r="Z223" s="20">
        <f t="shared" si="72"/>
        <v>0</v>
      </c>
      <c r="AA223" s="20">
        <f t="shared" si="73"/>
        <v>0</v>
      </c>
      <c r="AB223" s="20">
        <f t="shared" si="74"/>
        <v>0</v>
      </c>
      <c r="AC223" s="20">
        <f t="shared" si="75"/>
        <v>0</v>
      </c>
      <c r="AD223" s="20">
        <f>IF(A223="",21/24,MOD(VLOOKUP(A223,Parámetros!$A$24:$B$25,2,TRUE()),1))</f>
        <v>0.875</v>
      </c>
      <c r="AE223" s="5">
        <f>IF(A223="",0,IF(OR(WEEKDAY(A223,2)=7,COUNTIF(Festivos!$A$5:$A$451,A223)&gt;0),1,0))</f>
        <v>0</v>
      </c>
      <c r="AF223" s="5">
        <f>IF(A223="",0,IF(OR(WEEKDAY(A223+1,2)=7,COUNTIF(Festivos!$A$5:$A$451,A223+1)&gt;0),1,0))</f>
        <v>0</v>
      </c>
      <c r="AG223" s="9">
        <f>IF(A223="",0,VLOOKUP(A223,Parámetros!$A$18:$B$21,2,TRUE()))</f>
        <v>0</v>
      </c>
      <c r="AH223" s="20">
        <f t="shared" si="76"/>
        <v>0</v>
      </c>
      <c r="AI223" s="20">
        <f>MAX(0,MIN(AB223,Parámetros!$B$11)-MAX(X223,0))+MAX(0,MIN(AB223,1+Parámetros!$B$11)-MAX(X223,AD223))+MAX(0,MIN(AB223,2)-MAX(X223,1+AD223))</f>
        <v>0</v>
      </c>
      <c r="AJ223" s="20">
        <f t="shared" si="77"/>
        <v>0</v>
      </c>
      <c r="AK223" s="20">
        <f>AE223*(MAX(0,MIN(AB223,Parámetros!$B$11)-MAX(X223,0))+MAX(0,MIN(AB223,1)-MAX(X223,AD223)))+AF223*(MAX(0,MIN(AB223,1+Parámetros!$B$11)-MAX(X223,1))+MAX(0,MIN(AB223,2)-MAX(X223,1+AD223)))</f>
        <v>0</v>
      </c>
      <c r="AL223" s="20">
        <f t="shared" si="78"/>
        <v>0</v>
      </c>
      <c r="AM223" s="20">
        <f>MAX(0,MIN(AC223,Parámetros!$B$11)-MAX(AB223,0))+MAX(0,MIN(AC223,1+Parámetros!$B$11)-MAX(AB223,AD223))+MAX(0,MIN(AC223,2)-MAX(AB223,1+AD223))</f>
        <v>0</v>
      </c>
      <c r="AN223" s="20">
        <f t="shared" si="79"/>
        <v>0</v>
      </c>
      <c r="AO223" s="20">
        <f>AE223*(MAX(0,MIN(AC223,Parámetros!$B$11)-MAX(AB223,0))+MAX(0,MIN(AC223,1)-MAX(AB223,AD223)))+AF223*(MAX(0,MIN(AC223,1+Parámetros!$B$11)-MAX(AB223,1))+MAX(0,MIN(AC223,2)-MAX(AB223,1+AD223)))</f>
        <v>0</v>
      </c>
    </row>
    <row r="224" spans="1:41" x14ac:dyDescent="0.25">
      <c r="A224" s="15"/>
      <c r="B224" s="8"/>
      <c r="C224" s="5" t="str">
        <f>IF(B224="","",IFERROR(INDEX(Trabajadores!$B$5:$B$204,MATCH(B224,Trabajadores!$A$5:$A$204,0)),"Cédula no registrada"))</f>
        <v/>
      </c>
      <c r="D224" s="11"/>
      <c r="E224" s="11"/>
      <c r="F224" s="8"/>
      <c r="G224" s="18" t="str">
        <f>IF(A224="","",IFERROR(INDEX(Trabajadores!$E$5:$E$204,MATCH(B224,Trabajadores!$A$5:$A$204,0))/Parámetros!$B$6,0)+IF(IFERROR(INDEX(Trabajadores!$E$5:$E$204,MATCH(B224,Trabajadores!$A$5:$A$204,0)),"")="",Parámetros!$B$7,0))</f>
        <v/>
      </c>
      <c r="H224" s="5" t="str">
        <f t="shared" si="60"/>
        <v/>
      </c>
      <c r="I224" s="5" t="str">
        <f>IF(A224="","",IF(COUNTIF(Festivos!$A$5:$A$451,A224)&gt;0,"Festivo",IF(WEEKDAY(A224,2)=7,"Domingo",IF(AND(AF224=1,AC224&gt;1),IF(COUNTIF(Festivos!$A$5:$A$451,A224+1)&gt;0,"Festivo","Domingo")&amp;" desde las 00:00",""))))</f>
        <v/>
      </c>
      <c r="J224" s="19" t="str">
        <f t="shared" si="61"/>
        <v/>
      </c>
      <c r="K224" s="19" t="str">
        <f t="shared" si="62"/>
        <v/>
      </c>
      <c r="L224" s="19" t="str">
        <f t="shared" si="63"/>
        <v/>
      </c>
      <c r="M224" s="19" t="str">
        <f t="shared" si="64"/>
        <v/>
      </c>
      <c r="N224" s="19" t="str">
        <f t="shared" si="65"/>
        <v/>
      </c>
      <c r="O224" s="19" t="str">
        <f t="shared" si="66"/>
        <v/>
      </c>
      <c r="P224" s="19" t="str">
        <f t="shared" si="67"/>
        <v/>
      </c>
      <c r="Q224" s="19" t="str">
        <f t="shared" si="68"/>
        <v/>
      </c>
      <c r="R224" s="19" t="str">
        <f t="shared" si="69"/>
        <v/>
      </c>
      <c r="S224" s="17" t="str">
        <f>IF(B224="","",IFERROR(INDEX(Trabajadores!$G$5:$G$204,MATCH(B224,Trabajadores!$A$5:$A$204,0)),""))</f>
        <v/>
      </c>
      <c r="T224" s="17" t="str">
        <f>IF(OR(OR(A224="",D224="",E224=""),S224=""),"",ROUND(S224*(N(L224)*Parámetros!$B$8+N(M224)*(1+Parámetros!$B$9)+N(N224)*(1+Parámetros!$B$10)+N(O224)*(1+AG224)+N(P224)*(1+AG224+Parámetros!$B$8)+N(Q224)*(1+AG224+Parámetros!$B$9)+N(R224)*(1+AG224+Parámetros!$B$10)),0))</f>
        <v/>
      </c>
      <c r="U224" s="5" t="str">
        <f>IF(OR(A224="",D224="",E224=""),"",IF(N(M224)+N(N224)+N(Q224)+N(R224)&gt;Parámetros!$B$12,"Supera el límite de horas extras diarias",IF(C224="Cédula no registrada","Registre la cédula en «Trabajadores»","")))</f>
        <v/>
      </c>
      <c r="X224" s="20">
        <f t="shared" si="70"/>
        <v>0</v>
      </c>
      <c r="Y224" s="20">
        <f t="shared" si="71"/>
        <v>0</v>
      </c>
      <c r="Z224" s="20">
        <f t="shared" si="72"/>
        <v>0</v>
      </c>
      <c r="AA224" s="20">
        <f t="shared" si="73"/>
        <v>0</v>
      </c>
      <c r="AB224" s="20">
        <f t="shared" si="74"/>
        <v>0</v>
      </c>
      <c r="AC224" s="20">
        <f t="shared" si="75"/>
        <v>0</v>
      </c>
      <c r="AD224" s="20">
        <f>IF(A224="",21/24,MOD(VLOOKUP(A224,Parámetros!$A$24:$B$25,2,TRUE()),1))</f>
        <v>0.875</v>
      </c>
      <c r="AE224" s="5">
        <f>IF(A224="",0,IF(OR(WEEKDAY(A224,2)=7,COUNTIF(Festivos!$A$5:$A$451,A224)&gt;0),1,0))</f>
        <v>0</v>
      </c>
      <c r="AF224" s="5">
        <f>IF(A224="",0,IF(OR(WEEKDAY(A224+1,2)=7,COUNTIF(Festivos!$A$5:$A$451,A224+1)&gt;0),1,0))</f>
        <v>0</v>
      </c>
      <c r="AG224" s="9">
        <f>IF(A224="",0,VLOOKUP(A224,Parámetros!$A$18:$B$21,2,TRUE()))</f>
        <v>0</v>
      </c>
      <c r="AH224" s="20">
        <f t="shared" si="76"/>
        <v>0</v>
      </c>
      <c r="AI224" s="20">
        <f>MAX(0,MIN(AB224,Parámetros!$B$11)-MAX(X224,0))+MAX(0,MIN(AB224,1+Parámetros!$B$11)-MAX(X224,AD224))+MAX(0,MIN(AB224,2)-MAX(X224,1+AD224))</f>
        <v>0</v>
      </c>
      <c r="AJ224" s="20">
        <f t="shared" si="77"/>
        <v>0</v>
      </c>
      <c r="AK224" s="20">
        <f>AE224*(MAX(0,MIN(AB224,Parámetros!$B$11)-MAX(X224,0))+MAX(0,MIN(AB224,1)-MAX(X224,AD224)))+AF224*(MAX(0,MIN(AB224,1+Parámetros!$B$11)-MAX(X224,1))+MAX(0,MIN(AB224,2)-MAX(X224,1+AD224)))</f>
        <v>0</v>
      </c>
      <c r="AL224" s="20">
        <f t="shared" si="78"/>
        <v>0</v>
      </c>
      <c r="AM224" s="20">
        <f>MAX(0,MIN(AC224,Parámetros!$B$11)-MAX(AB224,0))+MAX(0,MIN(AC224,1+Parámetros!$B$11)-MAX(AB224,AD224))+MAX(0,MIN(AC224,2)-MAX(AB224,1+AD224))</f>
        <v>0</v>
      </c>
      <c r="AN224" s="20">
        <f t="shared" si="79"/>
        <v>0</v>
      </c>
      <c r="AO224" s="20">
        <f>AE224*(MAX(0,MIN(AC224,Parámetros!$B$11)-MAX(AB224,0))+MAX(0,MIN(AC224,1)-MAX(AB224,AD224)))+AF224*(MAX(0,MIN(AC224,1+Parámetros!$B$11)-MAX(AB224,1))+MAX(0,MIN(AC224,2)-MAX(AB224,1+AD224)))</f>
        <v>0</v>
      </c>
    </row>
    <row r="225" spans="1:41" x14ac:dyDescent="0.25">
      <c r="A225" s="15"/>
      <c r="B225" s="8"/>
      <c r="C225" s="5" t="str">
        <f>IF(B225="","",IFERROR(INDEX(Trabajadores!$B$5:$B$204,MATCH(B225,Trabajadores!$A$5:$A$204,0)),"Cédula no registrada"))</f>
        <v/>
      </c>
      <c r="D225" s="11"/>
      <c r="E225" s="11"/>
      <c r="F225" s="8"/>
      <c r="G225" s="18" t="str">
        <f>IF(A225="","",IFERROR(INDEX(Trabajadores!$E$5:$E$204,MATCH(B225,Trabajadores!$A$5:$A$204,0))/Parámetros!$B$6,0)+IF(IFERROR(INDEX(Trabajadores!$E$5:$E$204,MATCH(B225,Trabajadores!$A$5:$A$204,0)),"")="",Parámetros!$B$7,0))</f>
        <v/>
      </c>
      <c r="H225" s="5" t="str">
        <f t="shared" si="60"/>
        <v/>
      </c>
      <c r="I225" s="5" t="str">
        <f>IF(A225="","",IF(COUNTIF(Festivos!$A$5:$A$451,A225)&gt;0,"Festivo",IF(WEEKDAY(A225,2)=7,"Domingo",IF(AND(AF225=1,AC225&gt;1),IF(COUNTIF(Festivos!$A$5:$A$451,A225+1)&gt;0,"Festivo","Domingo")&amp;" desde las 00:00",""))))</f>
        <v/>
      </c>
      <c r="J225" s="19" t="str">
        <f t="shared" si="61"/>
        <v/>
      </c>
      <c r="K225" s="19" t="str">
        <f t="shared" si="62"/>
        <v/>
      </c>
      <c r="L225" s="19" t="str">
        <f t="shared" si="63"/>
        <v/>
      </c>
      <c r="M225" s="19" t="str">
        <f t="shared" si="64"/>
        <v/>
      </c>
      <c r="N225" s="19" t="str">
        <f t="shared" si="65"/>
        <v/>
      </c>
      <c r="O225" s="19" t="str">
        <f t="shared" si="66"/>
        <v/>
      </c>
      <c r="P225" s="19" t="str">
        <f t="shared" si="67"/>
        <v/>
      </c>
      <c r="Q225" s="19" t="str">
        <f t="shared" si="68"/>
        <v/>
      </c>
      <c r="R225" s="19" t="str">
        <f t="shared" si="69"/>
        <v/>
      </c>
      <c r="S225" s="17" t="str">
        <f>IF(B225="","",IFERROR(INDEX(Trabajadores!$G$5:$G$204,MATCH(B225,Trabajadores!$A$5:$A$204,0)),""))</f>
        <v/>
      </c>
      <c r="T225" s="17" t="str">
        <f>IF(OR(OR(A225="",D225="",E225=""),S225=""),"",ROUND(S225*(N(L225)*Parámetros!$B$8+N(M225)*(1+Parámetros!$B$9)+N(N225)*(1+Parámetros!$B$10)+N(O225)*(1+AG225)+N(P225)*(1+AG225+Parámetros!$B$8)+N(Q225)*(1+AG225+Parámetros!$B$9)+N(R225)*(1+AG225+Parámetros!$B$10)),0))</f>
        <v/>
      </c>
      <c r="U225" s="5" t="str">
        <f>IF(OR(A225="",D225="",E225=""),"",IF(N(M225)+N(N225)+N(Q225)+N(R225)&gt;Parámetros!$B$12,"Supera el límite de horas extras diarias",IF(C225="Cédula no registrada","Registre la cédula en «Trabajadores»","")))</f>
        <v/>
      </c>
      <c r="X225" s="20">
        <f t="shared" si="70"/>
        <v>0</v>
      </c>
      <c r="Y225" s="20">
        <f t="shared" si="71"/>
        <v>0</v>
      </c>
      <c r="Z225" s="20">
        <f t="shared" si="72"/>
        <v>0</v>
      </c>
      <c r="AA225" s="20">
        <f t="shared" si="73"/>
        <v>0</v>
      </c>
      <c r="AB225" s="20">
        <f t="shared" si="74"/>
        <v>0</v>
      </c>
      <c r="AC225" s="20">
        <f t="shared" si="75"/>
        <v>0</v>
      </c>
      <c r="AD225" s="20">
        <f>IF(A225="",21/24,MOD(VLOOKUP(A225,Parámetros!$A$24:$B$25,2,TRUE()),1))</f>
        <v>0.875</v>
      </c>
      <c r="AE225" s="5">
        <f>IF(A225="",0,IF(OR(WEEKDAY(A225,2)=7,COUNTIF(Festivos!$A$5:$A$451,A225)&gt;0),1,0))</f>
        <v>0</v>
      </c>
      <c r="AF225" s="5">
        <f>IF(A225="",0,IF(OR(WEEKDAY(A225+1,2)=7,COUNTIF(Festivos!$A$5:$A$451,A225+1)&gt;0),1,0))</f>
        <v>0</v>
      </c>
      <c r="AG225" s="9">
        <f>IF(A225="",0,VLOOKUP(A225,Parámetros!$A$18:$B$21,2,TRUE()))</f>
        <v>0</v>
      </c>
      <c r="AH225" s="20">
        <f t="shared" si="76"/>
        <v>0</v>
      </c>
      <c r="AI225" s="20">
        <f>MAX(0,MIN(AB225,Parámetros!$B$11)-MAX(X225,0))+MAX(0,MIN(AB225,1+Parámetros!$B$11)-MAX(X225,AD225))+MAX(0,MIN(AB225,2)-MAX(X225,1+AD225))</f>
        <v>0</v>
      </c>
      <c r="AJ225" s="20">
        <f t="shared" si="77"/>
        <v>0</v>
      </c>
      <c r="AK225" s="20">
        <f>AE225*(MAX(0,MIN(AB225,Parámetros!$B$11)-MAX(X225,0))+MAX(0,MIN(AB225,1)-MAX(X225,AD225)))+AF225*(MAX(0,MIN(AB225,1+Parámetros!$B$11)-MAX(X225,1))+MAX(0,MIN(AB225,2)-MAX(X225,1+AD225)))</f>
        <v>0</v>
      </c>
      <c r="AL225" s="20">
        <f t="shared" si="78"/>
        <v>0</v>
      </c>
      <c r="AM225" s="20">
        <f>MAX(0,MIN(AC225,Parámetros!$B$11)-MAX(AB225,0))+MAX(0,MIN(AC225,1+Parámetros!$B$11)-MAX(AB225,AD225))+MAX(0,MIN(AC225,2)-MAX(AB225,1+AD225))</f>
        <v>0</v>
      </c>
      <c r="AN225" s="20">
        <f t="shared" si="79"/>
        <v>0</v>
      </c>
      <c r="AO225" s="20">
        <f>AE225*(MAX(0,MIN(AC225,Parámetros!$B$11)-MAX(AB225,0))+MAX(0,MIN(AC225,1)-MAX(AB225,AD225)))+AF225*(MAX(0,MIN(AC225,1+Parámetros!$B$11)-MAX(AB225,1))+MAX(0,MIN(AC225,2)-MAX(AB225,1+AD225)))</f>
        <v>0</v>
      </c>
    </row>
    <row r="226" spans="1:41" x14ac:dyDescent="0.25">
      <c r="A226" s="15"/>
      <c r="B226" s="8"/>
      <c r="C226" s="5" t="str">
        <f>IF(B226="","",IFERROR(INDEX(Trabajadores!$B$5:$B$204,MATCH(B226,Trabajadores!$A$5:$A$204,0)),"Cédula no registrada"))</f>
        <v/>
      </c>
      <c r="D226" s="11"/>
      <c r="E226" s="11"/>
      <c r="F226" s="8"/>
      <c r="G226" s="18" t="str">
        <f>IF(A226="","",IFERROR(INDEX(Trabajadores!$E$5:$E$204,MATCH(B226,Trabajadores!$A$5:$A$204,0))/Parámetros!$B$6,0)+IF(IFERROR(INDEX(Trabajadores!$E$5:$E$204,MATCH(B226,Trabajadores!$A$5:$A$204,0)),"")="",Parámetros!$B$7,0))</f>
        <v/>
      </c>
      <c r="H226" s="5" t="str">
        <f t="shared" si="60"/>
        <v/>
      </c>
      <c r="I226" s="5" t="str">
        <f>IF(A226="","",IF(COUNTIF(Festivos!$A$5:$A$451,A226)&gt;0,"Festivo",IF(WEEKDAY(A226,2)=7,"Domingo",IF(AND(AF226=1,AC226&gt;1),IF(COUNTIF(Festivos!$A$5:$A$451,A226+1)&gt;0,"Festivo","Domingo")&amp;" desde las 00:00",""))))</f>
        <v/>
      </c>
      <c r="J226" s="19" t="str">
        <f t="shared" si="61"/>
        <v/>
      </c>
      <c r="K226" s="19" t="str">
        <f t="shared" si="62"/>
        <v/>
      </c>
      <c r="L226" s="19" t="str">
        <f t="shared" si="63"/>
        <v/>
      </c>
      <c r="M226" s="19" t="str">
        <f t="shared" si="64"/>
        <v/>
      </c>
      <c r="N226" s="19" t="str">
        <f t="shared" si="65"/>
        <v/>
      </c>
      <c r="O226" s="19" t="str">
        <f t="shared" si="66"/>
        <v/>
      </c>
      <c r="P226" s="19" t="str">
        <f t="shared" si="67"/>
        <v/>
      </c>
      <c r="Q226" s="19" t="str">
        <f t="shared" si="68"/>
        <v/>
      </c>
      <c r="R226" s="19" t="str">
        <f t="shared" si="69"/>
        <v/>
      </c>
      <c r="S226" s="17" t="str">
        <f>IF(B226="","",IFERROR(INDEX(Trabajadores!$G$5:$G$204,MATCH(B226,Trabajadores!$A$5:$A$204,0)),""))</f>
        <v/>
      </c>
      <c r="T226" s="17" t="str">
        <f>IF(OR(OR(A226="",D226="",E226=""),S226=""),"",ROUND(S226*(N(L226)*Parámetros!$B$8+N(M226)*(1+Parámetros!$B$9)+N(N226)*(1+Parámetros!$B$10)+N(O226)*(1+AG226)+N(P226)*(1+AG226+Parámetros!$B$8)+N(Q226)*(1+AG226+Parámetros!$B$9)+N(R226)*(1+AG226+Parámetros!$B$10)),0))</f>
        <v/>
      </c>
      <c r="U226" s="5" t="str">
        <f>IF(OR(A226="",D226="",E226=""),"",IF(N(M226)+N(N226)+N(Q226)+N(R226)&gt;Parámetros!$B$12,"Supera el límite de horas extras diarias",IF(C226="Cédula no registrada","Registre la cédula en «Trabajadores»","")))</f>
        <v/>
      </c>
      <c r="X226" s="20">
        <f t="shared" si="70"/>
        <v>0</v>
      </c>
      <c r="Y226" s="20">
        <f t="shared" si="71"/>
        <v>0</v>
      </c>
      <c r="Z226" s="20">
        <f t="shared" si="72"/>
        <v>0</v>
      </c>
      <c r="AA226" s="20">
        <f t="shared" si="73"/>
        <v>0</v>
      </c>
      <c r="AB226" s="20">
        <f t="shared" si="74"/>
        <v>0</v>
      </c>
      <c r="AC226" s="20">
        <f t="shared" si="75"/>
        <v>0</v>
      </c>
      <c r="AD226" s="20">
        <f>IF(A226="",21/24,MOD(VLOOKUP(A226,Parámetros!$A$24:$B$25,2,TRUE()),1))</f>
        <v>0.875</v>
      </c>
      <c r="AE226" s="5">
        <f>IF(A226="",0,IF(OR(WEEKDAY(A226,2)=7,COUNTIF(Festivos!$A$5:$A$451,A226)&gt;0),1,0))</f>
        <v>0</v>
      </c>
      <c r="AF226" s="5">
        <f>IF(A226="",0,IF(OR(WEEKDAY(A226+1,2)=7,COUNTIF(Festivos!$A$5:$A$451,A226+1)&gt;0),1,0))</f>
        <v>0</v>
      </c>
      <c r="AG226" s="9">
        <f>IF(A226="",0,VLOOKUP(A226,Parámetros!$A$18:$B$21,2,TRUE()))</f>
        <v>0</v>
      </c>
      <c r="AH226" s="20">
        <f t="shared" si="76"/>
        <v>0</v>
      </c>
      <c r="AI226" s="20">
        <f>MAX(0,MIN(AB226,Parámetros!$B$11)-MAX(X226,0))+MAX(0,MIN(AB226,1+Parámetros!$B$11)-MAX(X226,AD226))+MAX(0,MIN(AB226,2)-MAX(X226,1+AD226))</f>
        <v>0</v>
      </c>
      <c r="AJ226" s="20">
        <f t="shared" si="77"/>
        <v>0</v>
      </c>
      <c r="AK226" s="20">
        <f>AE226*(MAX(0,MIN(AB226,Parámetros!$B$11)-MAX(X226,0))+MAX(0,MIN(AB226,1)-MAX(X226,AD226)))+AF226*(MAX(0,MIN(AB226,1+Parámetros!$B$11)-MAX(X226,1))+MAX(0,MIN(AB226,2)-MAX(X226,1+AD226)))</f>
        <v>0</v>
      </c>
      <c r="AL226" s="20">
        <f t="shared" si="78"/>
        <v>0</v>
      </c>
      <c r="AM226" s="20">
        <f>MAX(0,MIN(AC226,Parámetros!$B$11)-MAX(AB226,0))+MAX(0,MIN(AC226,1+Parámetros!$B$11)-MAX(AB226,AD226))+MAX(0,MIN(AC226,2)-MAX(AB226,1+AD226))</f>
        <v>0</v>
      </c>
      <c r="AN226" s="20">
        <f t="shared" si="79"/>
        <v>0</v>
      </c>
      <c r="AO226" s="20">
        <f>AE226*(MAX(0,MIN(AC226,Parámetros!$B$11)-MAX(AB226,0))+MAX(0,MIN(AC226,1)-MAX(AB226,AD226)))+AF226*(MAX(0,MIN(AC226,1+Parámetros!$B$11)-MAX(AB226,1))+MAX(0,MIN(AC226,2)-MAX(AB226,1+AD226)))</f>
        <v>0</v>
      </c>
    </row>
    <row r="227" spans="1:41" x14ac:dyDescent="0.25">
      <c r="A227" s="15"/>
      <c r="B227" s="8"/>
      <c r="C227" s="5" t="str">
        <f>IF(B227="","",IFERROR(INDEX(Trabajadores!$B$5:$B$204,MATCH(B227,Trabajadores!$A$5:$A$204,0)),"Cédula no registrada"))</f>
        <v/>
      </c>
      <c r="D227" s="11"/>
      <c r="E227" s="11"/>
      <c r="F227" s="8"/>
      <c r="G227" s="18" t="str">
        <f>IF(A227="","",IFERROR(INDEX(Trabajadores!$E$5:$E$204,MATCH(B227,Trabajadores!$A$5:$A$204,0))/Parámetros!$B$6,0)+IF(IFERROR(INDEX(Trabajadores!$E$5:$E$204,MATCH(B227,Trabajadores!$A$5:$A$204,0)),"")="",Parámetros!$B$7,0))</f>
        <v/>
      </c>
      <c r="H227" s="5" t="str">
        <f t="shared" si="60"/>
        <v/>
      </c>
      <c r="I227" s="5" t="str">
        <f>IF(A227="","",IF(COUNTIF(Festivos!$A$5:$A$451,A227)&gt;0,"Festivo",IF(WEEKDAY(A227,2)=7,"Domingo",IF(AND(AF227=1,AC227&gt;1),IF(COUNTIF(Festivos!$A$5:$A$451,A227+1)&gt;0,"Festivo","Domingo")&amp;" desde las 00:00",""))))</f>
        <v/>
      </c>
      <c r="J227" s="19" t="str">
        <f t="shared" si="61"/>
        <v/>
      </c>
      <c r="K227" s="19" t="str">
        <f t="shared" si="62"/>
        <v/>
      </c>
      <c r="L227" s="19" t="str">
        <f t="shared" si="63"/>
        <v/>
      </c>
      <c r="M227" s="19" t="str">
        <f t="shared" si="64"/>
        <v/>
      </c>
      <c r="N227" s="19" t="str">
        <f t="shared" si="65"/>
        <v/>
      </c>
      <c r="O227" s="19" t="str">
        <f t="shared" si="66"/>
        <v/>
      </c>
      <c r="P227" s="19" t="str">
        <f t="shared" si="67"/>
        <v/>
      </c>
      <c r="Q227" s="19" t="str">
        <f t="shared" si="68"/>
        <v/>
      </c>
      <c r="R227" s="19" t="str">
        <f t="shared" si="69"/>
        <v/>
      </c>
      <c r="S227" s="17" t="str">
        <f>IF(B227="","",IFERROR(INDEX(Trabajadores!$G$5:$G$204,MATCH(B227,Trabajadores!$A$5:$A$204,0)),""))</f>
        <v/>
      </c>
      <c r="T227" s="17" t="str">
        <f>IF(OR(OR(A227="",D227="",E227=""),S227=""),"",ROUND(S227*(N(L227)*Parámetros!$B$8+N(M227)*(1+Parámetros!$B$9)+N(N227)*(1+Parámetros!$B$10)+N(O227)*(1+AG227)+N(P227)*(1+AG227+Parámetros!$B$8)+N(Q227)*(1+AG227+Parámetros!$B$9)+N(R227)*(1+AG227+Parámetros!$B$10)),0))</f>
        <v/>
      </c>
      <c r="U227" s="5" t="str">
        <f>IF(OR(A227="",D227="",E227=""),"",IF(N(M227)+N(N227)+N(Q227)+N(R227)&gt;Parámetros!$B$12,"Supera el límite de horas extras diarias",IF(C227="Cédula no registrada","Registre la cédula en «Trabajadores»","")))</f>
        <v/>
      </c>
      <c r="X227" s="20">
        <f t="shared" si="70"/>
        <v>0</v>
      </c>
      <c r="Y227" s="20">
        <f t="shared" si="71"/>
        <v>0</v>
      </c>
      <c r="Z227" s="20">
        <f t="shared" si="72"/>
        <v>0</v>
      </c>
      <c r="AA227" s="20">
        <f t="shared" si="73"/>
        <v>0</v>
      </c>
      <c r="AB227" s="20">
        <f t="shared" si="74"/>
        <v>0</v>
      </c>
      <c r="AC227" s="20">
        <f t="shared" si="75"/>
        <v>0</v>
      </c>
      <c r="AD227" s="20">
        <f>IF(A227="",21/24,MOD(VLOOKUP(A227,Parámetros!$A$24:$B$25,2,TRUE()),1))</f>
        <v>0.875</v>
      </c>
      <c r="AE227" s="5">
        <f>IF(A227="",0,IF(OR(WEEKDAY(A227,2)=7,COUNTIF(Festivos!$A$5:$A$451,A227)&gt;0),1,0))</f>
        <v>0</v>
      </c>
      <c r="AF227" s="5">
        <f>IF(A227="",0,IF(OR(WEEKDAY(A227+1,2)=7,COUNTIF(Festivos!$A$5:$A$451,A227+1)&gt;0),1,0))</f>
        <v>0</v>
      </c>
      <c r="AG227" s="9">
        <f>IF(A227="",0,VLOOKUP(A227,Parámetros!$A$18:$B$21,2,TRUE()))</f>
        <v>0</v>
      </c>
      <c r="AH227" s="20">
        <f t="shared" si="76"/>
        <v>0</v>
      </c>
      <c r="AI227" s="20">
        <f>MAX(0,MIN(AB227,Parámetros!$B$11)-MAX(X227,0))+MAX(0,MIN(AB227,1+Parámetros!$B$11)-MAX(X227,AD227))+MAX(0,MIN(AB227,2)-MAX(X227,1+AD227))</f>
        <v>0</v>
      </c>
      <c r="AJ227" s="20">
        <f t="shared" si="77"/>
        <v>0</v>
      </c>
      <c r="AK227" s="20">
        <f>AE227*(MAX(0,MIN(AB227,Parámetros!$B$11)-MAX(X227,0))+MAX(0,MIN(AB227,1)-MAX(X227,AD227)))+AF227*(MAX(0,MIN(AB227,1+Parámetros!$B$11)-MAX(X227,1))+MAX(0,MIN(AB227,2)-MAX(X227,1+AD227)))</f>
        <v>0</v>
      </c>
      <c r="AL227" s="20">
        <f t="shared" si="78"/>
        <v>0</v>
      </c>
      <c r="AM227" s="20">
        <f>MAX(0,MIN(AC227,Parámetros!$B$11)-MAX(AB227,0))+MAX(0,MIN(AC227,1+Parámetros!$B$11)-MAX(AB227,AD227))+MAX(0,MIN(AC227,2)-MAX(AB227,1+AD227))</f>
        <v>0</v>
      </c>
      <c r="AN227" s="20">
        <f t="shared" si="79"/>
        <v>0</v>
      </c>
      <c r="AO227" s="20">
        <f>AE227*(MAX(0,MIN(AC227,Parámetros!$B$11)-MAX(AB227,0))+MAX(0,MIN(AC227,1)-MAX(AB227,AD227)))+AF227*(MAX(0,MIN(AC227,1+Parámetros!$B$11)-MAX(AB227,1))+MAX(0,MIN(AC227,2)-MAX(AB227,1+AD227)))</f>
        <v>0</v>
      </c>
    </row>
    <row r="228" spans="1:41" x14ac:dyDescent="0.25">
      <c r="A228" s="15"/>
      <c r="B228" s="8"/>
      <c r="C228" s="5" t="str">
        <f>IF(B228="","",IFERROR(INDEX(Trabajadores!$B$5:$B$204,MATCH(B228,Trabajadores!$A$5:$A$204,0)),"Cédula no registrada"))</f>
        <v/>
      </c>
      <c r="D228" s="11"/>
      <c r="E228" s="11"/>
      <c r="F228" s="8"/>
      <c r="G228" s="18" t="str">
        <f>IF(A228="","",IFERROR(INDEX(Trabajadores!$E$5:$E$204,MATCH(B228,Trabajadores!$A$5:$A$204,0))/Parámetros!$B$6,0)+IF(IFERROR(INDEX(Trabajadores!$E$5:$E$204,MATCH(B228,Trabajadores!$A$5:$A$204,0)),"")="",Parámetros!$B$7,0))</f>
        <v/>
      </c>
      <c r="H228" s="5" t="str">
        <f t="shared" si="60"/>
        <v/>
      </c>
      <c r="I228" s="5" t="str">
        <f>IF(A228="","",IF(COUNTIF(Festivos!$A$5:$A$451,A228)&gt;0,"Festivo",IF(WEEKDAY(A228,2)=7,"Domingo",IF(AND(AF228=1,AC228&gt;1),IF(COUNTIF(Festivos!$A$5:$A$451,A228+1)&gt;0,"Festivo","Domingo")&amp;" desde las 00:00",""))))</f>
        <v/>
      </c>
      <c r="J228" s="19" t="str">
        <f t="shared" si="61"/>
        <v/>
      </c>
      <c r="K228" s="19" t="str">
        <f t="shared" si="62"/>
        <v/>
      </c>
      <c r="L228" s="19" t="str">
        <f t="shared" si="63"/>
        <v/>
      </c>
      <c r="M228" s="19" t="str">
        <f t="shared" si="64"/>
        <v/>
      </c>
      <c r="N228" s="19" t="str">
        <f t="shared" si="65"/>
        <v/>
      </c>
      <c r="O228" s="19" t="str">
        <f t="shared" si="66"/>
        <v/>
      </c>
      <c r="P228" s="19" t="str">
        <f t="shared" si="67"/>
        <v/>
      </c>
      <c r="Q228" s="19" t="str">
        <f t="shared" si="68"/>
        <v/>
      </c>
      <c r="R228" s="19" t="str">
        <f t="shared" si="69"/>
        <v/>
      </c>
      <c r="S228" s="17" t="str">
        <f>IF(B228="","",IFERROR(INDEX(Trabajadores!$G$5:$G$204,MATCH(B228,Trabajadores!$A$5:$A$204,0)),""))</f>
        <v/>
      </c>
      <c r="T228" s="17" t="str">
        <f>IF(OR(OR(A228="",D228="",E228=""),S228=""),"",ROUND(S228*(N(L228)*Parámetros!$B$8+N(M228)*(1+Parámetros!$B$9)+N(N228)*(1+Parámetros!$B$10)+N(O228)*(1+AG228)+N(P228)*(1+AG228+Parámetros!$B$8)+N(Q228)*(1+AG228+Parámetros!$B$9)+N(R228)*(1+AG228+Parámetros!$B$10)),0))</f>
        <v/>
      </c>
      <c r="U228" s="5" t="str">
        <f>IF(OR(A228="",D228="",E228=""),"",IF(N(M228)+N(N228)+N(Q228)+N(R228)&gt;Parámetros!$B$12,"Supera el límite de horas extras diarias",IF(C228="Cédula no registrada","Registre la cédula en «Trabajadores»","")))</f>
        <v/>
      </c>
      <c r="X228" s="20">
        <f t="shared" si="70"/>
        <v>0</v>
      </c>
      <c r="Y228" s="20">
        <f t="shared" si="71"/>
        <v>0</v>
      </c>
      <c r="Z228" s="20">
        <f t="shared" si="72"/>
        <v>0</v>
      </c>
      <c r="AA228" s="20">
        <f t="shared" si="73"/>
        <v>0</v>
      </c>
      <c r="AB228" s="20">
        <f t="shared" si="74"/>
        <v>0</v>
      </c>
      <c r="AC228" s="20">
        <f t="shared" si="75"/>
        <v>0</v>
      </c>
      <c r="AD228" s="20">
        <f>IF(A228="",21/24,MOD(VLOOKUP(A228,Parámetros!$A$24:$B$25,2,TRUE()),1))</f>
        <v>0.875</v>
      </c>
      <c r="AE228" s="5">
        <f>IF(A228="",0,IF(OR(WEEKDAY(A228,2)=7,COUNTIF(Festivos!$A$5:$A$451,A228)&gt;0),1,0))</f>
        <v>0</v>
      </c>
      <c r="AF228" s="5">
        <f>IF(A228="",0,IF(OR(WEEKDAY(A228+1,2)=7,COUNTIF(Festivos!$A$5:$A$451,A228+1)&gt;0),1,0))</f>
        <v>0</v>
      </c>
      <c r="AG228" s="9">
        <f>IF(A228="",0,VLOOKUP(A228,Parámetros!$A$18:$B$21,2,TRUE()))</f>
        <v>0</v>
      </c>
      <c r="AH228" s="20">
        <f t="shared" si="76"/>
        <v>0</v>
      </c>
      <c r="AI228" s="20">
        <f>MAX(0,MIN(AB228,Parámetros!$B$11)-MAX(X228,0))+MAX(0,MIN(AB228,1+Parámetros!$B$11)-MAX(X228,AD228))+MAX(0,MIN(AB228,2)-MAX(X228,1+AD228))</f>
        <v>0</v>
      </c>
      <c r="AJ228" s="20">
        <f t="shared" si="77"/>
        <v>0</v>
      </c>
      <c r="AK228" s="20">
        <f>AE228*(MAX(0,MIN(AB228,Parámetros!$B$11)-MAX(X228,0))+MAX(0,MIN(AB228,1)-MAX(X228,AD228)))+AF228*(MAX(0,MIN(AB228,1+Parámetros!$B$11)-MAX(X228,1))+MAX(0,MIN(AB228,2)-MAX(X228,1+AD228)))</f>
        <v>0</v>
      </c>
      <c r="AL228" s="20">
        <f t="shared" si="78"/>
        <v>0</v>
      </c>
      <c r="AM228" s="20">
        <f>MAX(0,MIN(AC228,Parámetros!$B$11)-MAX(AB228,0))+MAX(0,MIN(AC228,1+Parámetros!$B$11)-MAX(AB228,AD228))+MAX(0,MIN(AC228,2)-MAX(AB228,1+AD228))</f>
        <v>0</v>
      </c>
      <c r="AN228" s="20">
        <f t="shared" si="79"/>
        <v>0</v>
      </c>
      <c r="AO228" s="20">
        <f>AE228*(MAX(0,MIN(AC228,Parámetros!$B$11)-MAX(AB228,0))+MAX(0,MIN(AC228,1)-MAX(AB228,AD228)))+AF228*(MAX(0,MIN(AC228,1+Parámetros!$B$11)-MAX(AB228,1))+MAX(0,MIN(AC228,2)-MAX(AB228,1+AD228)))</f>
        <v>0</v>
      </c>
    </row>
    <row r="229" spans="1:41" x14ac:dyDescent="0.25">
      <c r="A229" s="15"/>
      <c r="B229" s="8"/>
      <c r="C229" s="5" t="str">
        <f>IF(B229="","",IFERROR(INDEX(Trabajadores!$B$5:$B$204,MATCH(B229,Trabajadores!$A$5:$A$204,0)),"Cédula no registrada"))</f>
        <v/>
      </c>
      <c r="D229" s="11"/>
      <c r="E229" s="11"/>
      <c r="F229" s="8"/>
      <c r="G229" s="18" t="str">
        <f>IF(A229="","",IFERROR(INDEX(Trabajadores!$E$5:$E$204,MATCH(B229,Trabajadores!$A$5:$A$204,0))/Parámetros!$B$6,0)+IF(IFERROR(INDEX(Trabajadores!$E$5:$E$204,MATCH(B229,Trabajadores!$A$5:$A$204,0)),"")="",Parámetros!$B$7,0))</f>
        <v/>
      </c>
      <c r="H229" s="5" t="str">
        <f t="shared" si="60"/>
        <v/>
      </c>
      <c r="I229" s="5" t="str">
        <f>IF(A229="","",IF(COUNTIF(Festivos!$A$5:$A$451,A229)&gt;0,"Festivo",IF(WEEKDAY(A229,2)=7,"Domingo",IF(AND(AF229=1,AC229&gt;1),IF(COUNTIF(Festivos!$A$5:$A$451,A229+1)&gt;0,"Festivo","Domingo")&amp;" desde las 00:00",""))))</f>
        <v/>
      </c>
      <c r="J229" s="19" t="str">
        <f t="shared" si="61"/>
        <v/>
      </c>
      <c r="K229" s="19" t="str">
        <f t="shared" si="62"/>
        <v/>
      </c>
      <c r="L229" s="19" t="str">
        <f t="shared" si="63"/>
        <v/>
      </c>
      <c r="M229" s="19" t="str">
        <f t="shared" si="64"/>
        <v/>
      </c>
      <c r="N229" s="19" t="str">
        <f t="shared" si="65"/>
        <v/>
      </c>
      <c r="O229" s="19" t="str">
        <f t="shared" si="66"/>
        <v/>
      </c>
      <c r="P229" s="19" t="str">
        <f t="shared" si="67"/>
        <v/>
      </c>
      <c r="Q229" s="19" t="str">
        <f t="shared" si="68"/>
        <v/>
      </c>
      <c r="R229" s="19" t="str">
        <f t="shared" si="69"/>
        <v/>
      </c>
      <c r="S229" s="17" t="str">
        <f>IF(B229="","",IFERROR(INDEX(Trabajadores!$G$5:$G$204,MATCH(B229,Trabajadores!$A$5:$A$204,0)),""))</f>
        <v/>
      </c>
      <c r="T229" s="17" t="str">
        <f>IF(OR(OR(A229="",D229="",E229=""),S229=""),"",ROUND(S229*(N(L229)*Parámetros!$B$8+N(M229)*(1+Parámetros!$B$9)+N(N229)*(1+Parámetros!$B$10)+N(O229)*(1+AG229)+N(P229)*(1+AG229+Parámetros!$B$8)+N(Q229)*(1+AG229+Parámetros!$B$9)+N(R229)*(1+AG229+Parámetros!$B$10)),0))</f>
        <v/>
      </c>
      <c r="U229" s="5" t="str">
        <f>IF(OR(A229="",D229="",E229=""),"",IF(N(M229)+N(N229)+N(Q229)+N(R229)&gt;Parámetros!$B$12,"Supera el límite de horas extras diarias",IF(C229="Cédula no registrada","Registre la cédula en «Trabajadores»","")))</f>
        <v/>
      </c>
      <c r="X229" s="20">
        <f t="shared" si="70"/>
        <v>0</v>
      </c>
      <c r="Y229" s="20">
        <f t="shared" si="71"/>
        <v>0</v>
      </c>
      <c r="Z229" s="20">
        <f t="shared" si="72"/>
        <v>0</v>
      </c>
      <c r="AA229" s="20">
        <f t="shared" si="73"/>
        <v>0</v>
      </c>
      <c r="AB229" s="20">
        <f t="shared" si="74"/>
        <v>0</v>
      </c>
      <c r="AC229" s="20">
        <f t="shared" si="75"/>
        <v>0</v>
      </c>
      <c r="AD229" s="20">
        <f>IF(A229="",21/24,MOD(VLOOKUP(A229,Parámetros!$A$24:$B$25,2,TRUE()),1))</f>
        <v>0.875</v>
      </c>
      <c r="AE229" s="5">
        <f>IF(A229="",0,IF(OR(WEEKDAY(A229,2)=7,COUNTIF(Festivos!$A$5:$A$451,A229)&gt;0),1,0))</f>
        <v>0</v>
      </c>
      <c r="AF229" s="5">
        <f>IF(A229="",0,IF(OR(WEEKDAY(A229+1,2)=7,COUNTIF(Festivos!$A$5:$A$451,A229+1)&gt;0),1,0))</f>
        <v>0</v>
      </c>
      <c r="AG229" s="9">
        <f>IF(A229="",0,VLOOKUP(A229,Parámetros!$A$18:$B$21,2,TRUE()))</f>
        <v>0</v>
      </c>
      <c r="AH229" s="20">
        <f t="shared" si="76"/>
        <v>0</v>
      </c>
      <c r="AI229" s="20">
        <f>MAX(0,MIN(AB229,Parámetros!$B$11)-MAX(X229,0))+MAX(0,MIN(AB229,1+Parámetros!$B$11)-MAX(X229,AD229))+MAX(0,MIN(AB229,2)-MAX(X229,1+AD229))</f>
        <v>0</v>
      </c>
      <c r="AJ229" s="20">
        <f t="shared" si="77"/>
        <v>0</v>
      </c>
      <c r="AK229" s="20">
        <f>AE229*(MAX(0,MIN(AB229,Parámetros!$B$11)-MAX(X229,0))+MAX(0,MIN(AB229,1)-MAX(X229,AD229)))+AF229*(MAX(0,MIN(AB229,1+Parámetros!$B$11)-MAX(X229,1))+MAX(0,MIN(AB229,2)-MAX(X229,1+AD229)))</f>
        <v>0</v>
      </c>
      <c r="AL229" s="20">
        <f t="shared" si="78"/>
        <v>0</v>
      </c>
      <c r="AM229" s="20">
        <f>MAX(0,MIN(AC229,Parámetros!$B$11)-MAX(AB229,0))+MAX(0,MIN(AC229,1+Parámetros!$B$11)-MAX(AB229,AD229))+MAX(0,MIN(AC229,2)-MAX(AB229,1+AD229))</f>
        <v>0</v>
      </c>
      <c r="AN229" s="20">
        <f t="shared" si="79"/>
        <v>0</v>
      </c>
      <c r="AO229" s="20">
        <f>AE229*(MAX(0,MIN(AC229,Parámetros!$B$11)-MAX(AB229,0))+MAX(0,MIN(AC229,1)-MAX(AB229,AD229)))+AF229*(MAX(0,MIN(AC229,1+Parámetros!$B$11)-MAX(AB229,1))+MAX(0,MIN(AC229,2)-MAX(AB229,1+AD229)))</f>
        <v>0</v>
      </c>
    </row>
    <row r="230" spans="1:41" x14ac:dyDescent="0.25">
      <c r="A230" s="15"/>
      <c r="B230" s="8"/>
      <c r="C230" s="5" t="str">
        <f>IF(B230="","",IFERROR(INDEX(Trabajadores!$B$5:$B$204,MATCH(B230,Trabajadores!$A$5:$A$204,0)),"Cédula no registrada"))</f>
        <v/>
      </c>
      <c r="D230" s="11"/>
      <c r="E230" s="11"/>
      <c r="F230" s="8"/>
      <c r="G230" s="18" t="str">
        <f>IF(A230="","",IFERROR(INDEX(Trabajadores!$E$5:$E$204,MATCH(B230,Trabajadores!$A$5:$A$204,0))/Parámetros!$B$6,0)+IF(IFERROR(INDEX(Trabajadores!$E$5:$E$204,MATCH(B230,Trabajadores!$A$5:$A$204,0)),"")="",Parámetros!$B$7,0))</f>
        <v/>
      </c>
      <c r="H230" s="5" t="str">
        <f t="shared" si="60"/>
        <v/>
      </c>
      <c r="I230" s="5" t="str">
        <f>IF(A230="","",IF(COUNTIF(Festivos!$A$5:$A$451,A230)&gt;0,"Festivo",IF(WEEKDAY(A230,2)=7,"Domingo",IF(AND(AF230=1,AC230&gt;1),IF(COUNTIF(Festivos!$A$5:$A$451,A230+1)&gt;0,"Festivo","Domingo")&amp;" desde las 00:00",""))))</f>
        <v/>
      </c>
      <c r="J230" s="19" t="str">
        <f t="shared" si="61"/>
        <v/>
      </c>
      <c r="K230" s="19" t="str">
        <f t="shared" si="62"/>
        <v/>
      </c>
      <c r="L230" s="19" t="str">
        <f t="shared" si="63"/>
        <v/>
      </c>
      <c r="M230" s="19" t="str">
        <f t="shared" si="64"/>
        <v/>
      </c>
      <c r="N230" s="19" t="str">
        <f t="shared" si="65"/>
        <v/>
      </c>
      <c r="O230" s="19" t="str">
        <f t="shared" si="66"/>
        <v/>
      </c>
      <c r="P230" s="19" t="str">
        <f t="shared" si="67"/>
        <v/>
      </c>
      <c r="Q230" s="19" t="str">
        <f t="shared" si="68"/>
        <v/>
      </c>
      <c r="R230" s="19" t="str">
        <f t="shared" si="69"/>
        <v/>
      </c>
      <c r="S230" s="17" t="str">
        <f>IF(B230="","",IFERROR(INDEX(Trabajadores!$G$5:$G$204,MATCH(B230,Trabajadores!$A$5:$A$204,0)),""))</f>
        <v/>
      </c>
      <c r="T230" s="17" t="str">
        <f>IF(OR(OR(A230="",D230="",E230=""),S230=""),"",ROUND(S230*(N(L230)*Parámetros!$B$8+N(M230)*(1+Parámetros!$B$9)+N(N230)*(1+Parámetros!$B$10)+N(O230)*(1+AG230)+N(P230)*(1+AG230+Parámetros!$B$8)+N(Q230)*(1+AG230+Parámetros!$B$9)+N(R230)*(1+AG230+Parámetros!$B$10)),0))</f>
        <v/>
      </c>
      <c r="U230" s="5" t="str">
        <f>IF(OR(A230="",D230="",E230=""),"",IF(N(M230)+N(N230)+N(Q230)+N(R230)&gt;Parámetros!$B$12,"Supera el límite de horas extras diarias",IF(C230="Cédula no registrada","Registre la cédula en «Trabajadores»","")))</f>
        <v/>
      </c>
      <c r="X230" s="20">
        <f t="shared" si="70"/>
        <v>0</v>
      </c>
      <c r="Y230" s="20">
        <f t="shared" si="71"/>
        <v>0</v>
      </c>
      <c r="Z230" s="20">
        <f t="shared" si="72"/>
        <v>0</v>
      </c>
      <c r="AA230" s="20">
        <f t="shared" si="73"/>
        <v>0</v>
      </c>
      <c r="AB230" s="20">
        <f t="shared" si="74"/>
        <v>0</v>
      </c>
      <c r="AC230" s="20">
        <f t="shared" si="75"/>
        <v>0</v>
      </c>
      <c r="AD230" s="20">
        <f>IF(A230="",21/24,MOD(VLOOKUP(A230,Parámetros!$A$24:$B$25,2,TRUE()),1))</f>
        <v>0.875</v>
      </c>
      <c r="AE230" s="5">
        <f>IF(A230="",0,IF(OR(WEEKDAY(A230,2)=7,COUNTIF(Festivos!$A$5:$A$451,A230)&gt;0),1,0))</f>
        <v>0</v>
      </c>
      <c r="AF230" s="5">
        <f>IF(A230="",0,IF(OR(WEEKDAY(A230+1,2)=7,COUNTIF(Festivos!$A$5:$A$451,A230+1)&gt;0),1,0))</f>
        <v>0</v>
      </c>
      <c r="AG230" s="9">
        <f>IF(A230="",0,VLOOKUP(A230,Parámetros!$A$18:$B$21,2,TRUE()))</f>
        <v>0</v>
      </c>
      <c r="AH230" s="20">
        <f t="shared" si="76"/>
        <v>0</v>
      </c>
      <c r="AI230" s="20">
        <f>MAX(0,MIN(AB230,Parámetros!$B$11)-MAX(X230,0))+MAX(0,MIN(AB230,1+Parámetros!$B$11)-MAX(X230,AD230))+MAX(0,MIN(AB230,2)-MAX(X230,1+AD230))</f>
        <v>0</v>
      </c>
      <c r="AJ230" s="20">
        <f t="shared" si="77"/>
        <v>0</v>
      </c>
      <c r="AK230" s="20">
        <f>AE230*(MAX(0,MIN(AB230,Parámetros!$B$11)-MAX(X230,0))+MAX(0,MIN(AB230,1)-MAX(X230,AD230)))+AF230*(MAX(0,MIN(AB230,1+Parámetros!$B$11)-MAX(X230,1))+MAX(0,MIN(AB230,2)-MAX(X230,1+AD230)))</f>
        <v>0</v>
      </c>
      <c r="AL230" s="20">
        <f t="shared" si="78"/>
        <v>0</v>
      </c>
      <c r="AM230" s="20">
        <f>MAX(0,MIN(AC230,Parámetros!$B$11)-MAX(AB230,0))+MAX(0,MIN(AC230,1+Parámetros!$B$11)-MAX(AB230,AD230))+MAX(0,MIN(AC230,2)-MAX(AB230,1+AD230))</f>
        <v>0</v>
      </c>
      <c r="AN230" s="20">
        <f t="shared" si="79"/>
        <v>0</v>
      </c>
      <c r="AO230" s="20">
        <f>AE230*(MAX(0,MIN(AC230,Parámetros!$B$11)-MAX(AB230,0))+MAX(0,MIN(AC230,1)-MAX(AB230,AD230)))+AF230*(MAX(0,MIN(AC230,1+Parámetros!$B$11)-MAX(AB230,1))+MAX(0,MIN(AC230,2)-MAX(AB230,1+AD230)))</f>
        <v>0</v>
      </c>
    </row>
    <row r="231" spans="1:41" x14ac:dyDescent="0.25">
      <c r="A231" s="15"/>
      <c r="B231" s="8"/>
      <c r="C231" s="5" t="str">
        <f>IF(B231="","",IFERROR(INDEX(Trabajadores!$B$5:$B$204,MATCH(B231,Trabajadores!$A$5:$A$204,0)),"Cédula no registrada"))</f>
        <v/>
      </c>
      <c r="D231" s="11"/>
      <c r="E231" s="11"/>
      <c r="F231" s="8"/>
      <c r="G231" s="18" t="str">
        <f>IF(A231="","",IFERROR(INDEX(Trabajadores!$E$5:$E$204,MATCH(B231,Trabajadores!$A$5:$A$204,0))/Parámetros!$B$6,0)+IF(IFERROR(INDEX(Trabajadores!$E$5:$E$204,MATCH(B231,Trabajadores!$A$5:$A$204,0)),"")="",Parámetros!$B$7,0))</f>
        <v/>
      </c>
      <c r="H231" s="5" t="str">
        <f t="shared" si="60"/>
        <v/>
      </c>
      <c r="I231" s="5" t="str">
        <f>IF(A231="","",IF(COUNTIF(Festivos!$A$5:$A$451,A231)&gt;0,"Festivo",IF(WEEKDAY(A231,2)=7,"Domingo",IF(AND(AF231=1,AC231&gt;1),IF(COUNTIF(Festivos!$A$5:$A$451,A231+1)&gt;0,"Festivo","Domingo")&amp;" desde las 00:00",""))))</f>
        <v/>
      </c>
      <c r="J231" s="19" t="str">
        <f t="shared" si="61"/>
        <v/>
      </c>
      <c r="K231" s="19" t="str">
        <f t="shared" si="62"/>
        <v/>
      </c>
      <c r="L231" s="19" t="str">
        <f t="shared" si="63"/>
        <v/>
      </c>
      <c r="M231" s="19" t="str">
        <f t="shared" si="64"/>
        <v/>
      </c>
      <c r="N231" s="19" t="str">
        <f t="shared" si="65"/>
        <v/>
      </c>
      <c r="O231" s="19" t="str">
        <f t="shared" si="66"/>
        <v/>
      </c>
      <c r="P231" s="19" t="str">
        <f t="shared" si="67"/>
        <v/>
      </c>
      <c r="Q231" s="19" t="str">
        <f t="shared" si="68"/>
        <v/>
      </c>
      <c r="R231" s="19" t="str">
        <f t="shared" si="69"/>
        <v/>
      </c>
      <c r="S231" s="17" t="str">
        <f>IF(B231="","",IFERROR(INDEX(Trabajadores!$G$5:$G$204,MATCH(B231,Trabajadores!$A$5:$A$204,0)),""))</f>
        <v/>
      </c>
      <c r="T231" s="17" t="str">
        <f>IF(OR(OR(A231="",D231="",E231=""),S231=""),"",ROUND(S231*(N(L231)*Parámetros!$B$8+N(M231)*(1+Parámetros!$B$9)+N(N231)*(1+Parámetros!$B$10)+N(O231)*(1+AG231)+N(P231)*(1+AG231+Parámetros!$B$8)+N(Q231)*(1+AG231+Parámetros!$B$9)+N(R231)*(1+AG231+Parámetros!$B$10)),0))</f>
        <v/>
      </c>
      <c r="U231" s="5" t="str">
        <f>IF(OR(A231="",D231="",E231=""),"",IF(N(M231)+N(N231)+N(Q231)+N(R231)&gt;Parámetros!$B$12,"Supera el límite de horas extras diarias",IF(C231="Cédula no registrada","Registre la cédula en «Trabajadores»","")))</f>
        <v/>
      </c>
      <c r="X231" s="20">
        <f t="shared" si="70"/>
        <v>0</v>
      </c>
      <c r="Y231" s="20">
        <f t="shared" si="71"/>
        <v>0</v>
      </c>
      <c r="Z231" s="20">
        <f t="shared" si="72"/>
        <v>0</v>
      </c>
      <c r="AA231" s="20">
        <f t="shared" si="73"/>
        <v>0</v>
      </c>
      <c r="AB231" s="20">
        <f t="shared" si="74"/>
        <v>0</v>
      </c>
      <c r="AC231" s="20">
        <f t="shared" si="75"/>
        <v>0</v>
      </c>
      <c r="AD231" s="20">
        <f>IF(A231="",21/24,MOD(VLOOKUP(A231,Parámetros!$A$24:$B$25,2,TRUE()),1))</f>
        <v>0.875</v>
      </c>
      <c r="AE231" s="5">
        <f>IF(A231="",0,IF(OR(WEEKDAY(A231,2)=7,COUNTIF(Festivos!$A$5:$A$451,A231)&gt;0),1,0))</f>
        <v>0</v>
      </c>
      <c r="AF231" s="5">
        <f>IF(A231="",0,IF(OR(WEEKDAY(A231+1,2)=7,COUNTIF(Festivos!$A$5:$A$451,A231+1)&gt;0),1,0))</f>
        <v>0</v>
      </c>
      <c r="AG231" s="9">
        <f>IF(A231="",0,VLOOKUP(A231,Parámetros!$A$18:$B$21,2,TRUE()))</f>
        <v>0</v>
      </c>
      <c r="AH231" s="20">
        <f t="shared" si="76"/>
        <v>0</v>
      </c>
      <c r="AI231" s="20">
        <f>MAX(0,MIN(AB231,Parámetros!$B$11)-MAX(X231,0))+MAX(0,MIN(AB231,1+Parámetros!$B$11)-MAX(X231,AD231))+MAX(0,MIN(AB231,2)-MAX(X231,1+AD231))</f>
        <v>0</v>
      </c>
      <c r="AJ231" s="20">
        <f t="shared" si="77"/>
        <v>0</v>
      </c>
      <c r="AK231" s="20">
        <f>AE231*(MAX(0,MIN(AB231,Parámetros!$B$11)-MAX(X231,0))+MAX(0,MIN(AB231,1)-MAX(X231,AD231)))+AF231*(MAX(0,MIN(AB231,1+Parámetros!$B$11)-MAX(X231,1))+MAX(0,MIN(AB231,2)-MAX(X231,1+AD231)))</f>
        <v>0</v>
      </c>
      <c r="AL231" s="20">
        <f t="shared" si="78"/>
        <v>0</v>
      </c>
      <c r="AM231" s="20">
        <f>MAX(0,MIN(AC231,Parámetros!$B$11)-MAX(AB231,0))+MAX(0,MIN(AC231,1+Parámetros!$B$11)-MAX(AB231,AD231))+MAX(0,MIN(AC231,2)-MAX(AB231,1+AD231))</f>
        <v>0</v>
      </c>
      <c r="AN231" s="20">
        <f t="shared" si="79"/>
        <v>0</v>
      </c>
      <c r="AO231" s="20">
        <f>AE231*(MAX(0,MIN(AC231,Parámetros!$B$11)-MAX(AB231,0))+MAX(0,MIN(AC231,1)-MAX(AB231,AD231)))+AF231*(MAX(0,MIN(AC231,1+Parámetros!$B$11)-MAX(AB231,1))+MAX(0,MIN(AC231,2)-MAX(AB231,1+AD231)))</f>
        <v>0</v>
      </c>
    </row>
    <row r="232" spans="1:41" x14ac:dyDescent="0.25">
      <c r="A232" s="15"/>
      <c r="B232" s="8"/>
      <c r="C232" s="5" t="str">
        <f>IF(B232="","",IFERROR(INDEX(Trabajadores!$B$5:$B$204,MATCH(B232,Trabajadores!$A$5:$A$204,0)),"Cédula no registrada"))</f>
        <v/>
      </c>
      <c r="D232" s="11"/>
      <c r="E232" s="11"/>
      <c r="F232" s="8"/>
      <c r="G232" s="18" t="str">
        <f>IF(A232="","",IFERROR(INDEX(Trabajadores!$E$5:$E$204,MATCH(B232,Trabajadores!$A$5:$A$204,0))/Parámetros!$B$6,0)+IF(IFERROR(INDEX(Trabajadores!$E$5:$E$204,MATCH(B232,Trabajadores!$A$5:$A$204,0)),"")="",Parámetros!$B$7,0))</f>
        <v/>
      </c>
      <c r="H232" s="5" t="str">
        <f t="shared" si="60"/>
        <v/>
      </c>
      <c r="I232" s="5" t="str">
        <f>IF(A232="","",IF(COUNTIF(Festivos!$A$5:$A$451,A232)&gt;0,"Festivo",IF(WEEKDAY(A232,2)=7,"Domingo",IF(AND(AF232=1,AC232&gt;1),IF(COUNTIF(Festivos!$A$5:$A$451,A232+1)&gt;0,"Festivo","Domingo")&amp;" desde las 00:00",""))))</f>
        <v/>
      </c>
      <c r="J232" s="19" t="str">
        <f t="shared" si="61"/>
        <v/>
      </c>
      <c r="K232" s="19" t="str">
        <f t="shared" si="62"/>
        <v/>
      </c>
      <c r="L232" s="19" t="str">
        <f t="shared" si="63"/>
        <v/>
      </c>
      <c r="M232" s="19" t="str">
        <f t="shared" si="64"/>
        <v/>
      </c>
      <c r="N232" s="19" t="str">
        <f t="shared" si="65"/>
        <v/>
      </c>
      <c r="O232" s="19" t="str">
        <f t="shared" si="66"/>
        <v/>
      </c>
      <c r="P232" s="19" t="str">
        <f t="shared" si="67"/>
        <v/>
      </c>
      <c r="Q232" s="19" t="str">
        <f t="shared" si="68"/>
        <v/>
      </c>
      <c r="R232" s="19" t="str">
        <f t="shared" si="69"/>
        <v/>
      </c>
      <c r="S232" s="17" t="str">
        <f>IF(B232="","",IFERROR(INDEX(Trabajadores!$G$5:$G$204,MATCH(B232,Trabajadores!$A$5:$A$204,0)),""))</f>
        <v/>
      </c>
      <c r="T232" s="17" t="str">
        <f>IF(OR(OR(A232="",D232="",E232=""),S232=""),"",ROUND(S232*(N(L232)*Parámetros!$B$8+N(M232)*(1+Parámetros!$B$9)+N(N232)*(1+Parámetros!$B$10)+N(O232)*(1+AG232)+N(P232)*(1+AG232+Parámetros!$B$8)+N(Q232)*(1+AG232+Parámetros!$B$9)+N(R232)*(1+AG232+Parámetros!$B$10)),0))</f>
        <v/>
      </c>
      <c r="U232" s="5" t="str">
        <f>IF(OR(A232="",D232="",E232=""),"",IF(N(M232)+N(N232)+N(Q232)+N(R232)&gt;Parámetros!$B$12,"Supera el límite de horas extras diarias",IF(C232="Cédula no registrada","Registre la cédula en «Trabajadores»","")))</f>
        <v/>
      </c>
      <c r="X232" s="20">
        <f t="shared" si="70"/>
        <v>0</v>
      </c>
      <c r="Y232" s="20">
        <f t="shared" si="71"/>
        <v>0</v>
      </c>
      <c r="Z232" s="20">
        <f t="shared" si="72"/>
        <v>0</v>
      </c>
      <c r="AA232" s="20">
        <f t="shared" si="73"/>
        <v>0</v>
      </c>
      <c r="AB232" s="20">
        <f t="shared" si="74"/>
        <v>0</v>
      </c>
      <c r="AC232" s="20">
        <f t="shared" si="75"/>
        <v>0</v>
      </c>
      <c r="AD232" s="20">
        <f>IF(A232="",21/24,MOD(VLOOKUP(A232,Parámetros!$A$24:$B$25,2,TRUE()),1))</f>
        <v>0.875</v>
      </c>
      <c r="AE232" s="5">
        <f>IF(A232="",0,IF(OR(WEEKDAY(A232,2)=7,COUNTIF(Festivos!$A$5:$A$451,A232)&gt;0),1,0))</f>
        <v>0</v>
      </c>
      <c r="AF232" s="5">
        <f>IF(A232="",0,IF(OR(WEEKDAY(A232+1,2)=7,COUNTIF(Festivos!$A$5:$A$451,A232+1)&gt;0),1,0))</f>
        <v>0</v>
      </c>
      <c r="AG232" s="9">
        <f>IF(A232="",0,VLOOKUP(A232,Parámetros!$A$18:$B$21,2,TRUE()))</f>
        <v>0</v>
      </c>
      <c r="AH232" s="20">
        <f t="shared" si="76"/>
        <v>0</v>
      </c>
      <c r="AI232" s="20">
        <f>MAX(0,MIN(AB232,Parámetros!$B$11)-MAX(X232,0))+MAX(0,MIN(AB232,1+Parámetros!$B$11)-MAX(X232,AD232))+MAX(0,MIN(AB232,2)-MAX(X232,1+AD232))</f>
        <v>0</v>
      </c>
      <c r="AJ232" s="20">
        <f t="shared" si="77"/>
        <v>0</v>
      </c>
      <c r="AK232" s="20">
        <f>AE232*(MAX(0,MIN(AB232,Parámetros!$B$11)-MAX(X232,0))+MAX(0,MIN(AB232,1)-MAX(X232,AD232)))+AF232*(MAX(0,MIN(AB232,1+Parámetros!$B$11)-MAX(X232,1))+MAX(0,MIN(AB232,2)-MAX(X232,1+AD232)))</f>
        <v>0</v>
      </c>
      <c r="AL232" s="20">
        <f t="shared" si="78"/>
        <v>0</v>
      </c>
      <c r="AM232" s="20">
        <f>MAX(0,MIN(AC232,Parámetros!$B$11)-MAX(AB232,0))+MAX(0,MIN(AC232,1+Parámetros!$B$11)-MAX(AB232,AD232))+MAX(0,MIN(AC232,2)-MAX(AB232,1+AD232))</f>
        <v>0</v>
      </c>
      <c r="AN232" s="20">
        <f t="shared" si="79"/>
        <v>0</v>
      </c>
      <c r="AO232" s="20">
        <f>AE232*(MAX(0,MIN(AC232,Parámetros!$B$11)-MAX(AB232,0))+MAX(0,MIN(AC232,1)-MAX(AB232,AD232)))+AF232*(MAX(0,MIN(AC232,1+Parámetros!$B$11)-MAX(AB232,1))+MAX(0,MIN(AC232,2)-MAX(AB232,1+AD232)))</f>
        <v>0</v>
      </c>
    </row>
    <row r="233" spans="1:41" x14ac:dyDescent="0.25">
      <c r="A233" s="15"/>
      <c r="B233" s="8"/>
      <c r="C233" s="5" t="str">
        <f>IF(B233="","",IFERROR(INDEX(Trabajadores!$B$5:$B$204,MATCH(B233,Trabajadores!$A$5:$A$204,0)),"Cédula no registrada"))</f>
        <v/>
      </c>
      <c r="D233" s="11"/>
      <c r="E233" s="11"/>
      <c r="F233" s="8"/>
      <c r="G233" s="18" t="str">
        <f>IF(A233="","",IFERROR(INDEX(Trabajadores!$E$5:$E$204,MATCH(B233,Trabajadores!$A$5:$A$204,0))/Parámetros!$B$6,0)+IF(IFERROR(INDEX(Trabajadores!$E$5:$E$204,MATCH(B233,Trabajadores!$A$5:$A$204,0)),"")="",Parámetros!$B$7,0))</f>
        <v/>
      </c>
      <c r="H233" s="5" t="str">
        <f t="shared" si="60"/>
        <v/>
      </c>
      <c r="I233" s="5" t="str">
        <f>IF(A233="","",IF(COUNTIF(Festivos!$A$5:$A$451,A233)&gt;0,"Festivo",IF(WEEKDAY(A233,2)=7,"Domingo",IF(AND(AF233=1,AC233&gt;1),IF(COUNTIF(Festivos!$A$5:$A$451,A233+1)&gt;0,"Festivo","Domingo")&amp;" desde las 00:00",""))))</f>
        <v/>
      </c>
      <c r="J233" s="19" t="str">
        <f t="shared" si="61"/>
        <v/>
      </c>
      <c r="K233" s="19" t="str">
        <f t="shared" si="62"/>
        <v/>
      </c>
      <c r="L233" s="19" t="str">
        <f t="shared" si="63"/>
        <v/>
      </c>
      <c r="M233" s="19" t="str">
        <f t="shared" si="64"/>
        <v/>
      </c>
      <c r="N233" s="19" t="str">
        <f t="shared" si="65"/>
        <v/>
      </c>
      <c r="O233" s="19" t="str">
        <f t="shared" si="66"/>
        <v/>
      </c>
      <c r="P233" s="19" t="str">
        <f t="shared" si="67"/>
        <v/>
      </c>
      <c r="Q233" s="19" t="str">
        <f t="shared" si="68"/>
        <v/>
      </c>
      <c r="R233" s="19" t="str">
        <f t="shared" si="69"/>
        <v/>
      </c>
      <c r="S233" s="17" t="str">
        <f>IF(B233="","",IFERROR(INDEX(Trabajadores!$G$5:$G$204,MATCH(B233,Trabajadores!$A$5:$A$204,0)),""))</f>
        <v/>
      </c>
      <c r="T233" s="17" t="str">
        <f>IF(OR(OR(A233="",D233="",E233=""),S233=""),"",ROUND(S233*(N(L233)*Parámetros!$B$8+N(M233)*(1+Parámetros!$B$9)+N(N233)*(1+Parámetros!$B$10)+N(O233)*(1+AG233)+N(P233)*(1+AG233+Parámetros!$B$8)+N(Q233)*(1+AG233+Parámetros!$B$9)+N(R233)*(1+AG233+Parámetros!$B$10)),0))</f>
        <v/>
      </c>
      <c r="U233" s="5" t="str">
        <f>IF(OR(A233="",D233="",E233=""),"",IF(N(M233)+N(N233)+N(Q233)+N(R233)&gt;Parámetros!$B$12,"Supera el límite de horas extras diarias",IF(C233="Cédula no registrada","Registre la cédula en «Trabajadores»","")))</f>
        <v/>
      </c>
      <c r="X233" s="20">
        <f t="shared" si="70"/>
        <v>0</v>
      </c>
      <c r="Y233" s="20">
        <f t="shared" si="71"/>
        <v>0</v>
      </c>
      <c r="Z233" s="20">
        <f t="shared" si="72"/>
        <v>0</v>
      </c>
      <c r="AA233" s="20">
        <f t="shared" si="73"/>
        <v>0</v>
      </c>
      <c r="AB233" s="20">
        <f t="shared" si="74"/>
        <v>0</v>
      </c>
      <c r="AC233" s="20">
        <f t="shared" si="75"/>
        <v>0</v>
      </c>
      <c r="AD233" s="20">
        <f>IF(A233="",21/24,MOD(VLOOKUP(A233,Parámetros!$A$24:$B$25,2,TRUE()),1))</f>
        <v>0.875</v>
      </c>
      <c r="AE233" s="5">
        <f>IF(A233="",0,IF(OR(WEEKDAY(A233,2)=7,COUNTIF(Festivos!$A$5:$A$451,A233)&gt;0),1,0))</f>
        <v>0</v>
      </c>
      <c r="AF233" s="5">
        <f>IF(A233="",0,IF(OR(WEEKDAY(A233+1,2)=7,COUNTIF(Festivos!$A$5:$A$451,A233+1)&gt;0),1,0))</f>
        <v>0</v>
      </c>
      <c r="AG233" s="9">
        <f>IF(A233="",0,VLOOKUP(A233,Parámetros!$A$18:$B$21,2,TRUE()))</f>
        <v>0</v>
      </c>
      <c r="AH233" s="20">
        <f t="shared" si="76"/>
        <v>0</v>
      </c>
      <c r="AI233" s="20">
        <f>MAX(0,MIN(AB233,Parámetros!$B$11)-MAX(X233,0))+MAX(0,MIN(AB233,1+Parámetros!$B$11)-MAX(X233,AD233))+MAX(0,MIN(AB233,2)-MAX(X233,1+AD233))</f>
        <v>0</v>
      </c>
      <c r="AJ233" s="20">
        <f t="shared" si="77"/>
        <v>0</v>
      </c>
      <c r="AK233" s="20">
        <f>AE233*(MAX(0,MIN(AB233,Parámetros!$B$11)-MAX(X233,0))+MAX(0,MIN(AB233,1)-MAX(X233,AD233)))+AF233*(MAX(0,MIN(AB233,1+Parámetros!$B$11)-MAX(X233,1))+MAX(0,MIN(AB233,2)-MAX(X233,1+AD233)))</f>
        <v>0</v>
      </c>
      <c r="AL233" s="20">
        <f t="shared" si="78"/>
        <v>0</v>
      </c>
      <c r="AM233" s="20">
        <f>MAX(0,MIN(AC233,Parámetros!$B$11)-MAX(AB233,0))+MAX(0,MIN(AC233,1+Parámetros!$B$11)-MAX(AB233,AD233))+MAX(0,MIN(AC233,2)-MAX(AB233,1+AD233))</f>
        <v>0</v>
      </c>
      <c r="AN233" s="20">
        <f t="shared" si="79"/>
        <v>0</v>
      </c>
      <c r="AO233" s="20">
        <f>AE233*(MAX(0,MIN(AC233,Parámetros!$B$11)-MAX(AB233,0))+MAX(0,MIN(AC233,1)-MAX(AB233,AD233)))+AF233*(MAX(0,MIN(AC233,1+Parámetros!$B$11)-MAX(AB233,1))+MAX(0,MIN(AC233,2)-MAX(AB233,1+AD233)))</f>
        <v>0</v>
      </c>
    </row>
    <row r="234" spans="1:41" x14ac:dyDescent="0.25">
      <c r="A234" s="15"/>
      <c r="B234" s="8"/>
      <c r="C234" s="5" t="str">
        <f>IF(B234="","",IFERROR(INDEX(Trabajadores!$B$5:$B$204,MATCH(B234,Trabajadores!$A$5:$A$204,0)),"Cédula no registrada"))</f>
        <v/>
      </c>
      <c r="D234" s="11"/>
      <c r="E234" s="11"/>
      <c r="F234" s="8"/>
      <c r="G234" s="18" t="str">
        <f>IF(A234="","",IFERROR(INDEX(Trabajadores!$E$5:$E$204,MATCH(B234,Trabajadores!$A$5:$A$204,0))/Parámetros!$B$6,0)+IF(IFERROR(INDEX(Trabajadores!$E$5:$E$204,MATCH(B234,Trabajadores!$A$5:$A$204,0)),"")="",Parámetros!$B$7,0))</f>
        <v/>
      </c>
      <c r="H234" s="5" t="str">
        <f t="shared" si="60"/>
        <v/>
      </c>
      <c r="I234" s="5" t="str">
        <f>IF(A234="","",IF(COUNTIF(Festivos!$A$5:$A$451,A234)&gt;0,"Festivo",IF(WEEKDAY(A234,2)=7,"Domingo",IF(AND(AF234=1,AC234&gt;1),IF(COUNTIF(Festivos!$A$5:$A$451,A234+1)&gt;0,"Festivo","Domingo")&amp;" desde las 00:00",""))))</f>
        <v/>
      </c>
      <c r="J234" s="19" t="str">
        <f t="shared" si="61"/>
        <v/>
      </c>
      <c r="K234" s="19" t="str">
        <f t="shared" si="62"/>
        <v/>
      </c>
      <c r="L234" s="19" t="str">
        <f t="shared" si="63"/>
        <v/>
      </c>
      <c r="M234" s="19" t="str">
        <f t="shared" si="64"/>
        <v/>
      </c>
      <c r="N234" s="19" t="str">
        <f t="shared" si="65"/>
        <v/>
      </c>
      <c r="O234" s="19" t="str">
        <f t="shared" si="66"/>
        <v/>
      </c>
      <c r="P234" s="19" t="str">
        <f t="shared" si="67"/>
        <v/>
      </c>
      <c r="Q234" s="19" t="str">
        <f t="shared" si="68"/>
        <v/>
      </c>
      <c r="R234" s="19" t="str">
        <f t="shared" si="69"/>
        <v/>
      </c>
      <c r="S234" s="17" t="str">
        <f>IF(B234="","",IFERROR(INDEX(Trabajadores!$G$5:$G$204,MATCH(B234,Trabajadores!$A$5:$A$204,0)),""))</f>
        <v/>
      </c>
      <c r="T234" s="17" t="str">
        <f>IF(OR(OR(A234="",D234="",E234=""),S234=""),"",ROUND(S234*(N(L234)*Parámetros!$B$8+N(M234)*(1+Parámetros!$B$9)+N(N234)*(1+Parámetros!$B$10)+N(O234)*(1+AG234)+N(P234)*(1+AG234+Parámetros!$B$8)+N(Q234)*(1+AG234+Parámetros!$B$9)+N(R234)*(1+AG234+Parámetros!$B$10)),0))</f>
        <v/>
      </c>
      <c r="U234" s="5" t="str">
        <f>IF(OR(A234="",D234="",E234=""),"",IF(N(M234)+N(N234)+N(Q234)+N(R234)&gt;Parámetros!$B$12,"Supera el límite de horas extras diarias",IF(C234="Cédula no registrada","Registre la cédula en «Trabajadores»","")))</f>
        <v/>
      </c>
      <c r="X234" s="20">
        <f t="shared" si="70"/>
        <v>0</v>
      </c>
      <c r="Y234" s="20">
        <f t="shared" si="71"/>
        <v>0</v>
      </c>
      <c r="Z234" s="20">
        <f t="shared" si="72"/>
        <v>0</v>
      </c>
      <c r="AA234" s="20">
        <f t="shared" si="73"/>
        <v>0</v>
      </c>
      <c r="AB234" s="20">
        <f t="shared" si="74"/>
        <v>0</v>
      </c>
      <c r="AC234" s="20">
        <f t="shared" si="75"/>
        <v>0</v>
      </c>
      <c r="AD234" s="20">
        <f>IF(A234="",21/24,MOD(VLOOKUP(A234,Parámetros!$A$24:$B$25,2,TRUE()),1))</f>
        <v>0.875</v>
      </c>
      <c r="AE234" s="5">
        <f>IF(A234="",0,IF(OR(WEEKDAY(A234,2)=7,COUNTIF(Festivos!$A$5:$A$451,A234)&gt;0),1,0))</f>
        <v>0</v>
      </c>
      <c r="AF234" s="5">
        <f>IF(A234="",0,IF(OR(WEEKDAY(A234+1,2)=7,COUNTIF(Festivos!$A$5:$A$451,A234+1)&gt;0),1,0))</f>
        <v>0</v>
      </c>
      <c r="AG234" s="9">
        <f>IF(A234="",0,VLOOKUP(A234,Parámetros!$A$18:$B$21,2,TRUE()))</f>
        <v>0</v>
      </c>
      <c r="AH234" s="20">
        <f t="shared" si="76"/>
        <v>0</v>
      </c>
      <c r="AI234" s="20">
        <f>MAX(0,MIN(AB234,Parámetros!$B$11)-MAX(X234,0))+MAX(0,MIN(AB234,1+Parámetros!$B$11)-MAX(X234,AD234))+MAX(0,MIN(AB234,2)-MAX(X234,1+AD234))</f>
        <v>0</v>
      </c>
      <c r="AJ234" s="20">
        <f t="shared" si="77"/>
        <v>0</v>
      </c>
      <c r="AK234" s="20">
        <f>AE234*(MAX(0,MIN(AB234,Parámetros!$B$11)-MAX(X234,0))+MAX(0,MIN(AB234,1)-MAX(X234,AD234)))+AF234*(MAX(0,MIN(AB234,1+Parámetros!$B$11)-MAX(X234,1))+MAX(0,MIN(AB234,2)-MAX(X234,1+AD234)))</f>
        <v>0</v>
      </c>
      <c r="AL234" s="20">
        <f t="shared" si="78"/>
        <v>0</v>
      </c>
      <c r="AM234" s="20">
        <f>MAX(0,MIN(AC234,Parámetros!$B$11)-MAX(AB234,0))+MAX(0,MIN(AC234,1+Parámetros!$B$11)-MAX(AB234,AD234))+MAX(0,MIN(AC234,2)-MAX(AB234,1+AD234))</f>
        <v>0</v>
      </c>
      <c r="AN234" s="20">
        <f t="shared" si="79"/>
        <v>0</v>
      </c>
      <c r="AO234" s="20">
        <f>AE234*(MAX(0,MIN(AC234,Parámetros!$B$11)-MAX(AB234,0))+MAX(0,MIN(AC234,1)-MAX(AB234,AD234)))+AF234*(MAX(0,MIN(AC234,1+Parámetros!$B$11)-MAX(AB234,1))+MAX(0,MIN(AC234,2)-MAX(AB234,1+AD234)))</f>
        <v>0</v>
      </c>
    </row>
    <row r="235" spans="1:41" x14ac:dyDescent="0.25">
      <c r="A235" s="15"/>
      <c r="B235" s="8"/>
      <c r="C235" s="5" t="str">
        <f>IF(B235="","",IFERROR(INDEX(Trabajadores!$B$5:$B$204,MATCH(B235,Trabajadores!$A$5:$A$204,0)),"Cédula no registrada"))</f>
        <v/>
      </c>
      <c r="D235" s="11"/>
      <c r="E235" s="11"/>
      <c r="F235" s="8"/>
      <c r="G235" s="18" t="str">
        <f>IF(A235="","",IFERROR(INDEX(Trabajadores!$E$5:$E$204,MATCH(B235,Trabajadores!$A$5:$A$204,0))/Parámetros!$B$6,0)+IF(IFERROR(INDEX(Trabajadores!$E$5:$E$204,MATCH(B235,Trabajadores!$A$5:$A$204,0)),"")="",Parámetros!$B$7,0))</f>
        <v/>
      </c>
      <c r="H235" s="5" t="str">
        <f t="shared" si="60"/>
        <v/>
      </c>
      <c r="I235" s="5" t="str">
        <f>IF(A235="","",IF(COUNTIF(Festivos!$A$5:$A$451,A235)&gt;0,"Festivo",IF(WEEKDAY(A235,2)=7,"Domingo",IF(AND(AF235=1,AC235&gt;1),IF(COUNTIF(Festivos!$A$5:$A$451,A235+1)&gt;0,"Festivo","Domingo")&amp;" desde las 00:00",""))))</f>
        <v/>
      </c>
      <c r="J235" s="19" t="str">
        <f t="shared" si="61"/>
        <v/>
      </c>
      <c r="K235" s="19" t="str">
        <f t="shared" si="62"/>
        <v/>
      </c>
      <c r="L235" s="19" t="str">
        <f t="shared" si="63"/>
        <v/>
      </c>
      <c r="M235" s="19" t="str">
        <f t="shared" si="64"/>
        <v/>
      </c>
      <c r="N235" s="19" t="str">
        <f t="shared" si="65"/>
        <v/>
      </c>
      <c r="O235" s="19" t="str">
        <f t="shared" si="66"/>
        <v/>
      </c>
      <c r="P235" s="19" t="str">
        <f t="shared" si="67"/>
        <v/>
      </c>
      <c r="Q235" s="19" t="str">
        <f t="shared" si="68"/>
        <v/>
      </c>
      <c r="R235" s="19" t="str">
        <f t="shared" si="69"/>
        <v/>
      </c>
      <c r="S235" s="17" t="str">
        <f>IF(B235="","",IFERROR(INDEX(Trabajadores!$G$5:$G$204,MATCH(B235,Trabajadores!$A$5:$A$204,0)),""))</f>
        <v/>
      </c>
      <c r="T235" s="17" t="str">
        <f>IF(OR(OR(A235="",D235="",E235=""),S235=""),"",ROUND(S235*(N(L235)*Parámetros!$B$8+N(M235)*(1+Parámetros!$B$9)+N(N235)*(1+Parámetros!$B$10)+N(O235)*(1+AG235)+N(P235)*(1+AG235+Parámetros!$B$8)+N(Q235)*(1+AG235+Parámetros!$B$9)+N(R235)*(1+AG235+Parámetros!$B$10)),0))</f>
        <v/>
      </c>
      <c r="U235" s="5" t="str">
        <f>IF(OR(A235="",D235="",E235=""),"",IF(N(M235)+N(N235)+N(Q235)+N(R235)&gt;Parámetros!$B$12,"Supera el límite de horas extras diarias",IF(C235="Cédula no registrada","Registre la cédula en «Trabajadores»","")))</f>
        <v/>
      </c>
      <c r="X235" s="20">
        <f t="shared" si="70"/>
        <v>0</v>
      </c>
      <c r="Y235" s="20">
        <f t="shared" si="71"/>
        <v>0</v>
      </c>
      <c r="Z235" s="20">
        <f t="shared" si="72"/>
        <v>0</v>
      </c>
      <c r="AA235" s="20">
        <f t="shared" si="73"/>
        <v>0</v>
      </c>
      <c r="AB235" s="20">
        <f t="shared" si="74"/>
        <v>0</v>
      </c>
      <c r="AC235" s="20">
        <f t="shared" si="75"/>
        <v>0</v>
      </c>
      <c r="AD235" s="20">
        <f>IF(A235="",21/24,MOD(VLOOKUP(A235,Parámetros!$A$24:$B$25,2,TRUE()),1))</f>
        <v>0.875</v>
      </c>
      <c r="AE235" s="5">
        <f>IF(A235="",0,IF(OR(WEEKDAY(A235,2)=7,COUNTIF(Festivos!$A$5:$A$451,A235)&gt;0),1,0))</f>
        <v>0</v>
      </c>
      <c r="AF235" s="5">
        <f>IF(A235="",0,IF(OR(WEEKDAY(A235+1,2)=7,COUNTIF(Festivos!$A$5:$A$451,A235+1)&gt;0),1,0))</f>
        <v>0</v>
      </c>
      <c r="AG235" s="9">
        <f>IF(A235="",0,VLOOKUP(A235,Parámetros!$A$18:$B$21,2,TRUE()))</f>
        <v>0</v>
      </c>
      <c r="AH235" s="20">
        <f t="shared" si="76"/>
        <v>0</v>
      </c>
      <c r="AI235" s="20">
        <f>MAX(0,MIN(AB235,Parámetros!$B$11)-MAX(X235,0))+MAX(0,MIN(AB235,1+Parámetros!$B$11)-MAX(X235,AD235))+MAX(0,MIN(AB235,2)-MAX(X235,1+AD235))</f>
        <v>0</v>
      </c>
      <c r="AJ235" s="20">
        <f t="shared" si="77"/>
        <v>0</v>
      </c>
      <c r="AK235" s="20">
        <f>AE235*(MAX(0,MIN(AB235,Parámetros!$B$11)-MAX(X235,0))+MAX(0,MIN(AB235,1)-MAX(X235,AD235)))+AF235*(MAX(0,MIN(AB235,1+Parámetros!$B$11)-MAX(X235,1))+MAX(0,MIN(AB235,2)-MAX(X235,1+AD235)))</f>
        <v>0</v>
      </c>
      <c r="AL235" s="20">
        <f t="shared" si="78"/>
        <v>0</v>
      </c>
      <c r="AM235" s="20">
        <f>MAX(0,MIN(AC235,Parámetros!$B$11)-MAX(AB235,0))+MAX(0,MIN(AC235,1+Parámetros!$B$11)-MAX(AB235,AD235))+MAX(0,MIN(AC235,2)-MAX(AB235,1+AD235))</f>
        <v>0</v>
      </c>
      <c r="AN235" s="20">
        <f t="shared" si="79"/>
        <v>0</v>
      </c>
      <c r="AO235" s="20">
        <f>AE235*(MAX(0,MIN(AC235,Parámetros!$B$11)-MAX(AB235,0))+MAX(0,MIN(AC235,1)-MAX(AB235,AD235)))+AF235*(MAX(0,MIN(AC235,1+Parámetros!$B$11)-MAX(AB235,1))+MAX(0,MIN(AC235,2)-MAX(AB235,1+AD235)))</f>
        <v>0</v>
      </c>
    </row>
    <row r="236" spans="1:41" x14ac:dyDescent="0.25">
      <c r="A236" s="15"/>
      <c r="B236" s="8"/>
      <c r="C236" s="5" t="str">
        <f>IF(B236="","",IFERROR(INDEX(Trabajadores!$B$5:$B$204,MATCH(B236,Trabajadores!$A$5:$A$204,0)),"Cédula no registrada"))</f>
        <v/>
      </c>
      <c r="D236" s="11"/>
      <c r="E236" s="11"/>
      <c r="F236" s="8"/>
      <c r="G236" s="18" t="str">
        <f>IF(A236="","",IFERROR(INDEX(Trabajadores!$E$5:$E$204,MATCH(B236,Trabajadores!$A$5:$A$204,0))/Parámetros!$B$6,0)+IF(IFERROR(INDEX(Trabajadores!$E$5:$E$204,MATCH(B236,Trabajadores!$A$5:$A$204,0)),"")="",Parámetros!$B$7,0))</f>
        <v/>
      </c>
      <c r="H236" s="5" t="str">
        <f t="shared" si="60"/>
        <v/>
      </c>
      <c r="I236" s="5" t="str">
        <f>IF(A236="","",IF(COUNTIF(Festivos!$A$5:$A$451,A236)&gt;0,"Festivo",IF(WEEKDAY(A236,2)=7,"Domingo",IF(AND(AF236=1,AC236&gt;1),IF(COUNTIF(Festivos!$A$5:$A$451,A236+1)&gt;0,"Festivo","Domingo")&amp;" desde las 00:00",""))))</f>
        <v/>
      </c>
      <c r="J236" s="19" t="str">
        <f t="shared" si="61"/>
        <v/>
      </c>
      <c r="K236" s="19" t="str">
        <f t="shared" si="62"/>
        <v/>
      </c>
      <c r="L236" s="19" t="str">
        <f t="shared" si="63"/>
        <v/>
      </c>
      <c r="M236" s="19" t="str">
        <f t="shared" si="64"/>
        <v/>
      </c>
      <c r="N236" s="19" t="str">
        <f t="shared" si="65"/>
        <v/>
      </c>
      <c r="O236" s="19" t="str">
        <f t="shared" si="66"/>
        <v/>
      </c>
      <c r="P236" s="19" t="str">
        <f t="shared" si="67"/>
        <v/>
      </c>
      <c r="Q236" s="19" t="str">
        <f t="shared" si="68"/>
        <v/>
      </c>
      <c r="R236" s="19" t="str">
        <f t="shared" si="69"/>
        <v/>
      </c>
      <c r="S236" s="17" t="str">
        <f>IF(B236="","",IFERROR(INDEX(Trabajadores!$G$5:$G$204,MATCH(B236,Trabajadores!$A$5:$A$204,0)),""))</f>
        <v/>
      </c>
      <c r="T236" s="17" t="str">
        <f>IF(OR(OR(A236="",D236="",E236=""),S236=""),"",ROUND(S236*(N(L236)*Parámetros!$B$8+N(M236)*(1+Parámetros!$B$9)+N(N236)*(1+Parámetros!$B$10)+N(O236)*(1+AG236)+N(P236)*(1+AG236+Parámetros!$B$8)+N(Q236)*(1+AG236+Parámetros!$B$9)+N(R236)*(1+AG236+Parámetros!$B$10)),0))</f>
        <v/>
      </c>
      <c r="U236" s="5" t="str">
        <f>IF(OR(A236="",D236="",E236=""),"",IF(N(M236)+N(N236)+N(Q236)+N(R236)&gt;Parámetros!$B$12,"Supera el límite de horas extras diarias",IF(C236="Cédula no registrada","Registre la cédula en «Trabajadores»","")))</f>
        <v/>
      </c>
      <c r="X236" s="20">
        <f t="shared" si="70"/>
        <v>0</v>
      </c>
      <c r="Y236" s="20">
        <f t="shared" si="71"/>
        <v>0</v>
      </c>
      <c r="Z236" s="20">
        <f t="shared" si="72"/>
        <v>0</v>
      </c>
      <c r="AA236" s="20">
        <f t="shared" si="73"/>
        <v>0</v>
      </c>
      <c r="AB236" s="20">
        <f t="shared" si="74"/>
        <v>0</v>
      </c>
      <c r="AC236" s="20">
        <f t="shared" si="75"/>
        <v>0</v>
      </c>
      <c r="AD236" s="20">
        <f>IF(A236="",21/24,MOD(VLOOKUP(A236,Parámetros!$A$24:$B$25,2,TRUE()),1))</f>
        <v>0.875</v>
      </c>
      <c r="AE236" s="5">
        <f>IF(A236="",0,IF(OR(WEEKDAY(A236,2)=7,COUNTIF(Festivos!$A$5:$A$451,A236)&gt;0),1,0))</f>
        <v>0</v>
      </c>
      <c r="AF236" s="5">
        <f>IF(A236="",0,IF(OR(WEEKDAY(A236+1,2)=7,COUNTIF(Festivos!$A$5:$A$451,A236+1)&gt;0),1,0))</f>
        <v>0</v>
      </c>
      <c r="AG236" s="9">
        <f>IF(A236="",0,VLOOKUP(A236,Parámetros!$A$18:$B$21,2,TRUE()))</f>
        <v>0</v>
      </c>
      <c r="AH236" s="20">
        <f t="shared" si="76"/>
        <v>0</v>
      </c>
      <c r="AI236" s="20">
        <f>MAX(0,MIN(AB236,Parámetros!$B$11)-MAX(X236,0))+MAX(0,MIN(AB236,1+Parámetros!$B$11)-MAX(X236,AD236))+MAX(0,MIN(AB236,2)-MAX(X236,1+AD236))</f>
        <v>0</v>
      </c>
      <c r="AJ236" s="20">
        <f t="shared" si="77"/>
        <v>0</v>
      </c>
      <c r="AK236" s="20">
        <f>AE236*(MAX(0,MIN(AB236,Parámetros!$B$11)-MAX(X236,0))+MAX(0,MIN(AB236,1)-MAX(X236,AD236)))+AF236*(MAX(0,MIN(AB236,1+Parámetros!$B$11)-MAX(X236,1))+MAX(0,MIN(AB236,2)-MAX(X236,1+AD236)))</f>
        <v>0</v>
      </c>
      <c r="AL236" s="20">
        <f t="shared" si="78"/>
        <v>0</v>
      </c>
      <c r="AM236" s="20">
        <f>MAX(0,MIN(AC236,Parámetros!$B$11)-MAX(AB236,0))+MAX(0,MIN(AC236,1+Parámetros!$B$11)-MAX(AB236,AD236))+MAX(0,MIN(AC236,2)-MAX(AB236,1+AD236))</f>
        <v>0</v>
      </c>
      <c r="AN236" s="20">
        <f t="shared" si="79"/>
        <v>0</v>
      </c>
      <c r="AO236" s="20">
        <f>AE236*(MAX(0,MIN(AC236,Parámetros!$B$11)-MAX(AB236,0))+MAX(0,MIN(AC236,1)-MAX(AB236,AD236)))+AF236*(MAX(0,MIN(AC236,1+Parámetros!$B$11)-MAX(AB236,1))+MAX(0,MIN(AC236,2)-MAX(AB236,1+AD236)))</f>
        <v>0</v>
      </c>
    </row>
    <row r="237" spans="1:41" x14ac:dyDescent="0.25">
      <c r="A237" s="15"/>
      <c r="B237" s="8"/>
      <c r="C237" s="5" t="str">
        <f>IF(B237="","",IFERROR(INDEX(Trabajadores!$B$5:$B$204,MATCH(B237,Trabajadores!$A$5:$A$204,0)),"Cédula no registrada"))</f>
        <v/>
      </c>
      <c r="D237" s="11"/>
      <c r="E237" s="11"/>
      <c r="F237" s="8"/>
      <c r="G237" s="18" t="str">
        <f>IF(A237="","",IFERROR(INDEX(Trabajadores!$E$5:$E$204,MATCH(B237,Trabajadores!$A$5:$A$204,0))/Parámetros!$B$6,0)+IF(IFERROR(INDEX(Trabajadores!$E$5:$E$204,MATCH(B237,Trabajadores!$A$5:$A$204,0)),"")="",Parámetros!$B$7,0))</f>
        <v/>
      </c>
      <c r="H237" s="5" t="str">
        <f t="shared" si="60"/>
        <v/>
      </c>
      <c r="I237" s="5" t="str">
        <f>IF(A237="","",IF(COUNTIF(Festivos!$A$5:$A$451,A237)&gt;0,"Festivo",IF(WEEKDAY(A237,2)=7,"Domingo",IF(AND(AF237=1,AC237&gt;1),IF(COUNTIF(Festivos!$A$5:$A$451,A237+1)&gt;0,"Festivo","Domingo")&amp;" desde las 00:00",""))))</f>
        <v/>
      </c>
      <c r="J237" s="19" t="str">
        <f t="shared" si="61"/>
        <v/>
      </c>
      <c r="K237" s="19" t="str">
        <f t="shared" si="62"/>
        <v/>
      </c>
      <c r="L237" s="19" t="str">
        <f t="shared" si="63"/>
        <v/>
      </c>
      <c r="M237" s="19" t="str">
        <f t="shared" si="64"/>
        <v/>
      </c>
      <c r="N237" s="19" t="str">
        <f t="shared" si="65"/>
        <v/>
      </c>
      <c r="O237" s="19" t="str">
        <f t="shared" si="66"/>
        <v/>
      </c>
      <c r="P237" s="19" t="str">
        <f t="shared" si="67"/>
        <v/>
      </c>
      <c r="Q237" s="19" t="str">
        <f t="shared" si="68"/>
        <v/>
      </c>
      <c r="R237" s="19" t="str">
        <f t="shared" si="69"/>
        <v/>
      </c>
      <c r="S237" s="17" t="str">
        <f>IF(B237="","",IFERROR(INDEX(Trabajadores!$G$5:$G$204,MATCH(B237,Trabajadores!$A$5:$A$204,0)),""))</f>
        <v/>
      </c>
      <c r="T237" s="17" t="str">
        <f>IF(OR(OR(A237="",D237="",E237=""),S237=""),"",ROUND(S237*(N(L237)*Parámetros!$B$8+N(M237)*(1+Parámetros!$B$9)+N(N237)*(1+Parámetros!$B$10)+N(O237)*(1+AG237)+N(P237)*(1+AG237+Parámetros!$B$8)+N(Q237)*(1+AG237+Parámetros!$B$9)+N(R237)*(1+AG237+Parámetros!$B$10)),0))</f>
        <v/>
      </c>
      <c r="U237" s="5" t="str">
        <f>IF(OR(A237="",D237="",E237=""),"",IF(N(M237)+N(N237)+N(Q237)+N(R237)&gt;Parámetros!$B$12,"Supera el límite de horas extras diarias",IF(C237="Cédula no registrada","Registre la cédula en «Trabajadores»","")))</f>
        <v/>
      </c>
      <c r="X237" s="20">
        <f t="shared" si="70"/>
        <v>0</v>
      </c>
      <c r="Y237" s="20">
        <f t="shared" si="71"/>
        <v>0</v>
      </c>
      <c r="Z237" s="20">
        <f t="shared" si="72"/>
        <v>0</v>
      </c>
      <c r="AA237" s="20">
        <f t="shared" si="73"/>
        <v>0</v>
      </c>
      <c r="AB237" s="20">
        <f t="shared" si="74"/>
        <v>0</v>
      </c>
      <c r="AC237" s="20">
        <f t="shared" si="75"/>
        <v>0</v>
      </c>
      <c r="AD237" s="20">
        <f>IF(A237="",21/24,MOD(VLOOKUP(A237,Parámetros!$A$24:$B$25,2,TRUE()),1))</f>
        <v>0.875</v>
      </c>
      <c r="AE237" s="5">
        <f>IF(A237="",0,IF(OR(WEEKDAY(A237,2)=7,COUNTIF(Festivos!$A$5:$A$451,A237)&gt;0),1,0))</f>
        <v>0</v>
      </c>
      <c r="AF237" s="5">
        <f>IF(A237="",0,IF(OR(WEEKDAY(A237+1,2)=7,COUNTIF(Festivos!$A$5:$A$451,A237+1)&gt;0),1,0))</f>
        <v>0</v>
      </c>
      <c r="AG237" s="9">
        <f>IF(A237="",0,VLOOKUP(A237,Parámetros!$A$18:$B$21,2,TRUE()))</f>
        <v>0</v>
      </c>
      <c r="AH237" s="20">
        <f t="shared" si="76"/>
        <v>0</v>
      </c>
      <c r="AI237" s="20">
        <f>MAX(0,MIN(AB237,Parámetros!$B$11)-MAX(X237,0))+MAX(0,MIN(AB237,1+Parámetros!$B$11)-MAX(X237,AD237))+MAX(0,MIN(AB237,2)-MAX(X237,1+AD237))</f>
        <v>0</v>
      </c>
      <c r="AJ237" s="20">
        <f t="shared" si="77"/>
        <v>0</v>
      </c>
      <c r="AK237" s="20">
        <f>AE237*(MAX(0,MIN(AB237,Parámetros!$B$11)-MAX(X237,0))+MAX(0,MIN(AB237,1)-MAX(X237,AD237)))+AF237*(MAX(0,MIN(AB237,1+Parámetros!$B$11)-MAX(X237,1))+MAX(0,MIN(AB237,2)-MAX(X237,1+AD237)))</f>
        <v>0</v>
      </c>
      <c r="AL237" s="20">
        <f t="shared" si="78"/>
        <v>0</v>
      </c>
      <c r="AM237" s="20">
        <f>MAX(0,MIN(AC237,Parámetros!$B$11)-MAX(AB237,0))+MAX(0,MIN(AC237,1+Parámetros!$B$11)-MAX(AB237,AD237))+MAX(0,MIN(AC237,2)-MAX(AB237,1+AD237))</f>
        <v>0</v>
      </c>
      <c r="AN237" s="20">
        <f t="shared" si="79"/>
        <v>0</v>
      </c>
      <c r="AO237" s="20">
        <f>AE237*(MAX(0,MIN(AC237,Parámetros!$B$11)-MAX(AB237,0))+MAX(0,MIN(AC237,1)-MAX(AB237,AD237)))+AF237*(MAX(0,MIN(AC237,1+Parámetros!$B$11)-MAX(AB237,1))+MAX(0,MIN(AC237,2)-MAX(AB237,1+AD237)))</f>
        <v>0</v>
      </c>
    </row>
    <row r="238" spans="1:41" x14ac:dyDescent="0.25">
      <c r="A238" s="15"/>
      <c r="B238" s="8"/>
      <c r="C238" s="5" t="str">
        <f>IF(B238="","",IFERROR(INDEX(Trabajadores!$B$5:$B$204,MATCH(B238,Trabajadores!$A$5:$A$204,0)),"Cédula no registrada"))</f>
        <v/>
      </c>
      <c r="D238" s="11"/>
      <c r="E238" s="11"/>
      <c r="F238" s="8"/>
      <c r="G238" s="18" t="str">
        <f>IF(A238="","",IFERROR(INDEX(Trabajadores!$E$5:$E$204,MATCH(B238,Trabajadores!$A$5:$A$204,0))/Parámetros!$B$6,0)+IF(IFERROR(INDEX(Trabajadores!$E$5:$E$204,MATCH(B238,Trabajadores!$A$5:$A$204,0)),"")="",Parámetros!$B$7,0))</f>
        <v/>
      </c>
      <c r="H238" s="5" t="str">
        <f t="shared" si="60"/>
        <v/>
      </c>
      <c r="I238" s="5" t="str">
        <f>IF(A238="","",IF(COUNTIF(Festivos!$A$5:$A$451,A238)&gt;0,"Festivo",IF(WEEKDAY(A238,2)=7,"Domingo",IF(AND(AF238=1,AC238&gt;1),IF(COUNTIF(Festivos!$A$5:$A$451,A238+1)&gt;0,"Festivo","Domingo")&amp;" desde las 00:00",""))))</f>
        <v/>
      </c>
      <c r="J238" s="19" t="str">
        <f t="shared" si="61"/>
        <v/>
      </c>
      <c r="K238" s="19" t="str">
        <f t="shared" si="62"/>
        <v/>
      </c>
      <c r="L238" s="19" t="str">
        <f t="shared" si="63"/>
        <v/>
      </c>
      <c r="M238" s="19" t="str">
        <f t="shared" si="64"/>
        <v/>
      </c>
      <c r="N238" s="19" t="str">
        <f t="shared" si="65"/>
        <v/>
      </c>
      <c r="O238" s="19" t="str">
        <f t="shared" si="66"/>
        <v/>
      </c>
      <c r="P238" s="19" t="str">
        <f t="shared" si="67"/>
        <v/>
      </c>
      <c r="Q238" s="19" t="str">
        <f t="shared" si="68"/>
        <v/>
      </c>
      <c r="R238" s="19" t="str">
        <f t="shared" si="69"/>
        <v/>
      </c>
      <c r="S238" s="17" t="str">
        <f>IF(B238="","",IFERROR(INDEX(Trabajadores!$G$5:$G$204,MATCH(B238,Trabajadores!$A$5:$A$204,0)),""))</f>
        <v/>
      </c>
      <c r="T238" s="17" t="str">
        <f>IF(OR(OR(A238="",D238="",E238=""),S238=""),"",ROUND(S238*(N(L238)*Parámetros!$B$8+N(M238)*(1+Parámetros!$B$9)+N(N238)*(1+Parámetros!$B$10)+N(O238)*(1+AG238)+N(P238)*(1+AG238+Parámetros!$B$8)+N(Q238)*(1+AG238+Parámetros!$B$9)+N(R238)*(1+AG238+Parámetros!$B$10)),0))</f>
        <v/>
      </c>
      <c r="U238" s="5" t="str">
        <f>IF(OR(A238="",D238="",E238=""),"",IF(N(M238)+N(N238)+N(Q238)+N(R238)&gt;Parámetros!$B$12,"Supera el límite de horas extras diarias",IF(C238="Cédula no registrada","Registre la cédula en «Trabajadores»","")))</f>
        <v/>
      </c>
      <c r="X238" s="20">
        <f t="shared" si="70"/>
        <v>0</v>
      </c>
      <c r="Y238" s="20">
        <f t="shared" si="71"/>
        <v>0</v>
      </c>
      <c r="Z238" s="20">
        <f t="shared" si="72"/>
        <v>0</v>
      </c>
      <c r="AA238" s="20">
        <f t="shared" si="73"/>
        <v>0</v>
      </c>
      <c r="AB238" s="20">
        <f t="shared" si="74"/>
        <v>0</v>
      </c>
      <c r="AC238" s="20">
        <f t="shared" si="75"/>
        <v>0</v>
      </c>
      <c r="AD238" s="20">
        <f>IF(A238="",21/24,MOD(VLOOKUP(A238,Parámetros!$A$24:$B$25,2,TRUE()),1))</f>
        <v>0.875</v>
      </c>
      <c r="AE238" s="5">
        <f>IF(A238="",0,IF(OR(WEEKDAY(A238,2)=7,COUNTIF(Festivos!$A$5:$A$451,A238)&gt;0),1,0))</f>
        <v>0</v>
      </c>
      <c r="AF238" s="5">
        <f>IF(A238="",0,IF(OR(WEEKDAY(A238+1,2)=7,COUNTIF(Festivos!$A$5:$A$451,A238+1)&gt;0),1,0))</f>
        <v>0</v>
      </c>
      <c r="AG238" s="9">
        <f>IF(A238="",0,VLOOKUP(A238,Parámetros!$A$18:$B$21,2,TRUE()))</f>
        <v>0</v>
      </c>
      <c r="AH238" s="20">
        <f t="shared" si="76"/>
        <v>0</v>
      </c>
      <c r="AI238" s="20">
        <f>MAX(0,MIN(AB238,Parámetros!$B$11)-MAX(X238,0))+MAX(0,MIN(AB238,1+Parámetros!$B$11)-MAX(X238,AD238))+MAX(0,MIN(AB238,2)-MAX(X238,1+AD238))</f>
        <v>0</v>
      </c>
      <c r="AJ238" s="20">
        <f t="shared" si="77"/>
        <v>0</v>
      </c>
      <c r="AK238" s="20">
        <f>AE238*(MAX(0,MIN(AB238,Parámetros!$B$11)-MAX(X238,0))+MAX(0,MIN(AB238,1)-MAX(X238,AD238)))+AF238*(MAX(0,MIN(AB238,1+Parámetros!$B$11)-MAX(X238,1))+MAX(0,MIN(AB238,2)-MAX(X238,1+AD238)))</f>
        <v>0</v>
      </c>
      <c r="AL238" s="20">
        <f t="shared" si="78"/>
        <v>0</v>
      </c>
      <c r="AM238" s="20">
        <f>MAX(0,MIN(AC238,Parámetros!$B$11)-MAX(AB238,0))+MAX(0,MIN(AC238,1+Parámetros!$B$11)-MAX(AB238,AD238))+MAX(0,MIN(AC238,2)-MAX(AB238,1+AD238))</f>
        <v>0</v>
      </c>
      <c r="AN238" s="20">
        <f t="shared" si="79"/>
        <v>0</v>
      </c>
      <c r="AO238" s="20">
        <f>AE238*(MAX(0,MIN(AC238,Parámetros!$B$11)-MAX(AB238,0))+MAX(0,MIN(AC238,1)-MAX(AB238,AD238)))+AF238*(MAX(0,MIN(AC238,1+Parámetros!$B$11)-MAX(AB238,1))+MAX(0,MIN(AC238,2)-MAX(AB238,1+AD238)))</f>
        <v>0</v>
      </c>
    </row>
    <row r="239" spans="1:41" x14ac:dyDescent="0.25">
      <c r="A239" s="15"/>
      <c r="B239" s="8"/>
      <c r="C239" s="5" t="str">
        <f>IF(B239="","",IFERROR(INDEX(Trabajadores!$B$5:$B$204,MATCH(B239,Trabajadores!$A$5:$A$204,0)),"Cédula no registrada"))</f>
        <v/>
      </c>
      <c r="D239" s="11"/>
      <c r="E239" s="11"/>
      <c r="F239" s="8"/>
      <c r="G239" s="18" t="str">
        <f>IF(A239="","",IFERROR(INDEX(Trabajadores!$E$5:$E$204,MATCH(B239,Trabajadores!$A$5:$A$204,0))/Parámetros!$B$6,0)+IF(IFERROR(INDEX(Trabajadores!$E$5:$E$204,MATCH(B239,Trabajadores!$A$5:$A$204,0)),"")="",Parámetros!$B$7,0))</f>
        <v/>
      </c>
      <c r="H239" s="5" t="str">
        <f t="shared" si="60"/>
        <v/>
      </c>
      <c r="I239" s="5" t="str">
        <f>IF(A239="","",IF(COUNTIF(Festivos!$A$5:$A$451,A239)&gt;0,"Festivo",IF(WEEKDAY(A239,2)=7,"Domingo",IF(AND(AF239=1,AC239&gt;1),IF(COUNTIF(Festivos!$A$5:$A$451,A239+1)&gt;0,"Festivo","Domingo")&amp;" desde las 00:00",""))))</f>
        <v/>
      </c>
      <c r="J239" s="19" t="str">
        <f t="shared" si="61"/>
        <v/>
      </c>
      <c r="K239" s="19" t="str">
        <f t="shared" si="62"/>
        <v/>
      </c>
      <c r="L239" s="19" t="str">
        <f t="shared" si="63"/>
        <v/>
      </c>
      <c r="M239" s="19" t="str">
        <f t="shared" si="64"/>
        <v/>
      </c>
      <c r="N239" s="19" t="str">
        <f t="shared" si="65"/>
        <v/>
      </c>
      <c r="O239" s="19" t="str">
        <f t="shared" si="66"/>
        <v/>
      </c>
      <c r="P239" s="19" t="str">
        <f t="shared" si="67"/>
        <v/>
      </c>
      <c r="Q239" s="19" t="str">
        <f t="shared" si="68"/>
        <v/>
      </c>
      <c r="R239" s="19" t="str">
        <f t="shared" si="69"/>
        <v/>
      </c>
      <c r="S239" s="17" t="str">
        <f>IF(B239="","",IFERROR(INDEX(Trabajadores!$G$5:$G$204,MATCH(B239,Trabajadores!$A$5:$A$204,0)),""))</f>
        <v/>
      </c>
      <c r="T239" s="17" t="str">
        <f>IF(OR(OR(A239="",D239="",E239=""),S239=""),"",ROUND(S239*(N(L239)*Parámetros!$B$8+N(M239)*(1+Parámetros!$B$9)+N(N239)*(1+Parámetros!$B$10)+N(O239)*(1+AG239)+N(P239)*(1+AG239+Parámetros!$B$8)+N(Q239)*(1+AG239+Parámetros!$B$9)+N(R239)*(1+AG239+Parámetros!$B$10)),0))</f>
        <v/>
      </c>
      <c r="U239" s="5" t="str">
        <f>IF(OR(A239="",D239="",E239=""),"",IF(N(M239)+N(N239)+N(Q239)+N(R239)&gt;Parámetros!$B$12,"Supera el límite de horas extras diarias",IF(C239="Cédula no registrada","Registre la cédula en «Trabajadores»","")))</f>
        <v/>
      </c>
      <c r="X239" s="20">
        <f t="shared" si="70"/>
        <v>0</v>
      </c>
      <c r="Y239" s="20">
        <f t="shared" si="71"/>
        <v>0</v>
      </c>
      <c r="Z239" s="20">
        <f t="shared" si="72"/>
        <v>0</v>
      </c>
      <c r="AA239" s="20">
        <f t="shared" si="73"/>
        <v>0</v>
      </c>
      <c r="AB239" s="20">
        <f t="shared" si="74"/>
        <v>0</v>
      </c>
      <c r="AC239" s="20">
        <f t="shared" si="75"/>
        <v>0</v>
      </c>
      <c r="AD239" s="20">
        <f>IF(A239="",21/24,MOD(VLOOKUP(A239,Parámetros!$A$24:$B$25,2,TRUE()),1))</f>
        <v>0.875</v>
      </c>
      <c r="AE239" s="5">
        <f>IF(A239="",0,IF(OR(WEEKDAY(A239,2)=7,COUNTIF(Festivos!$A$5:$A$451,A239)&gt;0),1,0))</f>
        <v>0</v>
      </c>
      <c r="AF239" s="5">
        <f>IF(A239="",0,IF(OR(WEEKDAY(A239+1,2)=7,COUNTIF(Festivos!$A$5:$A$451,A239+1)&gt;0),1,0))</f>
        <v>0</v>
      </c>
      <c r="AG239" s="9">
        <f>IF(A239="",0,VLOOKUP(A239,Parámetros!$A$18:$B$21,2,TRUE()))</f>
        <v>0</v>
      </c>
      <c r="AH239" s="20">
        <f t="shared" si="76"/>
        <v>0</v>
      </c>
      <c r="AI239" s="20">
        <f>MAX(0,MIN(AB239,Parámetros!$B$11)-MAX(X239,0))+MAX(0,MIN(AB239,1+Parámetros!$B$11)-MAX(X239,AD239))+MAX(0,MIN(AB239,2)-MAX(X239,1+AD239))</f>
        <v>0</v>
      </c>
      <c r="AJ239" s="20">
        <f t="shared" si="77"/>
        <v>0</v>
      </c>
      <c r="AK239" s="20">
        <f>AE239*(MAX(0,MIN(AB239,Parámetros!$B$11)-MAX(X239,0))+MAX(0,MIN(AB239,1)-MAX(X239,AD239)))+AF239*(MAX(0,MIN(AB239,1+Parámetros!$B$11)-MAX(X239,1))+MAX(0,MIN(AB239,2)-MAX(X239,1+AD239)))</f>
        <v>0</v>
      </c>
      <c r="AL239" s="20">
        <f t="shared" si="78"/>
        <v>0</v>
      </c>
      <c r="AM239" s="20">
        <f>MAX(0,MIN(AC239,Parámetros!$B$11)-MAX(AB239,0))+MAX(0,MIN(AC239,1+Parámetros!$B$11)-MAX(AB239,AD239))+MAX(0,MIN(AC239,2)-MAX(AB239,1+AD239))</f>
        <v>0</v>
      </c>
      <c r="AN239" s="20">
        <f t="shared" si="79"/>
        <v>0</v>
      </c>
      <c r="AO239" s="20">
        <f>AE239*(MAX(0,MIN(AC239,Parámetros!$B$11)-MAX(AB239,0))+MAX(0,MIN(AC239,1)-MAX(AB239,AD239)))+AF239*(MAX(0,MIN(AC239,1+Parámetros!$B$11)-MAX(AB239,1))+MAX(0,MIN(AC239,2)-MAX(AB239,1+AD239)))</f>
        <v>0</v>
      </c>
    </row>
    <row r="240" spans="1:41" x14ac:dyDescent="0.25">
      <c r="A240" s="15"/>
      <c r="B240" s="8"/>
      <c r="C240" s="5" t="str">
        <f>IF(B240="","",IFERROR(INDEX(Trabajadores!$B$5:$B$204,MATCH(B240,Trabajadores!$A$5:$A$204,0)),"Cédula no registrada"))</f>
        <v/>
      </c>
      <c r="D240" s="11"/>
      <c r="E240" s="11"/>
      <c r="F240" s="8"/>
      <c r="G240" s="18" t="str">
        <f>IF(A240="","",IFERROR(INDEX(Trabajadores!$E$5:$E$204,MATCH(B240,Trabajadores!$A$5:$A$204,0))/Parámetros!$B$6,0)+IF(IFERROR(INDEX(Trabajadores!$E$5:$E$204,MATCH(B240,Trabajadores!$A$5:$A$204,0)),"")="",Parámetros!$B$7,0))</f>
        <v/>
      </c>
      <c r="H240" s="5" t="str">
        <f t="shared" si="60"/>
        <v/>
      </c>
      <c r="I240" s="5" t="str">
        <f>IF(A240="","",IF(COUNTIF(Festivos!$A$5:$A$451,A240)&gt;0,"Festivo",IF(WEEKDAY(A240,2)=7,"Domingo",IF(AND(AF240=1,AC240&gt;1),IF(COUNTIF(Festivos!$A$5:$A$451,A240+1)&gt;0,"Festivo","Domingo")&amp;" desde las 00:00",""))))</f>
        <v/>
      </c>
      <c r="J240" s="19" t="str">
        <f t="shared" si="61"/>
        <v/>
      </c>
      <c r="K240" s="19" t="str">
        <f t="shared" si="62"/>
        <v/>
      </c>
      <c r="L240" s="19" t="str">
        <f t="shared" si="63"/>
        <v/>
      </c>
      <c r="M240" s="19" t="str">
        <f t="shared" si="64"/>
        <v/>
      </c>
      <c r="N240" s="19" t="str">
        <f t="shared" si="65"/>
        <v/>
      </c>
      <c r="O240" s="19" t="str">
        <f t="shared" si="66"/>
        <v/>
      </c>
      <c r="P240" s="19" t="str">
        <f t="shared" si="67"/>
        <v/>
      </c>
      <c r="Q240" s="19" t="str">
        <f t="shared" si="68"/>
        <v/>
      </c>
      <c r="R240" s="19" t="str">
        <f t="shared" si="69"/>
        <v/>
      </c>
      <c r="S240" s="17" t="str">
        <f>IF(B240="","",IFERROR(INDEX(Trabajadores!$G$5:$G$204,MATCH(B240,Trabajadores!$A$5:$A$204,0)),""))</f>
        <v/>
      </c>
      <c r="T240" s="17" t="str">
        <f>IF(OR(OR(A240="",D240="",E240=""),S240=""),"",ROUND(S240*(N(L240)*Parámetros!$B$8+N(M240)*(1+Parámetros!$B$9)+N(N240)*(1+Parámetros!$B$10)+N(O240)*(1+AG240)+N(P240)*(1+AG240+Parámetros!$B$8)+N(Q240)*(1+AG240+Parámetros!$B$9)+N(R240)*(1+AG240+Parámetros!$B$10)),0))</f>
        <v/>
      </c>
      <c r="U240" s="5" t="str">
        <f>IF(OR(A240="",D240="",E240=""),"",IF(N(M240)+N(N240)+N(Q240)+N(R240)&gt;Parámetros!$B$12,"Supera el límite de horas extras diarias",IF(C240="Cédula no registrada","Registre la cédula en «Trabajadores»","")))</f>
        <v/>
      </c>
      <c r="X240" s="20">
        <f t="shared" si="70"/>
        <v>0</v>
      </c>
      <c r="Y240" s="20">
        <f t="shared" si="71"/>
        <v>0</v>
      </c>
      <c r="Z240" s="20">
        <f t="shared" si="72"/>
        <v>0</v>
      </c>
      <c r="AA240" s="20">
        <f t="shared" si="73"/>
        <v>0</v>
      </c>
      <c r="AB240" s="20">
        <f t="shared" si="74"/>
        <v>0</v>
      </c>
      <c r="AC240" s="20">
        <f t="shared" si="75"/>
        <v>0</v>
      </c>
      <c r="AD240" s="20">
        <f>IF(A240="",21/24,MOD(VLOOKUP(A240,Parámetros!$A$24:$B$25,2,TRUE()),1))</f>
        <v>0.875</v>
      </c>
      <c r="AE240" s="5">
        <f>IF(A240="",0,IF(OR(WEEKDAY(A240,2)=7,COUNTIF(Festivos!$A$5:$A$451,A240)&gt;0),1,0))</f>
        <v>0</v>
      </c>
      <c r="AF240" s="5">
        <f>IF(A240="",0,IF(OR(WEEKDAY(A240+1,2)=7,COUNTIF(Festivos!$A$5:$A$451,A240+1)&gt;0),1,0))</f>
        <v>0</v>
      </c>
      <c r="AG240" s="9">
        <f>IF(A240="",0,VLOOKUP(A240,Parámetros!$A$18:$B$21,2,TRUE()))</f>
        <v>0</v>
      </c>
      <c r="AH240" s="20">
        <f t="shared" si="76"/>
        <v>0</v>
      </c>
      <c r="AI240" s="20">
        <f>MAX(0,MIN(AB240,Parámetros!$B$11)-MAX(X240,0))+MAX(0,MIN(AB240,1+Parámetros!$B$11)-MAX(X240,AD240))+MAX(0,MIN(AB240,2)-MAX(X240,1+AD240))</f>
        <v>0</v>
      </c>
      <c r="AJ240" s="20">
        <f t="shared" si="77"/>
        <v>0</v>
      </c>
      <c r="AK240" s="20">
        <f>AE240*(MAX(0,MIN(AB240,Parámetros!$B$11)-MAX(X240,0))+MAX(0,MIN(AB240,1)-MAX(X240,AD240)))+AF240*(MAX(0,MIN(AB240,1+Parámetros!$B$11)-MAX(X240,1))+MAX(0,MIN(AB240,2)-MAX(X240,1+AD240)))</f>
        <v>0</v>
      </c>
      <c r="AL240" s="20">
        <f t="shared" si="78"/>
        <v>0</v>
      </c>
      <c r="AM240" s="20">
        <f>MAX(0,MIN(AC240,Parámetros!$B$11)-MAX(AB240,0))+MAX(0,MIN(AC240,1+Parámetros!$B$11)-MAX(AB240,AD240))+MAX(0,MIN(AC240,2)-MAX(AB240,1+AD240))</f>
        <v>0</v>
      </c>
      <c r="AN240" s="20">
        <f t="shared" si="79"/>
        <v>0</v>
      </c>
      <c r="AO240" s="20">
        <f>AE240*(MAX(0,MIN(AC240,Parámetros!$B$11)-MAX(AB240,0))+MAX(0,MIN(AC240,1)-MAX(AB240,AD240)))+AF240*(MAX(0,MIN(AC240,1+Parámetros!$B$11)-MAX(AB240,1))+MAX(0,MIN(AC240,2)-MAX(AB240,1+AD240)))</f>
        <v>0</v>
      </c>
    </row>
    <row r="241" spans="1:41" x14ac:dyDescent="0.25">
      <c r="A241" s="15"/>
      <c r="B241" s="8"/>
      <c r="C241" s="5" t="str">
        <f>IF(B241="","",IFERROR(INDEX(Trabajadores!$B$5:$B$204,MATCH(B241,Trabajadores!$A$5:$A$204,0)),"Cédula no registrada"))</f>
        <v/>
      </c>
      <c r="D241" s="11"/>
      <c r="E241" s="11"/>
      <c r="F241" s="8"/>
      <c r="G241" s="18" t="str">
        <f>IF(A241="","",IFERROR(INDEX(Trabajadores!$E$5:$E$204,MATCH(B241,Trabajadores!$A$5:$A$204,0))/Parámetros!$B$6,0)+IF(IFERROR(INDEX(Trabajadores!$E$5:$E$204,MATCH(B241,Trabajadores!$A$5:$A$204,0)),"")="",Parámetros!$B$7,0))</f>
        <v/>
      </c>
      <c r="H241" s="5" t="str">
        <f t="shared" si="60"/>
        <v/>
      </c>
      <c r="I241" s="5" t="str">
        <f>IF(A241="","",IF(COUNTIF(Festivos!$A$5:$A$451,A241)&gt;0,"Festivo",IF(WEEKDAY(A241,2)=7,"Domingo",IF(AND(AF241=1,AC241&gt;1),IF(COUNTIF(Festivos!$A$5:$A$451,A241+1)&gt;0,"Festivo","Domingo")&amp;" desde las 00:00",""))))</f>
        <v/>
      </c>
      <c r="J241" s="19" t="str">
        <f t="shared" si="61"/>
        <v/>
      </c>
      <c r="K241" s="19" t="str">
        <f t="shared" si="62"/>
        <v/>
      </c>
      <c r="L241" s="19" t="str">
        <f t="shared" si="63"/>
        <v/>
      </c>
      <c r="M241" s="19" t="str">
        <f t="shared" si="64"/>
        <v/>
      </c>
      <c r="N241" s="19" t="str">
        <f t="shared" si="65"/>
        <v/>
      </c>
      <c r="O241" s="19" t="str">
        <f t="shared" si="66"/>
        <v/>
      </c>
      <c r="P241" s="19" t="str">
        <f t="shared" si="67"/>
        <v/>
      </c>
      <c r="Q241" s="19" t="str">
        <f t="shared" si="68"/>
        <v/>
      </c>
      <c r="R241" s="19" t="str">
        <f t="shared" si="69"/>
        <v/>
      </c>
      <c r="S241" s="17" t="str">
        <f>IF(B241="","",IFERROR(INDEX(Trabajadores!$G$5:$G$204,MATCH(B241,Trabajadores!$A$5:$A$204,0)),""))</f>
        <v/>
      </c>
      <c r="T241" s="17" t="str">
        <f>IF(OR(OR(A241="",D241="",E241=""),S241=""),"",ROUND(S241*(N(L241)*Parámetros!$B$8+N(M241)*(1+Parámetros!$B$9)+N(N241)*(1+Parámetros!$B$10)+N(O241)*(1+AG241)+N(P241)*(1+AG241+Parámetros!$B$8)+N(Q241)*(1+AG241+Parámetros!$B$9)+N(R241)*(1+AG241+Parámetros!$B$10)),0))</f>
        <v/>
      </c>
      <c r="U241" s="5" t="str">
        <f>IF(OR(A241="",D241="",E241=""),"",IF(N(M241)+N(N241)+N(Q241)+N(R241)&gt;Parámetros!$B$12,"Supera el límite de horas extras diarias",IF(C241="Cédula no registrada","Registre la cédula en «Trabajadores»","")))</f>
        <v/>
      </c>
      <c r="X241" s="20">
        <f t="shared" si="70"/>
        <v>0</v>
      </c>
      <c r="Y241" s="20">
        <f t="shared" si="71"/>
        <v>0</v>
      </c>
      <c r="Z241" s="20">
        <f t="shared" si="72"/>
        <v>0</v>
      </c>
      <c r="AA241" s="20">
        <f t="shared" si="73"/>
        <v>0</v>
      </c>
      <c r="AB241" s="20">
        <f t="shared" si="74"/>
        <v>0</v>
      </c>
      <c r="AC241" s="20">
        <f t="shared" si="75"/>
        <v>0</v>
      </c>
      <c r="AD241" s="20">
        <f>IF(A241="",21/24,MOD(VLOOKUP(A241,Parámetros!$A$24:$B$25,2,TRUE()),1))</f>
        <v>0.875</v>
      </c>
      <c r="AE241" s="5">
        <f>IF(A241="",0,IF(OR(WEEKDAY(A241,2)=7,COUNTIF(Festivos!$A$5:$A$451,A241)&gt;0),1,0))</f>
        <v>0</v>
      </c>
      <c r="AF241" s="5">
        <f>IF(A241="",0,IF(OR(WEEKDAY(A241+1,2)=7,COUNTIF(Festivos!$A$5:$A$451,A241+1)&gt;0),1,0))</f>
        <v>0</v>
      </c>
      <c r="AG241" s="9">
        <f>IF(A241="",0,VLOOKUP(A241,Parámetros!$A$18:$B$21,2,TRUE()))</f>
        <v>0</v>
      </c>
      <c r="AH241" s="20">
        <f t="shared" si="76"/>
        <v>0</v>
      </c>
      <c r="AI241" s="20">
        <f>MAX(0,MIN(AB241,Parámetros!$B$11)-MAX(X241,0))+MAX(0,MIN(AB241,1+Parámetros!$B$11)-MAX(X241,AD241))+MAX(0,MIN(AB241,2)-MAX(X241,1+AD241))</f>
        <v>0</v>
      </c>
      <c r="AJ241" s="20">
        <f t="shared" si="77"/>
        <v>0</v>
      </c>
      <c r="AK241" s="20">
        <f>AE241*(MAX(0,MIN(AB241,Parámetros!$B$11)-MAX(X241,0))+MAX(0,MIN(AB241,1)-MAX(X241,AD241)))+AF241*(MAX(0,MIN(AB241,1+Parámetros!$B$11)-MAX(X241,1))+MAX(0,MIN(AB241,2)-MAX(X241,1+AD241)))</f>
        <v>0</v>
      </c>
      <c r="AL241" s="20">
        <f t="shared" si="78"/>
        <v>0</v>
      </c>
      <c r="AM241" s="20">
        <f>MAX(0,MIN(AC241,Parámetros!$B$11)-MAX(AB241,0))+MAX(0,MIN(AC241,1+Parámetros!$B$11)-MAX(AB241,AD241))+MAX(0,MIN(AC241,2)-MAX(AB241,1+AD241))</f>
        <v>0</v>
      </c>
      <c r="AN241" s="20">
        <f t="shared" si="79"/>
        <v>0</v>
      </c>
      <c r="AO241" s="20">
        <f>AE241*(MAX(0,MIN(AC241,Parámetros!$B$11)-MAX(AB241,0))+MAX(0,MIN(AC241,1)-MAX(AB241,AD241)))+AF241*(MAX(0,MIN(AC241,1+Parámetros!$B$11)-MAX(AB241,1))+MAX(0,MIN(AC241,2)-MAX(AB241,1+AD241)))</f>
        <v>0</v>
      </c>
    </row>
    <row r="242" spans="1:41" x14ac:dyDescent="0.25">
      <c r="A242" s="15"/>
      <c r="B242" s="8"/>
      <c r="C242" s="5" t="str">
        <f>IF(B242="","",IFERROR(INDEX(Trabajadores!$B$5:$B$204,MATCH(B242,Trabajadores!$A$5:$A$204,0)),"Cédula no registrada"))</f>
        <v/>
      </c>
      <c r="D242" s="11"/>
      <c r="E242" s="11"/>
      <c r="F242" s="8"/>
      <c r="G242" s="18" t="str">
        <f>IF(A242="","",IFERROR(INDEX(Trabajadores!$E$5:$E$204,MATCH(B242,Trabajadores!$A$5:$A$204,0))/Parámetros!$B$6,0)+IF(IFERROR(INDEX(Trabajadores!$E$5:$E$204,MATCH(B242,Trabajadores!$A$5:$A$204,0)),"")="",Parámetros!$B$7,0))</f>
        <v/>
      </c>
      <c r="H242" s="5" t="str">
        <f t="shared" si="60"/>
        <v/>
      </c>
      <c r="I242" s="5" t="str">
        <f>IF(A242="","",IF(COUNTIF(Festivos!$A$5:$A$451,A242)&gt;0,"Festivo",IF(WEEKDAY(A242,2)=7,"Domingo",IF(AND(AF242=1,AC242&gt;1),IF(COUNTIF(Festivos!$A$5:$A$451,A242+1)&gt;0,"Festivo","Domingo")&amp;" desde las 00:00",""))))</f>
        <v/>
      </c>
      <c r="J242" s="19" t="str">
        <f t="shared" si="61"/>
        <v/>
      </c>
      <c r="K242" s="19" t="str">
        <f t="shared" si="62"/>
        <v/>
      </c>
      <c r="L242" s="19" t="str">
        <f t="shared" si="63"/>
        <v/>
      </c>
      <c r="M242" s="19" t="str">
        <f t="shared" si="64"/>
        <v/>
      </c>
      <c r="N242" s="19" t="str">
        <f t="shared" si="65"/>
        <v/>
      </c>
      <c r="O242" s="19" t="str">
        <f t="shared" si="66"/>
        <v/>
      </c>
      <c r="P242" s="19" t="str">
        <f t="shared" si="67"/>
        <v/>
      </c>
      <c r="Q242" s="19" t="str">
        <f t="shared" si="68"/>
        <v/>
      </c>
      <c r="R242" s="19" t="str">
        <f t="shared" si="69"/>
        <v/>
      </c>
      <c r="S242" s="17" t="str">
        <f>IF(B242="","",IFERROR(INDEX(Trabajadores!$G$5:$G$204,MATCH(B242,Trabajadores!$A$5:$A$204,0)),""))</f>
        <v/>
      </c>
      <c r="T242" s="17" t="str">
        <f>IF(OR(OR(A242="",D242="",E242=""),S242=""),"",ROUND(S242*(N(L242)*Parámetros!$B$8+N(M242)*(1+Parámetros!$B$9)+N(N242)*(1+Parámetros!$B$10)+N(O242)*(1+AG242)+N(P242)*(1+AG242+Parámetros!$B$8)+N(Q242)*(1+AG242+Parámetros!$B$9)+N(R242)*(1+AG242+Parámetros!$B$10)),0))</f>
        <v/>
      </c>
      <c r="U242" s="5" t="str">
        <f>IF(OR(A242="",D242="",E242=""),"",IF(N(M242)+N(N242)+N(Q242)+N(R242)&gt;Parámetros!$B$12,"Supera el límite de horas extras diarias",IF(C242="Cédula no registrada","Registre la cédula en «Trabajadores»","")))</f>
        <v/>
      </c>
      <c r="X242" s="20">
        <f t="shared" si="70"/>
        <v>0</v>
      </c>
      <c r="Y242" s="20">
        <f t="shared" si="71"/>
        <v>0</v>
      </c>
      <c r="Z242" s="20">
        <f t="shared" si="72"/>
        <v>0</v>
      </c>
      <c r="AA242" s="20">
        <f t="shared" si="73"/>
        <v>0</v>
      </c>
      <c r="AB242" s="20">
        <f t="shared" si="74"/>
        <v>0</v>
      </c>
      <c r="AC242" s="20">
        <f t="shared" si="75"/>
        <v>0</v>
      </c>
      <c r="AD242" s="20">
        <f>IF(A242="",21/24,MOD(VLOOKUP(A242,Parámetros!$A$24:$B$25,2,TRUE()),1))</f>
        <v>0.875</v>
      </c>
      <c r="AE242" s="5">
        <f>IF(A242="",0,IF(OR(WEEKDAY(A242,2)=7,COUNTIF(Festivos!$A$5:$A$451,A242)&gt;0),1,0))</f>
        <v>0</v>
      </c>
      <c r="AF242" s="5">
        <f>IF(A242="",0,IF(OR(WEEKDAY(A242+1,2)=7,COUNTIF(Festivos!$A$5:$A$451,A242+1)&gt;0),1,0))</f>
        <v>0</v>
      </c>
      <c r="AG242" s="9">
        <f>IF(A242="",0,VLOOKUP(A242,Parámetros!$A$18:$B$21,2,TRUE()))</f>
        <v>0</v>
      </c>
      <c r="AH242" s="20">
        <f t="shared" si="76"/>
        <v>0</v>
      </c>
      <c r="AI242" s="20">
        <f>MAX(0,MIN(AB242,Parámetros!$B$11)-MAX(X242,0))+MAX(0,MIN(AB242,1+Parámetros!$B$11)-MAX(X242,AD242))+MAX(0,MIN(AB242,2)-MAX(X242,1+AD242))</f>
        <v>0</v>
      </c>
      <c r="AJ242" s="20">
        <f t="shared" si="77"/>
        <v>0</v>
      </c>
      <c r="AK242" s="20">
        <f>AE242*(MAX(0,MIN(AB242,Parámetros!$B$11)-MAX(X242,0))+MAX(0,MIN(AB242,1)-MAX(X242,AD242)))+AF242*(MAX(0,MIN(AB242,1+Parámetros!$B$11)-MAX(X242,1))+MAX(0,MIN(AB242,2)-MAX(X242,1+AD242)))</f>
        <v>0</v>
      </c>
      <c r="AL242" s="20">
        <f t="shared" si="78"/>
        <v>0</v>
      </c>
      <c r="AM242" s="20">
        <f>MAX(0,MIN(AC242,Parámetros!$B$11)-MAX(AB242,0))+MAX(0,MIN(AC242,1+Parámetros!$B$11)-MAX(AB242,AD242))+MAX(0,MIN(AC242,2)-MAX(AB242,1+AD242))</f>
        <v>0</v>
      </c>
      <c r="AN242" s="20">
        <f t="shared" si="79"/>
        <v>0</v>
      </c>
      <c r="AO242" s="20">
        <f>AE242*(MAX(0,MIN(AC242,Parámetros!$B$11)-MAX(AB242,0))+MAX(0,MIN(AC242,1)-MAX(AB242,AD242)))+AF242*(MAX(0,MIN(AC242,1+Parámetros!$B$11)-MAX(AB242,1))+MAX(0,MIN(AC242,2)-MAX(AB242,1+AD242)))</f>
        <v>0</v>
      </c>
    </row>
    <row r="243" spans="1:41" x14ac:dyDescent="0.25">
      <c r="A243" s="15"/>
      <c r="B243" s="8"/>
      <c r="C243" s="5" t="str">
        <f>IF(B243="","",IFERROR(INDEX(Trabajadores!$B$5:$B$204,MATCH(B243,Trabajadores!$A$5:$A$204,0)),"Cédula no registrada"))</f>
        <v/>
      </c>
      <c r="D243" s="11"/>
      <c r="E243" s="11"/>
      <c r="F243" s="8"/>
      <c r="G243" s="18" t="str">
        <f>IF(A243="","",IFERROR(INDEX(Trabajadores!$E$5:$E$204,MATCH(B243,Trabajadores!$A$5:$A$204,0))/Parámetros!$B$6,0)+IF(IFERROR(INDEX(Trabajadores!$E$5:$E$204,MATCH(B243,Trabajadores!$A$5:$A$204,0)),"")="",Parámetros!$B$7,0))</f>
        <v/>
      </c>
      <c r="H243" s="5" t="str">
        <f t="shared" si="60"/>
        <v/>
      </c>
      <c r="I243" s="5" t="str">
        <f>IF(A243="","",IF(COUNTIF(Festivos!$A$5:$A$451,A243)&gt;0,"Festivo",IF(WEEKDAY(A243,2)=7,"Domingo",IF(AND(AF243=1,AC243&gt;1),IF(COUNTIF(Festivos!$A$5:$A$451,A243+1)&gt;0,"Festivo","Domingo")&amp;" desde las 00:00",""))))</f>
        <v/>
      </c>
      <c r="J243" s="19" t="str">
        <f t="shared" si="61"/>
        <v/>
      </c>
      <c r="K243" s="19" t="str">
        <f t="shared" si="62"/>
        <v/>
      </c>
      <c r="L243" s="19" t="str">
        <f t="shared" si="63"/>
        <v/>
      </c>
      <c r="M243" s="19" t="str">
        <f t="shared" si="64"/>
        <v/>
      </c>
      <c r="N243" s="19" t="str">
        <f t="shared" si="65"/>
        <v/>
      </c>
      <c r="O243" s="19" t="str">
        <f t="shared" si="66"/>
        <v/>
      </c>
      <c r="P243" s="19" t="str">
        <f t="shared" si="67"/>
        <v/>
      </c>
      <c r="Q243" s="19" t="str">
        <f t="shared" si="68"/>
        <v/>
      </c>
      <c r="R243" s="19" t="str">
        <f t="shared" si="69"/>
        <v/>
      </c>
      <c r="S243" s="17" t="str">
        <f>IF(B243="","",IFERROR(INDEX(Trabajadores!$G$5:$G$204,MATCH(B243,Trabajadores!$A$5:$A$204,0)),""))</f>
        <v/>
      </c>
      <c r="T243" s="17" t="str">
        <f>IF(OR(OR(A243="",D243="",E243=""),S243=""),"",ROUND(S243*(N(L243)*Parámetros!$B$8+N(M243)*(1+Parámetros!$B$9)+N(N243)*(1+Parámetros!$B$10)+N(O243)*(1+AG243)+N(P243)*(1+AG243+Parámetros!$B$8)+N(Q243)*(1+AG243+Parámetros!$B$9)+N(R243)*(1+AG243+Parámetros!$B$10)),0))</f>
        <v/>
      </c>
      <c r="U243" s="5" t="str">
        <f>IF(OR(A243="",D243="",E243=""),"",IF(N(M243)+N(N243)+N(Q243)+N(R243)&gt;Parámetros!$B$12,"Supera el límite de horas extras diarias",IF(C243="Cédula no registrada","Registre la cédula en «Trabajadores»","")))</f>
        <v/>
      </c>
      <c r="X243" s="20">
        <f t="shared" si="70"/>
        <v>0</v>
      </c>
      <c r="Y243" s="20">
        <f t="shared" si="71"/>
        <v>0</v>
      </c>
      <c r="Z243" s="20">
        <f t="shared" si="72"/>
        <v>0</v>
      </c>
      <c r="AA243" s="20">
        <f t="shared" si="73"/>
        <v>0</v>
      </c>
      <c r="AB243" s="20">
        <f t="shared" si="74"/>
        <v>0</v>
      </c>
      <c r="AC243" s="20">
        <f t="shared" si="75"/>
        <v>0</v>
      </c>
      <c r="AD243" s="20">
        <f>IF(A243="",21/24,MOD(VLOOKUP(A243,Parámetros!$A$24:$B$25,2,TRUE()),1))</f>
        <v>0.875</v>
      </c>
      <c r="AE243" s="5">
        <f>IF(A243="",0,IF(OR(WEEKDAY(A243,2)=7,COUNTIF(Festivos!$A$5:$A$451,A243)&gt;0),1,0))</f>
        <v>0</v>
      </c>
      <c r="AF243" s="5">
        <f>IF(A243="",0,IF(OR(WEEKDAY(A243+1,2)=7,COUNTIF(Festivos!$A$5:$A$451,A243+1)&gt;0),1,0))</f>
        <v>0</v>
      </c>
      <c r="AG243" s="9">
        <f>IF(A243="",0,VLOOKUP(A243,Parámetros!$A$18:$B$21,2,TRUE()))</f>
        <v>0</v>
      </c>
      <c r="AH243" s="20">
        <f t="shared" si="76"/>
        <v>0</v>
      </c>
      <c r="AI243" s="20">
        <f>MAX(0,MIN(AB243,Parámetros!$B$11)-MAX(X243,0))+MAX(0,MIN(AB243,1+Parámetros!$B$11)-MAX(X243,AD243))+MAX(0,MIN(AB243,2)-MAX(X243,1+AD243))</f>
        <v>0</v>
      </c>
      <c r="AJ243" s="20">
        <f t="shared" si="77"/>
        <v>0</v>
      </c>
      <c r="AK243" s="20">
        <f>AE243*(MAX(0,MIN(AB243,Parámetros!$B$11)-MAX(X243,0))+MAX(0,MIN(AB243,1)-MAX(X243,AD243)))+AF243*(MAX(0,MIN(AB243,1+Parámetros!$B$11)-MAX(X243,1))+MAX(0,MIN(AB243,2)-MAX(X243,1+AD243)))</f>
        <v>0</v>
      </c>
      <c r="AL243" s="20">
        <f t="shared" si="78"/>
        <v>0</v>
      </c>
      <c r="AM243" s="20">
        <f>MAX(0,MIN(AC243,Parámetros!$B$11)-MAX(AB243,0))+MAX(0,MIN(AC243,1+Parámetros!$B$11)-MAX(AB243,AD243))+MAX(0,MIN(AC243,2)-MAX(AB243,1+AD243))</f>
        <v>0</v>
      </c>
      <c r="AN243" s="20">
        <f t="shared" si="79"/>
        <v>0</v>
      </c>
      <c r="AO243" s="20">
        <f>AE243*(MAX(0,MIN(AC243,Parámetros!$B$11)-MAX(AB243,0))+MAX(0,MIN(AC243,1)-MAX(AB243,AD243)))+AF243*(MAX(0,MIN(AC243,1+Parámetros!$B$11)-MAX(AB243,1))+MAX(0,MIN(AC243,2)-MAX(AB243,1+AD243)))</f>
        <v>0</v>
      </c>
    </row>
    <row r="244" spans="1:41" x14ac:dyDescent="0.25">
      <c r="A244" s="15"/>
      <c r="B244" s="8"/>
      <c r="C244" s="5" t="str">
        <f>IF(B244="","",IFERROR(INDEX(Trabajadores!$B$5:$B$204,MATCH(B244,Trabajadores!$A$5:$A$204,0)),"Cédula no registrada"))</f>
        <v/>
      </c>
      <c r="D244" s="11"/>
      <c r="E244" s="11"/>
      <c r="F244" s="8"/>
      <c r="G244" s="18" t="str">
        <f>IF(A244="","",IFERROR(INDEX(Trabajadores!$E$5:$E$204,MATCH(B244,Trabajadores!$A$5:$A$204,0))/Parámetros!$B$6,0)+IF(IFERROR(INDEX(Trabajadores!$E$5:$E$204,MATCH(B244,Trabajadores!$A$5:$A$204,0)),"")="",Parámetros!$B$7,0))</f>
        <v/>
      </c>
      <c r="H244" s="5" t="str">
        <f t="shared" si="60"/>
        <v/>
      </c>
      <c r="I244" s="5" t="str">
        <f>IF(A244="","",IF(COUNTIF(Festivos!$A$5:$A$451,A244)&gt;0,"Festivo",IF(WEEKDAY(A244,2)=7,"Domingo",IF(AND(AF244=1,AC244&gt;1),IF(COUNTIF(Festivos!$A$5:$A$451,A244+1)&gt;0,"Festivo","Domingo")&amp;" desde las 00:00",""))))</f>
        <v/>
      </c>
      <c r="J244" s="19" t="str">
        <f t="shared" si="61"/>
        <v/>
      </c>
      <c r="K244" s="19" t="str">
        <f t="shared" si="62"/>
        <v/>
      </c>
      <c r="L244" s="19" t="str">
        <f t="shared" si="63"/>
        <v/>
      </c>
      <c r="M244" s="19" t="str">
        <f t="shared" si="64"/>
        <v/>
      </c>
      <c r="N244" s="19" t="str">
        <f t="shared" si="65"/>
        <v/>
      </c>
      <c r="O244" s="19" t="str">
        <f t="shared" si="66"/>
        <v/>
      </c>
      <c r="P244" s="19" t="str">
        <f t="shared" si="67"/>
        <v/>
      </c>
      <c r="Q244" s="19" t="str">
        <f t="shared" si="68"/>
        <v/>
      </c>
      <c r="R244" s="19" t="str">
        <f t="shared" si="69"/>
        <v/>
      </c>
      <c r="S244" s="17" t="str">
        <f>IF(B244="","",IFERROR(INDEX(Trabajadores!$G$5:$G$204,MATCH(B244,Trabajadores!$A$5:$A$204,0)),""))</f>
        <v/>
      </c>
      <c r="T244" s="17" t="str">
        <f>IF(OR(OR(A244="",D244="",E244=""),S244=""),"",ROUND(S244*(N(L244)*Parámetros!$B$8+N(M244)*(1+Parámetros!$B$9)+N(N244)*(1+Parámetros!$B$10)+N(O244)*(1+AG244)+N(P244)*(1+AG244+Parámetros!$B$8)+N(Q244)*(1+AG244+Parámetros!$B$9)+N(R244)*(1+AG244+Parámetros!$B$10)),0))</f>
        <v/>
      </c>
      <c r="U244" s="5" t="str">
        <f>IF(OR(A244="",D244="",E244=""),"",IF(N(M244)+N(N244)+N(Q244)+N(R244)&gt;Parámetros!$B$12,"Supera el límite de horas extras diarias",IF(C244="Cédula no registrada","Registre la cédula en «Trabajadores»","")))</f>
        <v/>
      </c>
      <c r="X244" s="20">
        <f t="shared" si="70"/>
        <v>0</v>
      </c>
      <c r="Y244" s="20">
        <f t="shared" si="71"/>
        <v>0</v>
      </c>
      <c r="Z244" s="20">
        <f t="shared" si="72"/>
        <v>0</v>
      </c>
      <c r="AA244" s="20">
        <f t="shared" si="73"/>
        <v>0</v>
      </c>
      <c r="AB244" s="20">
        <f t="shared" si="74"/>
        <v>0</v>
      </c>
      <c r="AC244" s="20">
        <f t="shared" si="75"/>
        <v>0</v>
      </c>
      <c r="AD244" s="20">
        <f>IF(A244="",21/24,MOD(VLOOKUP(A244,Parámetros!$A$24:$B$25,2,TRUE()),1))</f>
        <v>0.875</v>
      </c>
      <c r="AE244" s="5">
        <f>IF(A244="",0,IF(OR(WEEKDAY(A244,2)=7,COUNTIF(Festivos!$A$5:$A$451,A244)&gt;0),1,0))</f>
        <v>0</v>
      </c>
      <c r="AF244" s="5">
        <f>IF(A244="",0,IF(OR(WEEKDAY(A244+1,2)=7,COUNTIF(Festivos!$A$5:$A$451,A244+1)&gt;0),1,0))</f>
        <v>0</v>
      </c>
      <c r="AG244" s="9">
        <f>IF(A244="",0,VLOOKUP(A244,Parámetros!$A$18:$B$21,2,TRUE()))</f>
        <v>0</v>
      </c>
      <c r="AH244" s="20">
        <f t="shared" si="76"/>
        <v>0</v>
      </c>
      <c r="AI244" s="20">
        <f>MAX(0,MIN(AB244,Parámetros!$B$11)-MAX(X244,0))+MAX(0,MIN(AB244,1+Parámetros!$B$11)-MAX(X244,AD244))+MAX(0,MIN(AB244,2)-MAX(X244,1+AD244))</f>
        <v>0</v>
      </c>
      <c r="AJ244" s="20">
        <f t="shared" si="77"/>
        <v>0</v>
      </c>
      <c r="AK244" s="20">
        <f>AE244*(MAX(0,MIN(AB244,Parámetros!$B$11)-MAX(X244,0))+MAX(0,MIN(AB244,1)-MAX(X244,AD244)))+AF244*(MAX(0,MIN(AB244,1+Parámetros!$B$11)-MAX(X244,1))+MAX(0,MIN(AB244,2)-MAX(X244,1+AD244)))</f>
        <v>0</v>
      </c>
      <c r="AL244" s="20">
        <f t="shared" si="78"/>
        <v>0</v>
      </c>
      <c r="AM244" s="20">
        <f>MAX(0,MIN(AC244,Parámetros!$B$11)-MAX(AB244,0))+MAX(0,MIN(AC244,1+Parámetros!$B$11)-MAX(AB244,AD244))+MAX(0,MIN(AC244,2)-MAX(AB244,1+AD244))</f>
        <v>0</v>
      </c>
      <c r="AN244" s="20">
        <f t="shared" si="79"/>
        <v>0</v>
      </c>
      <c r="AO244" s="20">
        <f>AE244*(MAX(0,MIN(AC244,Parámetros!$B$11)-MAX(AB244,0))+MAX(0,MIN(AC244,1)-MAX(AB244,AD244)))+AF244*(MAX(0,MIN(AC244,1+Parámetros!$B$11)-MAX(AB244,1))+MAX(0,MIN(AC244,2)-MAX(AB244,1+AD244)))</f>
        <v>0</v>
      </c>
    </row>
    <row r="245" spans="1:41" x14ac:dyDescent="0.25">
      <c r="A245" s="15"/>
      <c r="B245" s="8"/>
      <c r="C245" s="5" t="str">
        <f>IF(B245="","",IFERROR(INDEX(Trabajadores!$B$5:$B$204,MATCH(B245,Trabajadores!$A$5:$A$204,0)),"Cédula no registrada"))</f>
        <v/>
      </c>
      <c r="D245" s="11"/>
      <c r="E245" s="11"/>
      <c r="F245" s="8"/>
      <c r="G245" s="18" t="str">
        <f>IF(A245="","",IFERROR(INDEX(Trabajadores!$E$5:$E$204,MATCH(B245,Trabajadores!$A$5:$A$204,0))/Parámetros!$B$6,0)+IF(IFERROR(INDEX(Trabajadores!$E$5:$E$204,MATCH(B245,Trabajadores!$A$5:$A$204,0)),"")="",Parámetros!$B$7,0))</f>
        <v/>
      </c>
      <c r="H245" s="5" t="str">
        <f t="shared" si="60"/>
        <v/>
      </c>
      <c r="I245" s="5" t="str">
        <f>IF(A245="","",IF(COUNTIF(Festivos!$A$5:$A$451,A245)&gt;0,"Festivo",IF(WEEKDAY(A245,2)=7,"Domingo",IF(AND(AF245=1,AC245&gt;1),IF(COUNTIF(Festivos!$A$5:$A$451,A245+1)&gt;0,"Festivo","Domingo")&amp;" desde las 00:00",""))))</f>
        <v/>
      </c>
      <c r="J245" s="19" t="str">
        <f t="shared" si="61"/>
        <v/>
      </c>
      <c r="K245" s="19" t="str">
        <f t="shared" si="62"/>
        <v/>
      </c>
      <c r="L245" s="19" t="str">
        <f t="shared" si="63"/>
        <v/>
      </c>
      <c r="M245" s="19" t="str">
        <f t="shared" si="64"/>
        <v/>
      </c>
      <c r="N245" s="19" t="str">
        <f t="shared" si="65"/>
        <v/>
      </c>
      <c r="O245" s="19" t="str">
        <f t="shared" si="66"/>
        <v/>
      </c>
      <c r="P245" s="19" t="str">
        <f t="shared" si="67"/>
        <v/>
      </c>
      <c r="Q245" s="19" t="str">
        <f t="shared" si="68"/>
        <v/>
      </c>
      <c r="R245" s="19" t="str">
        <f t="shared" si="69"/>
        <v/>
      </c>
      <c r="S245" s="17" t="str">
        <f>IF(B245="","",IFERROR(INDEX(Trabajadores!$G$5:$G$204,MATCH(B245,Trabajadores!$A$5:$A$204,0)),""))</f>
        <v/>
      </c>
      <c r="T245" s="17" t="str">
        <f>IF(OR(OR(A245="",D245="",E245=""),S245=""),"",ROUND(S245*(N(L245)*Parámetros!$B$8+N(M245)*(1+Parámetros!$B$9)+N(N245)*(1+Parámetros!$B$10)+N(O245)*(1+AG245)+N(P245)*(1+AG245+Parámetros!$B$8)+N(Q245)*(1+AG245+Parámetros!$B$9)+N(R245)*(1+AG245+Parámetros!$B$10)),0))</f>
        <v/>
      </c>
      <c r="U245" s="5" t="str">
        <f>IF(OR(A245="",D245="",E245=""),"",IF(N(M245)+N(N245)+N(Q245)+N(R245)&gt;Parámetros!$B$12,"Supera el límite de horas extras diarias",IF(C245="Cédula no registrada","Registre la cédula en «Trabajadores»","")))</f>
        <v/>
      </c>
      <c r="X245" s="20">
        <f t="shared" si="70"/>
        <v>0</v>
      </c>
      <c r="Y245" s="20">
        <f t="shared" si="71"/>
        <v>0</v>
      </c>
      <c r="Z245" s="20">
        <f t="shared" si="72"/>
        <v>0</v>
      </c>
      <c r="AA245" s="20">
        <f t="shared" si="73"/>
        <v>0</v>
      </c>
      <c r="AB245" s="20">
        <f t="shared" si="74"/>
        <v>0</v>
      </c>
      <c r="AC245" s="20">
        <f t="shared" si="75"/>
        <v>0</v>
      </c>
      <c r="AD245" s="20">
        <f>IF(A245="",21/24,MOD(VLOOKUP(A245,Parámetros!$A$24:$B$25,2,TRUE()),1))</f>
        <v>0.875</v>
      </c>
      <c r="AE245" s="5">
        <f>IF(A245="",0,IF(OR(WEEKDAY(A245,2)=7,COUNTIF(Festivos!$A$5:$A$451,A245)&gt;0),1,0))</f>
        <v>0</v>
      </c>
      <c r="AF245" s="5">
        <f>IF(A245="",0,IF(OR(WEEKDAY(A245+1,2)=7,COUNTIF(Festivos!$A$5:$A$451,A245+1)&gt;0),1,0))</f>
        <v>0</v>
      </c>
      <c r="AG245" s="9">
        <f>IF(A245="",0,VLOOKUP(A245,Parámetros!$A$18:$B$21,2,TRUE()))</f>
        <v>0</v>
      </c>
      <c r="AH245" s="20">
        <f t="shared" si="76"/>
        <v>0</v>
      </c>
      <c r="AI245" s="20">
        <f>MAX(0,MIN(AB245,Parámetros!$B$11)-MAX(X245,0))+MAX(0,MIN(AB245,1+Parámetros!$B$11)-MAX(X245,AD245))+MAX(0,MIN(AB245,2)-MAX(X245,1+AD245))</f>
        <v>0</v>
      </c>
      <c r="AJ245" s="20">
        <f t="shared" si="77"/>
        <v>0</v>
      </c>
      <c r="AK245" s="20">
        <f>AE245*(MAX(0,MIN(AB245,Parámetros!$B$11)-MAX(X245,0))+MAX(0,MIN(AB245,1)-MAX(X245,AD245)))+AF245*(MAX(0,MIN(AB245,1+Parámetros!$B$11)-MAX(X245,1))+MAX(0,MIN(AB245,2)-MAX(X245,1+AD245)))</f>
        <v>0</v>
      </c>
      <c r="AL245" s="20">
        <f t="shared" si="78"/>
        <v>0</v>
      </c>
      <c r="AM245" s="20">
        <f>MAX(0,MIN(AC245,Parámetros!$B$11)-MAX(AB245,0))+MAX(0,MIN(AC245,1+Parámetros!$B$11)-MAX(AB245,AD245))+MAX(0,MIN(AC245,2)-MAX(AB245,1+AD245))</f>
        <v>0</v>
      </c>
      <c r="AN245" s="20">
        <f t="shared" si="79"/>
        <v>0</v>
      </c>
      <c r="AO245" s="20">
        <f>AE245*(MAX(0,MIN(AC245,Parámetros!$B$11)-MAX(AB245,0))+MAX(0,MIN(AC245,1)-MAX(AB245,AD245)))+AF245*(MAX(0,MIN(AC245,1+Parámetros!$B$11)-MAX(AB245,1))+MAX(0,MIN(AC245,2)-MAX(AB245,1+AD245)))</f>
        <v>0</v>
      </c>
    </row>
    <row r="246" spans="1:41" x14ac:dyDescent="0.25">
      <c r="A246" s="15"/>
      <c r="B246" s="8"/>
      <c r="C246" s="5" t="str">
        <f>IF(B246="","",IFERROR(INDEX(Trabajadores!$B$5:$B$204,MATCH(B246,Trabajadores!$A$5:$A$204,0)),"Cédula no registrada"))</f>
        <v/>
      </c>
      <c r="D246" s="11"/>
      <c r="E246" s="11"/>
      <c r="F246" s="8"/>
      <c r="G246" s="18" t="str">
        <f>IF(A246="","",IFERROR(INDEX(Trabajadores!$E$5:$E$204,MATCH(B246,Trabajadores!$A$5:$A$204,0))/Parámetros!$B$6,0)+IF(IFERROR(INDEX(Trabajadores!$E$5:$E$204,MATCH(B246,Trabajadores!$A$5:$A$204,0)),"")="",Parámetros!$B$7,0))</f>
        <v/>
      </c>
      <c r="H246" s="5" t="str">
        <f t="shared" si="60"/>
        <v/>
      </c>
      <c r="I246" s="5" t="str">
        <f>IF(A246="","",IF(COUNTIF(Festivos!$A$5:$A$451,A246)&gt;0,"Festivo",IF(WEEKDAY(A246,2)=7,"Domingo",IF(AND(AF246=1,AC246&gt;1),IF(COUNTIF(Festivos!$A$5:$A$451,A246+1)&gt;0,"Festivo","Domingo")&amp;" desde las 00:00",""))))</f>
        <v/>
      </c>
      <c r="J246" s="19" t="str">
        <f t="shared" si="61"/>
        <v/>
      </c>
      <c r="K246" s="19" t="str">
        <f t="shared" si="62"/>
        <v/>
      </c>
      <c r="L246" s="19" t="str">
        <f t="shared" si="63"/>
        <v/>
      </c>
      <c r="M246" s="19" t="str">
        <f t="shared" si="64"/>
        <v/>
      </c>
      <c r="N246" s="19" t="str">
        <f t="shared" si="65"/>
        <v/>
      </c>
      <c r="O246" s="19" t="str">
        <f t="shared" si="66"/>
        <v/>
      </c>
      <c r="P246" s="19" t="str">
        <f t="shared" si="67"/>
        <v/>
      </c>
      <c r="Q246" s="19" t="str">
        <f t="shared" si="68"/>
        <v/>
      </c>
      <c r="R246" s="19" t="str">
        <f t="shared" si="69"/>
        <v/>
      </c>
      <c r="S246" s="17" t="str">
        <f>IF(B246="","",IFERROR(INDEX(Trabajadores!$G$5:$G$204,MATCH(B246,Trabajadores!$A$5:$A$204,0)),""))</f>
        <v/>
      </c>
      <c r="T246" s="17" t="str">
        <f>IF(OR(OR(A246="",D246="",E246=""),S246=""),"",ROUND(S246*(N(L246)*Parámetros!$B$8+N(M246)*(1+Parámetros!$B$9)+N(N246)*(1+Parámetros!$B$10)+N(O246)*(1+AG246)+N(P246)*(1+AG246+Parámetros!$B$8)+N(Q246)*(1+AG246+Parámetros!$B$9)+N(R246)*(1+AG246+Parámetros!$B$10)),0))</f>
        <v/>
      </c>
      <c r="U246" s="5" t="str">
        <f>IF(OR(A246="",D246="",E246=""),"",IF(N(M246)+N(N246)+N(Q246)+N(R246)&gt;Parámetros!$B$12,"Supera el límite de horas extras diarias",IF(C246="Cédula no registrada","Registre la cédula en «Trabajadores»","")))</f>
        <v/>
      </c>
      <c r="X246" s="20">
        <f t="shared" si="70"/>
        <v>0</v>
      </c>
      <c r="Y246" s="20">
        <f t="shared" si="71"/>
        <v>0</v>
      </c>
      <c r="Z246" s="20">
        <f t="shared" si="72"/>
        <v>0</v>
      </c>
      <c r="AA246" s="20">
        <f t="shared" si="73"/>
        <v>0</v>
      </c>
      <c r="AB246" s="20">
        <f t="shared" si="74"/>
        <v>0</v>
      </c>
      <c r="AC246" s="20">
        <f t="shared" si="75"/>
        <v>0</v>
      </c>
      <c r="AD246" s="20">
        <f>IF(A246="",21/24,MOD(VLOOKUP(A246,Parámetros!$A$24:$B$25,2,TRUE()),1))</f>
        <v>0.875</v>
      </c>
      <c r="AE246" s="5">
        <f>IF(A246="",0,IF(OR(WEEKDAY(A246,2)=7,COUNTIF(Festivos!$A$5:$A$451,A246)&gt;0),1,0))</f>
        <v>0</v>
      </c>
      <c r="AF246" s="5">
        <f>IF(A246="",0,IF(OR(WEEKDAY(A246+1,2)=7,COUNTIF(Festivos!$A$5:$A$451,A246+1)&gt;0),1,0))</f>
        <v>0</v>
      </c>
      <c r="AG246" s="9">
        <f>IF(A246="",0,VLOOKUP(A246,Parámetros!$A$18:$B$21,2,TRUE()))</f>
        <v>0</v>
      </c>
      <c r="AH246" s="20">
        <f t="shared" si="76"/>
        <v>0</v>
      </c>
      <c r="AI246" s="20">
        <f>MAX(0,MIN(AB246,Parámetros!$B$11)-MAX(X246,0))+MAX(0,MIN(AB246,1+Parámetros!$B$11)-MAX(X246,AD246))+MAX(0,MIN(AB246,2)-MAX(X246,1+AD246))</f>
        <v>0</v>
      </c>
      <c r="AJ246" s="20">
        <f t="shared" si="77"/>
        <v>0</v>
      </c>
      <c r="AK246" s="20">
        <f>AE246*(MAX(0,MIN(AB246,Parámetros!$B$11)-MAX(X246,0))+MAX(0,MIN(AB246,1)-MAX(X246,AD246)))+AF246*(MAX(0,MIN(AB246,1+Parámetros!$B$11)-MAX(X246,1))+MAX(0,MIN(AB246,2)-MAX(X246,1+AD246)))</f>
        <v>0</v>
      </c>
      <c r="AL246" s="20">
        <f t="shared" si="78"/>
        <v>0</v>
      </c>
      <c r="AM246" s="20">
        <f>MAX(0,MIN(AC246,Parámetros!$B$11)-MAX(AB246,0))+MAX(0,MIN(AC246,1+Parámetros!$B$11)-MAX(AB246,AD246))+MAX(0,MIN(AC246,2)-MAX(AB246,1+AD246))</f>
        <v>0</v>
      </c>
      <c r="AN246" s="20">
        <f t="shared" si="79"/>
        <v>0</v>
      </c>
      <c r="AO246" s="20">
        <f>AE246*(MAX(0,MIN(AC246,Parámetros!$B$11)-MAX(AB246,0))+MAX(0,MIN(AC246,1)-MAX(AB246,AD246)))+AF246*(MAX(0,MIN(AC246,1+Parámetros!$B$11)-MAX(AB246,1))+MAX(0,MIN(AC246,2)-MAX(AB246,1+AD246)))</f>
        <v>0</v>
      </c>
    </row>
    <row r="247" spans="1:41" x14ac:dyDescent="0.25">
      <c r="A247" s="15"/>
      <c r="B247" s="8"/>
      <c r="C247" s="5" t="str">
        <f>IF(B247="","",IFERROR(INDEX(Trabajadores!$B$5:$B$204,MATCH(B247,Trabajadores!$A$5:$A$204,0)),"Cédula no registrada"))</f>
        <v/>
      </c>
      <c r="D247" s="11"/>
      <c r="E247" s="11"/>
      <c r="F247" s="8"/>
      <c r="G247" s="18" t="str">
        <f>IF(A247="","",IFERROR(INDEX(Trabajadores!$E$5:$E$204,MATCH(B247,Trabajadores!$A$5:$A$204,0))/Parámetros!$B$6,0)+IF(IFERROR(INDEX(Trabajadores!$E$5:$E$204,MATCH(B247,Trabajadores!$A$5:$A$204,0)),"")="",Parámetros!$B$7,0))</f>
        <v/>
      </c>
      <c r="H247" s="5" t="str">
        <f t="shared" si="60"/>
        <v/>
      </c>
      <c r="I247" s="5" t="str">
        <f>IF(A247="","",IF(COUNTIF(Festivos!$A$5:$A$451,A247)&gt;0,"Festivo",IF(WEEKDAY(A247,2)=7,"Domingo",IF(AND(AF247=1,AC247&gt;1),IF(COUNTIF(Festivos!$A$5:$A$451,A247+1)&gt;0,"Festivo","Domingo")&amp;" desde las 00:00",""))))</f>
        <v/>
      </c>
      <c r="J247" s="19" t="str">
        <f t="shared" si="61"/>
        <v/>
      </c>
      <c r="K247" s="19" t="str">
        <f t="shared" si="62"/>
        <v/>
      </c>
      <c r="L247" s="19" t="str">
        <f t="shared" si="63"/>
        <v/>
      </c>
      <c r="M247" s="19" t="str">
        <f t="shared" si="64"/>
        <v/>
      </c>
      <c r="N247" s="19" t="str">
        <f t="shared" si="65"/>
        <v/>
      </c>
      <c r="O247" s="19" t="str">
        <f t="shared" si="66"/>
        <v/>
      </c>
      <c r="P247" s="19" t="str">
        <f t="shared" si="67"/>
        <v/>
      </c>
      <c r="Q247" s="19" t="str">
        <f t="shared" si="68"/>
        <v/>
      </c>
      <c r="R247" s="19" t="str">
        <f t="shared" si="69"/>
        <v/>
      </c>
      <c r="S247" s="17" t="str">
        <f>IF(B247="","",IFERROR(INDEX(Trabajadores!$G$5:$G$204,MATCH(B247,Trabajadores!$A$5:$A$204,0)),""))</f>
        <v/>
      </c>
      <c r="T247" s="17" t="str">
        <f>IF(OR(OR(A247="",D247="",E247=""),S247=""),"",ROUND(S247*(N(L247)*Parámetros!$B$8+N(M247)*(1+Parámetros!$B$9)+N(N247)*(1+Parámetros!$B$10)+N(O247)*(1+AG247)+N(P247)*(1+AG247+Parámetros!$B$8)+N(Q247)*(1+AG247+Parámetros!$B$9)+N(R247)*(1+AG247+Parámetros!$B$10)),0))</f>
        <v/>
      </c>
      <c r="U247" s="5" t="str">
        <f>IF(OR(A247="",D247="",E247=""),"",IF(N(M247)+N(N247)+N(Q247)+N(R247)&gt;Parámetros!$B$12,"Supera el límite de horas extras diarias",IF(C247="Cédula no registrada","Registre la cédula en «Trabajadores»","")))</f>
        <v/>
      </c>
      <c r="X247" s="20">
        <f t="shared" si="70"/>
        <v>0</v>
      </c>
      <c r="Y247" s="20">
        <f t="shared" si="71"/>
        <v>0</v>
      </c>
      <c r="Z247" s="20">
        <f t="shared" si="72"/>
        <v>0</v>
      </c>
      <c r="AA247" s="20">
        <f t="shared" si="73"/>
        <v>0</v>
      </c>
      <c r="AB247" s="20">
        <f t="shared" si="74"/>
        <v>0</v>
      </c>
      <c r="AC247" s="20">
        <f t="shared" si="75"/>
        <v>0</v>
      </c>
      <c r="AD247" s="20">
        <f>IF(A247="",21/24,MOD(VLOOKUP(A247,Parámetros!$A$24:$B$25,2,TRUE()),1))</f>
        <v>0.875</v>
      </c>
      <c r="AE247" s="5">
        <f>IF(A247="",0,IF(OR(WEEKDAY(A247,2)=7,COUNTIF(Festivos!$A$5:$A$451,A247)&gt;0),1,0))</f>
        <v>0</v>
      </c>
      <c r="AF247" s="5">
        <f>IF(A247="",0,IF(OR(WEEKDAY(A247+1,2)=7,COUNTIF(Festivos!$A$5:$A$451,A247+1)&gt;0),1,0))</f>
        <v>0</v>
      </c>
      <c r="AG247" s="9">
        <f>IF(A247="",0,VLOOKUP(A247,Parámetros!$A$18:$B$21,2,TRUE()))</f>
        <v>0</v>
      </c>
      <c r="AH247" s="20">
        <f t="shared" si="76"/>
        <v>0</v>
      </c>
      <c r="AI247" s="20">
        <f>MAX(0,MIN(AB247,Parámetros!$B$11)-MAX(X247,0))+MAX(0,MIN(AB247,1+Parámetros!$B$11)-MAX(X247,AD247))+MAX(0,MIN(AB247,2)-MAX(X247,1+AD247))</f>
        <v>0</v>
      </c>
      <c r="AJ247" s="20">
        <f t="shared" si="77"/>
        <v>0</v>
      </c>
      <c r="AK247" s="20">
        <f>AE247*(MAX(0,MIN(AB247,Parámetros!$B$11)-MAX(X247,0))+MAX(0,MIN(AB247,1)-MAX(X247,AD247)))+AF247*(MAX(0,MIN(AB247,1+Parámetros!$B$11)-MAX(X247,1))+MAX(0,MIN(AB247,2)-MAX(X247,1+AD247)))</f>
        <v>0</v>
      </c>
      <c r="AL247" s="20">
        <f t="shared" si="78"/>
        <v>0</v>
      </c>
      <c r="AM247" s="20">
        <f>MAX(0,MIN(AC247,Parámetros!$B$11)-MAX(AB247,0))+MAX(0,MIN(AC247,1+Parámetros!$B$11)-MAX(AB247,AD247))+MAX(0,MIN(AC247,2)-MAX(AB247,1+AD247))</f>
        <v>0</v>
      </c>
      <c r="AN247" s="20">
        <f t="shared" si="79"/>
        <v>0</v>
      </c>
      <c r="AO247" s="20">
        <f>AE247*(MAX(0,MIN(AC247,Parámetros!$B$11)-MAX(AB247,0))+MAX(0,MIN(AC247,1)-MAX(AB247,AD247)))+AF247*(MAX(0,MIN(AC247,1+Parámetros!$B$11)-MAX(AB247,1))+MAX(0,MIN(AC247,2)-MAX(AB247,1+AD247)))</f>
        <v>0</v>
      </c>
    </row>
    <row r="248" spans="1:41" x14ac:dyDescent="0.25">
      <c r="A248" s="15"/>
      <c r="B248" s="8"/>
      <c r="C248" s="5" t="str">
        <f>IF(B248="","",IFERROR(INDEX(Trabajadores!$B$5:$B$204,MATCH(B248,Trabajadores!$A$5:$A$204,0)),"Cédula no registrada"))</f>
        <v/>
      </c>
      <c r="D248" s="11"/>
      <c r="E248" s="11"/>
      <c r="F248" s="8"/>
      <c r="G248" s="18" t="str">
        <f>IF(A248="","",IFERROR(INDEX(Trabajadores!$E$5:$E$204,MATCH(B248,Trabajadores!$A$5:$A$204,0))/Parámetros!$B$6,0)+IF(IFERROR(INDEX(Trabajadores!$E$5:$E$204,MATCH(B248,Trabajadores!$A$5:$A$204,0)),"")="",Parámetros!$B$7,0))</f>
        <v/>
      </c>
      <c r="H248" s="5" t="str">
        <f t="shared" si="60"/>
        <v/>
      </c>
      <c r="I248" s="5" t="str">
        <f>IF(A248="","",IF(COUNTIF(Festivos!$A$5:$A$451,A248)&gt;0,"Festivo",IF(WEEKDAY(A248,2)=7,"Domingo",IF(AND(AF248=1,AC248&gt;1),IF(COUNTIF(Festivos!$A$5:$A$451,A248+1)&gt;0,"Festivo","Domingo")&amp;" desde las 00:00",""))))</f>
        <v/>
      </c>
      <c r="J248" s="19" t="str">
        <f t="shared" si="61"/>
        <v/>
      </c>
      <c r="K248" s="19" t="str">
        <f t="shared" si="62"/>
        <v/>
      </c>
      <c r="L248" s="19" t="str">
        <f t="shared" si="63"/>
        <v/>
      </c>
      <c r="M248" s="19" t="str">
        <f t="shared" si="64"/>
        <v/>
      </c>
      <c r="N248" s="19" t="str">
        <f t="shared" si="65"/>
        <v/>
      </c>
      <c r="O248" s="19" t="str">
        <f t="shared" si="66"/>
        <v/>
      </c>
      <c r="P248" s="19" t="str">
        <f t="shared" si="67"/>
        <v/>
      </c>
      <c r="Q248" s="19" t="str">
        <f t="shared" si="68"/>
        <v/>
      </c>
      <c r="R248" s="19" t="str">
        <f t="shared" si="69"/>
        <v/>
      </c>
      <c r="S248" s="17" t="str">
        <f>IF(B248="","",IFERROR(INDEX(Trabajadores!$G$5:$G$204,MATCH(B248,Trabajadores!$A$5:$A$204,0)),""))</f>
        <v/>
      </c>
      <c r="T248" s="17" t="str">
        <f>IF(OR(OR(A248="",D248="",E248=""),S248=""),"",ROUND(S248*(N(L248)*Parámetros!$B$8+N(M248)*(1+Parámetros!$B$9)+N(N248)*(1+Parámetros!$B$10)+N(O248)*(1+AG248)+N(P248)*(1+AG248+Parámetros!$B$8)+N(Q248)*(1+AG248+Parámetros!$B$9)+N(R248)*(1+AG248+Parámetros!$B$10)),0))</f>
        <v/>
      </c>
      <c r="U248" s="5" t="str">
        <f>IF(OR(A248="",D248="",E248=""),"",IF(N(M248)+N(N248)+N(Q248)+N(R248)&gt;Parámetros!$B$12,"Supera el límite de horas extras diarias",IF(C248="Cédula no registrada","Registre la cédula en «Trabajadores»","")))</f>
        <v/>
      </c>
      <c r="X248" s="20">
        <f t="shared" si="70"/>
        <v>0</v>
      </c>
      <c r="Y248" s="20">
        <f t="shared" si="71"/>
        <v>0</v>
      </c>
      <c r="Z248" s="20">
        <f t="shared" si="72"/>
        <v>0</v>
      </c>
      <c r="AA248" s="20">
        <f t="shared" si="73"/>
        <v>0</v>
      </c>
      <c r="AB248" s="20">
        <f t="shared" si="74"/>
        <v>0</v>
      </c>
      <c r="AC248" s="20">
        <f t="shared" si="75"/>
        <v>0</v>
      </c>
      <c r="AD248" s="20">
        <f>IF(A248="",21/24,MOD(VLOOKUP(A248,Parámetros!$A$24:$B$25,2,TRUE()),1))</f>
        <v>0.875</v>
      </c>
      <c r="AE248" s="5">
        <f>IF(A248="",0,IF(OR(WEEKDAY(A248,2)=7,COUNTIF(Festivos!$A$5:$A$451,A248)&gt;0),1,0))</f>
        <v>0</v>
      </c>
      <c r="AF248" s="5">
        <f>IF(A248="",0,IF(OR(WEEKDAY(A248+1,2)=7,COUNTIF(Festivos!$A$5:$A$451,A248+1)&gt;0),1,0))</f>
        <v>0</v>
      </c>
      <c r="AG248" s="9">
        <f>IF(A248="",0,VLOOKUP(A248,Parámetros!$A$18:$B$21,2,TRUE()))</f>
        <v>0</v>
      </c>
      <c r="AH248" s="20">
        <f t="shared" si="76"/>
        <v>0</v>
      </c>
      <c r="AI248" s="20">
        <f>MAX(0,MIN(AB248,Parámetros!$B$11)-MAX(X248,0))+MAX(0,MIN(AB248,1+Parámetros!$B$11)-MAX(X248,AD248))+MAX(0,MIN(AB248,2)-MAX(X248,1+AD248))</f>
        <v>0</v>
      </c>
      <c r="AJ248" s="20">
        <f t="shared" si="77"/>
        <v>0</v>
      </c>
      <c r="AK248" s="20">
        <f>AE248*(MAX(0,MIN(AB248,Parámetros!$B$11)-MAX(X248,0))+MAX(0,MIN(AB248,1)-MAX(X248,AD248)))+AF248*(MAX(0,MIN(AB248,1+Parámetros!$B$11)-MAX(X248,1))+MAX(0,MIN(AB248,2)-MAX(X248,1+AD248)))</f>
        <v>0</v>
      </c>
      <c r="AL248" s="20">
        <f t="shared" si="78"/>
        <v>0</v>
      </c>
      <c r="AM248" s="20">
        <f>MAX(0,MIN(AC248,Parámetros!$B$11)-MAX(AB248,0))+MAX(0,MIN(AC248,1+Parámetros!$B$11)-MAX(AB248,AD248))+MAX(0,MIN(AC248,2)-MAX(AB248,1+AD248))</f>
        <v>0</v>
      </c>
      <c r="AN248" s="20">
        <f t="shared" si="79"/>
        <v>0</v>
      </c>
      <c r="AO248" s="20">
        <f>AE248*(MAX(0,MIN(AC248,Parámetros!$B$11)-MAX(AB248,0))+MAX(0,MIN(AC248,1)-MAX(AB248,AD248)))+AF248*(MAX(0,MIN(AC248,1+Parámetros!$B$11)-MAX(AB248,1))+MAX(0,MIN(AC248,2)-MAX(AB248,1+AD248)))</f>
        <v>0</v>
      </c>
    </row>
    <row r="249" spans="1:41" x14ac:dyDescent="0.25">
      <c r="A249" s="15"/>
      <c r="B249" s="8"/>
      <c r="C249" s="5" t="str">
        <f>IF(B249="","",IFERROR(INDEX(Trabajadores!$B$5:$B$204,MATCH(B249,Trabajadores!$A$5:$A$204,0)),"Cédula no registrada"))</f>
        <v/>
      </c>
      <c r="D249" s="11"/>
      <c r="E249" s="11"/>
      <c r="F249" s="8"/>
      <c r="G249" s="18" t="str">
        <f>IF(A249="","",IFERROR(INDEX(Trabajadores!$E$5:$E$204,MATCH(B249,Trabajadores!$A$5:$A$204,0))/Parámetros!$B$6,0)+IF(IFERROR(INDEX(Trabajadores!$E$5:$E$204,MATCH(B249,Trabajadores!$A$5:$A$204,0)),"")="",Parámetros!$B$7,0))</f>
        <v/>
      </c>
      <c r="H249" s="5" t="str">
        <f t="shared" si="60"/>
        <v/>
      </c>
      <c r="I249" s="5" t="str">
        <f>IF(A249="","",IF(COUNTIF(Festivos!$A$5:$A$451,A249)&gt;0,"Festivo",IF(WEEKDAY(A249,2)=7,"Domingo",IF(AND(AF249=1,AC249&gt;1),IF(COUNTIF(Festivos!$A$5:$A$451,A249+1)&gt;0,"Festivo","Domingo")&amp;" desde las 00:00",""))))</f>
        <v/>
      </c>
      <c r="J249" s="19" t="str">
        <f t="shared" si="61"/>
        <v/>
      </c>
      <c r="K249" s="19" t="str">
        <f t="shared" si="62"/>
        <v/>
      </c>
      <c r="L249" s="19" t="str">
        <f t="shared" si="63"/>
        <v/>
      </c>
      <c r="M249" s="19" t="str">
        <f t="shared" si="64"/>
        <v/>
      </c>
      <c r="N249" s="19" t="str">
        <f t="shared" si="65"/>
        <v/>
      </c>
      <c r="O249" s="19" t="str">
        <f t="shared" si="66"/>
        <v/>
      </c>
      <c r="P249" s="19" t="str">
        <f t="shared" si="67"/>
        <v/>
      </c>
      <c r="Q249" s="19" t="str">
        <f t="shared" si="68"/>
        <v/>
      </c>
      <c r="R249" s="19" t="str">
        <f t="shared" si="69"/>
        <v/>
      </c>
      <c r="S249" s="17" t="str">
        <f>IF(B249="","",IFERROR(INDEX(Trabajadores!$G$5:$G$204,MATCH(B249,Trabajadores!$A$5:$A$204,0)),""))</f>
        <v/>
      </c>
      <c r="T249" s="17" t="str">
        <f>IF(OR(OR(A249="",D249="",E249=""),S249=""),"",ROUND(S249*(N(L249)*Parámetros!$B$8+N(M249)*(1+Parámetros!$B$9)+N(N249)*(1+Parámetros!$B$10)+N(O249)*(1+AG249)+N(P249)*(1+AG249+Parámetros!$B$8)+N(Q249)*(1+AG249+Parámetros!$B$9)+N(R249)*(1+AG249+Parámetros!$B$10)),0))</f>
        <v/>
      </c>
      <c r="U249" s="5" t="str">
        <f>IF(OR(A249="",D249="",E249=""),"",IF(N(M249)+N(N249)+N(Q249)+N(R249)&gt;Parámetros!$B$12,"Supera el límite de horas extras diarias",IF(C249="Cédula no registrada","Registre la cédula en «Trabajadores»","")))</f>
        <v/>
      </c>
      <c r="X249" s="20">
        <f t="shared" si="70"/>
        <v>0</v>
      </c>
      <c r="Y249" s="20">
        <f t="shared" si="71"/>
        <v>0</v>
      </c>
      <c r="Z249" s="20">
        <f t="shared" si="72"/>
        <v>0</v>
      </c>
      <c r="AA249" s="20">
        <f t="shared" si="73"/>
        <v>0</v>
      </c>
      <c r="AB249" s="20">
        <f t="shared" si="74"/>
        <v>0</v>
      </c>
      <c r="AC249" s="20">
        <f t="shared" si="75"/>
        <v>0</v>
      </c>
      <c r="AD249" s="20">
        <f>IF(A249="",21/24,MOD(VLOOKUP(A249,Parámetros!$A$24:$B$25,2,TRUE()),1))</f>
        <v>0.875</v>
      </c>
      <c r="AE249" s="5">
        <f>IF(A249="",0,IF(OR(WEEKDAY(A249,2)=7,COUNTIF(Festivos!$A$5:$A$451,A249)&gt;0),1,0))</f>
        <v>0</v>
      </c>
      <c r="AF249" s="5">
        <f>IF(A249="",0,IF(OR(WEEKDAY(A249+1,2)=7,COUNTIF(Festivos!$A$5:$A$451,A249+1)&gt;0),1,0))</f>
        <v>0</v>
      </c>
      <c r="AG249" s="9">
        <f>IF(A249="",0,VLOOKUP(A249,Parámetros!$A$18:$B$21,2,TRUE()))</f>
        <v>0</v>
      </c>
      <c r="AH249" s="20">
        <f t="shared" si="76"/>
        <v>0</v>
      </c>
      <c r="AI249" s="20">
        <f>MAX(0,MIN(AB249,Parámetros!$B$11)-MAX(X249,0))+MAX(0,MIN(AB249,1+Parámetros!$B$11)-MAX(X249,AD249))+MAX(0,MIN(AB249,2)-MAX(X249,1+AD249))</f>
        <v>0</v>
      </c>
      <c r="AJ249" s="20">
        <f t="shared" si="77"/>
        <v>0</v>
      </c>
      <c r="AK249" s="20">
        <f>AE249*(MAX(0,MIN(AB249,Parámetros!$B$11)-MAX(X249,0))+MAX(0,MIN(AB249,1)-MAX(X249,AD249)))+AF249*(MAX(0,MIN(AB249,1+Parámetros!$B$11)-MAX(X249,1))+MAX(0,MIN(AB249,2)-MAX(X249,1+AD249)))</f>
        <v>0</v>
      </c>
      <c r="AL249" s="20">
        <f t="shared" si="78"/>
        <v>0</v>
      </c>
      <c r="AM249" s="20">
        <f>MAX(0,MIN(AC249,Parámetros!$B$11)-MAX(AB249,0))+MAX(0,MIN(AC249,1+Parámetros!$B$11)-MAX(AB249,AD249))+MAX(0,MIN(AC249,2)-MAX(AB249,1+AD249))</f>
        <v>0</v>
      </c>
      <c r="AN249" s="20">
        <f t="shared" si="79"/>
        <v>0</v>
      </c>
      <c r="AO249" s="20">
        <f>AE249*(MAX(0,MIN(AC249,Parámetros!$B$11)-MAX(AB249,0))+MAX(0,MIN(AC249,1)-MAX(AB249,AD249)))+AF249*(MAX(0,MIN(AC249,1+Parámetros!$B$11)-MAX(AB249,1))+MAX(0,MIN(AC249,2)-MAX(AB249,1+AD249)))</f>
        <v>0</v>
      </c>
    </row>
    <row r="250" spans="1:41" x14ac:dyDescent="0.25">
      <c r="A250" s="15"/>
      <c r="B250" s="8"/>
      <c r="C250" s="5" t="str">
        <f>IF(B250="","",IFERROR(INDEX(Trabajadores!$B$5:$B$204,MATCH(B250,Trabajadores!$A$5:$A$204,0)),"Cédula no registrada"))</f>
        <v/>
      </c>
      <c r="D250" s="11"/>
      <c r="E250" s="11"/>
      <c r="F250" s="8"/>
      <c r="G250" s="18" t="str">
        <f>IF(A250="","",IFERROR(INDEX(Trabajadores!$E$5:$E$204,MATCH(B250,Trabajadores!$A$5:$A$204,0))/Parámetros!$B$6,0)+IF(IFERROR(INDEX(Trabajadores!$E$5:$E$204,MATCH(B250,Trabajadores!$A$5:$A$204,0)),"")="",Parámetros!$B$7,0))</f>
        <v/>
      </c>
      <c r="H250" s="5" t="str">
        <f t="shared" si="60"/>
        <v/>
      </c>
      <c r="I250" s="5" t="str">
        <f>IF(A250="","",IF(COUNTIF(Festivos!$A$5:$A$451,A250)&gt;0,"Festivo",IF(WEEKDAY(A250,2)=7,"Domingo",IF(AND(AF250=1,AC250&gt;1),IF(COUNTIF(Festivos!$A$5:$A$451,A250+1)&gt;0,"Festivo","Domingo")&amp;" desde las 00:00",""))))</f>
        <v/>
      </c>
      <c r="J250" s="19" t="str">
        <f t="shared" si="61"/>
        <v/>
      </c>
      <c r="K250" s="19" t="str">
        <f t="shared" si="62"/>
        <v/>
      </c>
      <c r="L250" s="19" t="str">
        <f t="shared" si="63"/>
        <v/>
      </c>
      <c r="M250" s="19" t="str">
        <f t="shared" si="64"/>
        <v/>
      </c>
      <c r="N250" s="19" t="str">
        <f t="shared" si="65"/>
        <v/>
      </c>
      <c r="O250" s="19" t="str">
        <f t="shared" si="66"/>
        <v/>
      </c>
      <c r="P250" s="19" t="str">
        <f t="shared" si="67"/>
        <v/>
      </c>
      <c r="Q250" s="19" t="str">
        <f t="shared" si="68"/>
        <v/>
      </c>
      <c r="R250" s="19" t="str">
        <f t="shared" si="69"/>
        <v/>
      </c>
      <c r="S250" s="17" t="str">
        <f>IF(B250="","",IFERROR(INDEX(Trabajadores!$G$5:$G$204,MATCH(B250,Trabajadores!$A$5:$A$204,0)),""))</f>
        <v/>
      </c>
      <c r="T250" s="17" t="str">
        <f>IF(OR(OR(A250="",D250="",E250=""),S250=""),"",ROUND(S250*(N(L250)*Parámetros!$B$8+N(M250)*(1+Parámetros!$B$9)+N(N250)*(1+Parámetros!$B$10)+N(O250)*(1+AG250)+N(P250)*(1+AG250+Parámetros!$B$8)+N(Q250)*(1+AG250+Parámetros!$B$9)+N(R250)*(1+AG250+Parámetros!$B$10)),0))</f>
        <v/>
      </c>
      <c r="U250" s="5" t="str">
        <f>IF(OR(A250="",D250="",E250=""),"",IF(N(M250)+N(N250)+N(Q250)+N(R250)&gt;Parámetros!$B$12,"Supera el límite de horas extras diarias",IF(C250="Cédula no registrada","Registre la cédula en «Trabajadores»","")))</f>
        <v/>
      </c>
      <c r="X250" s="20">
        <f t="shared" si="70"/>
        <v>0</v>
      </c>
      <c r="Y250" s="20">
        <f t="shared" si="71"/>
        <v>0</v>
      </c>
      <c r="Z250" s="20">
        <f t="shared" si="72"/>
        <v>0</v>
      </c>
      <c r="AA250" s="20">
        <f t="shared" si="73"/>
        <v>0</v>
      </c>
      <c r="AB250" s="20">
        <f t="shared" si="74"/>
        <v>0</v>
      </c>
      <c r="AC250" s="20">
        <f t="shared" si="75"/>
        <v>0</v>
      </c>
      <c r="AD250" s="20">
        <f>IF(A250="",21/24,MOD(VLOOKUP(A250,Parámetros!$A$24:$B$25,2,TRUE()),1))</f>
        <v>0.875</v>
      </c>
      <c r="AE250" s="5">
        <f>IF(A250="",0,IF(OR(WEEKDAY(A250,2)=7,COUNTIF(Festivos!$A$5:$A$451,A250)&gt;0),1,0))</f>
        <v>0</v>
      </c>
      <c r="AF250" s="5">
        <f>IF(A250="",0,IF(OR(WEEKDAY(A250+1,2)=7,COUNTIF(Festivos!$A$5:$A$451,A250+1)&gt;0),1,0))</f>
        <v>0</v>
      </c>
      <c r="AG250" s="9">
        <f>IF(A250="",0,VLOOKUP(A250,Parámetros!$A$18:$B$21,2,TRUE()))</f>
        <v>0</v>
      </c>
      <c r="AH250" s="20">
        <f t="shared" si="76"/>
        <v>0</v>
      </c>
      <c r="AI250" s="20">
        <f>MAX(0,MIN(AB250,Parámetros!$B$11)-MAX(X250,0))+MAX(0,MIN(AB250,1+Parámetros!$B$11)-MAX(X250,AD250))+MAX(0,MIN(AB250,2)-MAX(X250,1+AD250))</f>
        <v>0</v>
      </c>
      <c r="AJ250" s="20">
        <f t="shared" si="77"/>
        <v>0</v>
      </c>
      <c r="AK250" s="20">
        <f>AE250*(MAX(0,MIN(AB250,Parámetros!$B$11)-MAX(X250,0))+MAX(0,MIN(AB250,1)-MAX(X250,AD250)))+AF250*(MAX(0,MIN(AB250,1+Parámetros!$B$11)-MAX(X250,1))+MAX(0,MIN(AB250,2)-MAX(X250,1+AD250)))</f>
        <v>0</v>
      </c>
      <c r="AL250" s="20">
        <f t="shared" si="78"/>
        <v>0</v>
      </c>
      <c r="AM250" s="20">
        <f>MAX(0,MIN(AC250,Parámetros!$B$11)-MAX(AB250,0))+MAX(0,MIN(AC250,1+Parámetros!$B$11)-MAX(AB250,AD250))+MAX(0,MIN(AC250,2)-MAX(AB250,1+AD250))</f>
        <v>0</v>
      </c>
      <c r="AN250" s="20">
        <f t="shared" si="79"/>
        <v>0</v>
      </c>
      <c r="AO250" s="20">
        <f>AE250*(MAX(0,MIN(AC250,Parámetros!$B$11)-MAX(AB250,0))+MAX(0,MIN(AC250,1)-MAX(AB250,AD250)))+AF250*(MAX(0,MIN(AC250,1+Parámetros!$B$11)-MAX(AB250,1))+MAX(0,MIN(AC250,2)-MAX(AB250,1+AD250)))</f>
        <v>0</v>
      </c>
    </row>
    <row r="251" spans="1:41" x14ac:dyDescent="0.25">
      <c r="A251" s="15"/>
      <c r="B251" s="8"/>
      <c r="C251" s="5" t="str">
        <f>IF(B251="","",IFERROR(INDEX(Trabajadores!$B$5:$B$204,MATCH(B251,Trabajadores!$A$5:$A$204,0)),"Cédula no registrada"))</f>
        <v/>
      </c>
      <c r="D251" s="11"/>
      <c r="E251" s="11"/>
      <c r="F251" s="8"/>
      <c r="G251" s="18" t="str">
        <f>IF(A251="","",IFERROR(INDEX(Trabajadores!$E$5:$E$204,MATCH(B251,Trabajadores!$A$5:$A$204,0))/Parámetros!$B$6,0)+IF(IFERROR(INDEX(Trabajadores!$E$5:$E$204,MATCH(B251,Trabajadores!$A$5:$A$204,0)),"")="",Parámetros!$B$7,0))</f>
        <v/>
      </c>
      <c r="H251" s="5" t="str">
        <f t="shared" si="60"/>
        <v/>
      </c>
      <c r="I251" s="5" t="str">
        <f>IF(A251="","",IF(COUNTIF(Festivos!$A$5:$A$451,A251)&gt;0,"Festivo",IF(WEEKDAY(A251,2)=7,"Domingo",IF(AND(AF251=1,AC251&gt;1),IF(COUNTIF(Festivos!$A$5:$A$451,A251+1)&gt;0,"Festivo","Domingo")&amp;" desde las 00:00",""))))</f>
        <v/>
      </c>
      <c r="J251" s="19" t="str">
        <f t="shared" si="61"/>
        <v/>
      </c>
      <c r="K251" s="19" t="str">
        <f t="shared" si="62"/>
        <v/>
      </c>
      <c r="L251" s="19" t="str">
        <f t="shared" si="63"/>
        <v/>
      </c>
      <c r="M251" s="19" t="str">
        <f t="shared" si="64"/>
        <v/>
      </c>
      <c r="N251" s="19" t="str">
        <f t="shared" si="65"/>
        <v/>
      </c>
      <c r="O251" s="19" t="str">
        <f t="shared" si="66"/>
        <v/>
      </c>
      <c r="P251" s="19" t="str">
        <f t="shared" si="67"/>
        <v/>
      </c>
      <c r="Q251" s="19" t="str">
        <f t="shared" si="68"/>
        <v/>
      </c>
      <c r="R251" s="19" t="str">
        <f t="shared" si="69"/>
        <v/>
      </c>
      <c r="S251" s="17" t="str">
        <f>IF(B251="","",IFERROR(INDEX(Trabajadores!$G$5:$G$204,MATCH(B251,Trabajadores!$A$5:$A$204,0)),""))</f>
        <v/>
      </c>
      <c r="T251" s="17" t="str">
        <f>IF(OR(OR(A251="",D251="",E251=""),S251=""),"",ROUND(S251*(N(L251)*Parámetros!$B$8+N(M251)*(1+Parámetros!$B$9)+N(N251)*(1+Parámetros!$B$10)+N(O251)*(1+AG251)+N(P251)*(1+AG251+Parámetros!$B$8)+N(Q251)*(1+AG251+Parámetros!$B$9)+N(R251)*(1+AG251+Parámetros!$B$10)),0))</f>
        <v/>
      </c>
      <c r="U251" s="5" t="str">
        <f>IF(OR(A251="",D251="",E251=""),"",IF(N(M251)+N(N251)+N(Q251)+N(R251)&gt;Parámetros!$B$12,"Supera el límite de horas extras diarias",IF(C251="Cédula no registrada","Registre la cédula en «Trabajadores»","")))</f>
        <v/>
      </c>
      <c r="X251" s="20">
        <f t="shared" si="70"/>
        <v>0</v>
      </c>
      <c r="Y251" s="20">
        <f t="shared" si="71"/>
        <v>0</v>
      </c>
      <c r="Z251" s="20">
        <f t="shared" si="72"/>
        <v>0</v>
      </c>
      <c r="AA251" s="20">
        <f t="shared" si="73"/>
        <v>0</v>
      </c>
      <c r="AB251" s="20">
        <f t="shared" si="74"/>
        <v>0</v>
      </c>
      <c r="AC251" s="20">
        <f t="shared" si="75"/>
        <v>0</v>
      </c>
      <c r="AD251" s="20">
        <f>IF(A251="",21/24,MOD(VLOOKUP(A251,Parámetros!$A$24:$B$25,2,TRUE()),1))</f>
        <v>0.875</v>
      </c>
      <c r="AE251" s="5">
        <f>IF(A251="",0,IF(OR(WEEKDAY(A251,2)=7,COUNTIF(Festivos!$A$5:$A$451,A251)&gt;0),1,0))</f>
        <v>0</v>
      </c>
      <c r="AF251" s="5">
        <f>IF(A251="",0,IF(OR(WEEKDAY(A251+1,2)=7,COUNTIF(Festivos!$A$5:$A$451,A251+1)&gt;0),1,0))</f>
        <v>0</v>
      </c>
      <c r="AG251" s="9">
        <f>IF(A251="",0,VLOOKUP(A251,Parámetros!$A$18:$B$21,2,TRUE()))</f>
        <v>0</v>
      </c>
      <c r="AH251" s="20">
        <f t="shared" si="76"/>
        <v>0</v>
      </c>
      <c r="AI251" s="20">
        <f>MAX(0,MIN(AB251,Parámetros!$B$11)-MAX(X251,0))+MAX(0,MIN(AB251,1+Parámetros!$B$11)-MAX(X251,AD251))+MAX(0,MIN(AB251,2)-MAX(X251,1+AD251))</f>
        <v>0</v>
      </c>
      <c r="AJ251" s="20">
        <f t="shared" si="77"/>
        <v>0</v>
      </c>
      <c r="AK251" s="20">
        <f>AE251*(MAX(0,MIN(AB251,Parámetros!$B$11)-MAX(X251,0))+MAX(0,MIN(AB251,1)-MAX(X251,AD251)))+AF251*(MAX(0,MIN(AB251,1+Parámetros!$B$11)-MAX(X251,1))+MAX(0,MIN(AB251,2)-MAX(X251,1+AD251)))</f>
        <v>0</v>
      </c>
      <c r="AL251" s="20">
        <f t="shared" si="78"/>
        <v>0</v>
      </c>
      <c r="AM251" s="20">
        <f>MAX(0,MIN(AC251,Parámetros!$B$11)-MAX(AB251,0))+MAX(0,MIN(AC251,1+Parámetros!$B$11)-MAX(AB251,AD251))+MAX(0,MIN(AC251,2)-MAX(AB251,1+AD251))</f>
        <v>0</v>
      </c>
      <c r="AN251" s="20">
        <f t="shared" si="79"/>
        <v>0</v>
      </c>
      <c r="AO251" s="20">
        <f>AE251*(MAX(0,MIN(AC251,Parámetros!$B$11)-MAX(AB251,0))+MAX(0,MIN(AC251,1)-MAX(AB251,AD251)))+AF251*(MAX(0,MIN(AC251,1+Parámetros!$B$11)-MAX(AB251,1))+MAX(0,MIN(AC251,2)-MAX(AB251,1+AD251)))</f>
        <v>0</v>
      </c>
    </row>
    <row r="252" spans="1:41" x14ac:dyDescent="0.25">
      <c r="A252" s="15"/>
      <c r="B252" s="8"/>
      <c r="C252" s="5" t="str">
        <f>IF(B252="","",IFERROR(INDEX(Trabajadores!$B$5:$B$204,MATCH(B252,Trabajadores!$A$5:$A$204,0)),"Cédula no registrada"))</f>
        <v/>
      </c>
      <c r="D252" s="11"/>
      <c r="E252" s="11"/>
      <c r="F252" s="8"/>
      <c r="G252" s="18" t="str">
        <f>IF(A252="","",IFERROR(INDEX(Trabajadores!$E$5:$E$204,MATCH(B252,Trabajadores!$A$5:$A$204,0))/Parámetros!$B$6,0)+IF(IFERROR(INDEX(Trabajadores!$E$5:$E$204,MATCH(B252,Trabajadores!$A$5:$A$204,0)),"")="",Parámetros!$B$7,0))</f>
        <v/>
      </c>
      <c r="H252" s="5" t="str">
        <f t="shared" si="60"/>
        <v/>
      </c>
      <c r="I252" s="5" t="str">
        <f>IF(A252="","",IF(COUNTIF(Festivos!$A$5:$A$451,A252)&gt;0,"Festivo",IF(WEEKDAY(A252,2)=7,"Domingo",IF(AND(AF252=1,AC252&gt;1),IF(COUNTIF(Festivos!$A$5:$A$451,A252+1)&gt;0,"Festivo","Domingo")&amp;" desde las 00:00",""))))</f>
        <v/>
      </c>
      <c r="J252" s="19" t="str">
        <f t="shared" si="61"/>
        <v/>
      </c>
      <c r="K252" s="19" t="str">
        <f t="shared" si="62"/>
        <v/>
      </c>
      <c r="L252" s="19" t="str">
        <f t="shared" si="63"/>
        <v/>
      </c>
      <c r="M252" s="19" t="str">
        <f t="shared" si="64"/>
        <v/>
      </c>
      <c r="N252" s="19" t="str">
        <f t="shared" si="65"/>
        <v/>
      </c>
      <c r="O252" s="19" t="str">
        <f t="shared" si="66"/>
        <v/>
      </c>
      <c r="P252" s="19" t="str">
        <f t="shared" si="67"/>
        <v/>
      </c>
      <c r="Q252" s="19" t="str">
        <f t="shared" si="68"/>
        <v/>
      </c>
      <c r="R252" s="19" t="str">
        <f t="shared" si="69"/>
        <v/>
      </c>
      <c r="S252" s="17" t="str">
        <f>IF(B252="","",IFERROR(INDEX(Trabajadores!$G$5:$G$204,MATCH(B252,Trabajadores!$A$5:$A$204,0)),""))</f>
        <v/>
      </c>
      <c r="T252" s="17" t="str">
        <f>IF(OR(OR(A252="",D252="",E252=""),S252=""),"",ROUND(S252*(N(L252)*Parámetros!$B$8+N(M252)*(1+Parámetros!$B$9)+N(N252)*(1+Parámetros!$B$10)+N(O252)*(1+AG252)+N(P252)*(1+AG252+Parámetros!$B$8)+N(Q252)*(1+AG252+Parámetros!$B$9)+N(R252)*(1+AG252+Parámetros!$B$10)),0))</f>
        <v/>
      </c>
      <c r="U252" s="5" t="str">
        <f>IF(OR(A252="",D252="",E252=""),"",IF(N(M252)+N(N252)+N(Q252)+N(R252)&gt;Parámetros!$B$12,"Supera el límite de horas extras diarias",IF(C252="Cédula no registrada","Registre la cédula en «Trabajadores»","")))</f>
        <v/>
      </c>
      <c r="X252" s="20">
        <f t="shared" si="70"/>
        <v>0</v>
      </c>
      <c r="Y252" s="20">
        <f t="shared" si="71"/>
        <v>0</v>
      </c>
      <c r="Z252" s="20">
        <f t="shared" si="72"/>
        <v>0</v>
      </c>
      <c r="AA252" s="20">
        <f t="shared" si="73"/>
        <v>0</v>
      </c>
      <c r="AB252" s="20">
        <f t="shared" si="74"/>
        <v>0</v>
      </c>
      <c r="AC252" s="20">
        <f t="shared" si="75"/>
        <v>0</v>
      </c>
      <c r="AD252" s="20">
        <f>IF(A252="",21/24,MOD(VLOOKUP(A252,Parámetros!$A$24:$B$25,2,TRUE()),1))</f>
        <v>0.875</v>
      </c>
      <c r="AE252" s="5">
        <f>IF(A252="",0,IF(OR(WEEKDAY(A252,2)=7,COUNTIF(Festivos!$A$5:$A$451,A252)&gt;0),1,0))</f>
        <v>0</v>
      </c>
      <c r="AF252" s="5">
        <f>IF(A252="",0,IF(OR(WEEKDAY(A252+1,2)=7,COUNTIF(Festivos!$A$5:$A$451,A252+1)&gt;0),1,0))</f>
        <v>0</v>
      </c>
      <c r="AG252" s="9">
        <f>IF(A252="",0,VLOOKUP(A252,Parámetros!$A$18:$B$21,2,TRUE()))</f>
        <v>0</v>
      </c>
      <c r="AH252" s="20">
        <f t="shared" si="76"/>
        <v>0</v>
      </c>
      <c r="AI252" s="20">
        <f>MAX(0,MIN(AB252,Parámetros!$B$11)-MAX(X252,0))+MAX(0,MIN(AB252,1+Parámetros!$B$11)-MAX(X252,AD252))+MAX(0,MIN(AB252,2)-MAX(X252,1+AD252))</f>
        <v>0</v>
      </c>
      <c r="AJ252" s="20">
        <f t="shared" si="77"/>
        <v>0</v>
      </c>
      <c r="AK252" s="20">
        <f>AE252*(MAX(0,MIN(AB252,Parámetros!$B$11)-MAX(X252,0))+MAX(0,MIN(AB252,1)-MAX(X252,AD252)))+AF252*(MAX(0,MIN(AB252,1+Parámetros!$B$11)-MAX(X252,1))+MAX(0,MIN(AB252,2)-MAX(X252,1+AD252)))</f>
        <v>0</v>
      </c>
      <c r="AL252" s="20">
        <f t="shared" si="78"/>
        <v>0</v>
      </c>
      <c r="AM252" s="20">
        <f>MAX(0,MIN(AC252,Parámetros!$B$11)-MAX(AB252,0))+MAX(0,MIN(AC252,1+Parámetros!$B$11)-MAX(AB252,AD252))+MAX(0,MIN(AC252,2)-MAX(AB252,1+AD252))</f>
        <v>0</v>
      </c>
      <c r="AN252" s="20">
        <f t="shared" si="79"/>
        <v>0</v>
      </c>
      <c r="AO252" s="20">
        <f>AE252*(MAX(0,MIN(AC252,Parámetros!$B$11)-MAX(AB252,0))+MAX(0,MIN(AC252,1)-MAX(AB252,AD252)))+AF252*(MAX(0,MIN(AC252,1+Parámetros!$B$11)-MAX(AB252,1))+MAX(0,MIN(AC252,2)-MAX(AB252,1+AD252)))</f>
        <v>0</v>
      </c>
    </row>
    <row r="253" spans="1:41" x14ac:dyDescent="0.25">
      <c r="A253" s="15"/>
      <c r="B253" s="8"/>
      <c r="C253" s="5" t="str">
        <f>IF(B253="","",IFERROR(INDEX(Trabajadores!$B$5:$B$204,MATCH(B253,Trabajadores!$A$5:$A$204,0)),"Cédula no registrada"))</f>
        <v/>
      </c>
      <c r="D253" s="11"/>
      <c r="E253" s="11"/>
      <c r="F253" s="8"/>
      <c r="G253" s="18" t="str">
        <f>IF(A253="","",IFERROR(INDEX(Trabajadores!$E$5:$E$204,MATCH(B253,Trabajadores!$A$5:$A$204,0))/Parámetros!$B$6,0)+IF(IFERROR(INDEX(Trabajadores!$E$5:$E$204,MATCH(B253,Trabajadores!$A$5:$A$204,0)),"")="",Parámetros!$B$7,0))</f>
        <v/>
      </c>
      <c r="H253" s="5" t="str">
        <f t="shared" si="60"/>
        <v/>
      </c>
      <c r="I253" s="5" t="str">
        <f>IF(A253="","",IF(COUNTIF(Festivos!$A$5:$A$451,A253)&gt;0,"Festivo",IF(WEEKDAY(A253,2)=7,"Domingo",IF(AND(AF253=1,AC253&gt;1),IF(COUNTIF(Festivos!$A$5:$A$451,A253+1)&gt;0,"Festivo","Domingo")&amp;" desde las 00:00",""))))</f>
        <v/>
      </c>
      <c r="J253" s="19" t="str">
        <f t="shared" si="61"/>
        <v/>
      </c>
      <c r="K253" s="19" t="str">
        <f t="shared" si="62"/>
        <v/>
      </c>
      <c r="L253" s="19" t="str">
        <f t="shared" si="63"/>
        <v/>
      </c>
      <c r="M253" s="19" t="str">
        <f t="shared" si="64"/>
        <v/>
      </c>
      <c r="N253" s="19" t="str">
        <f t="shared" si="65"/>
        <v/>
      </c>
      <c r="O253" s="19" t="str">
        <f t="shared" si="66"/>
        <v/>
      </c>
      <c r="P253" s="19" t="str">
        <f t="shared" si="67"/>
        <v/>
      </c>
      <c r="Q253" s="19" t="str">
        <f t="shared" si="68"/>
        <v/>
      </c>
      <c r="R253" s="19" t="str">
        <f t="shared" si="69"/>
        <v/>
      </c>
      <c r="S253" s="17" t="str">
        <f>IF(B253="","",IFERROR(INDEX(Trabajadores!$G$5:$G$204,MATCH(B253,Trabajadores!$A$5:$A$204,0)),""))</f>
        <v/>
      </c>
      <c r="T253" s="17" t="str">
        <f>IF(OR(OR(A253="",D253="",E253=""),S253=""),"",ROUND(S253*(N(L253)*Parámetros!$B$8+N(M253)*(1+Parámetros!$B$9)+N(N253)*(1+Parámetros!$B$10)+N(O253)*(1+AG253)+N(P253)*(1+AG253+Parámetros!$B$8)+N(Q253)*(1+AG253+Parámetros!$B$9)+N(R253)*(1+AG253+Parámetros!$B$10)),0))</f>
        <v/>
      </c>
      <c r="U253" s="5" t="str">
        <f>IF(OR(A253="",D253="",E253=""),"",IF(N(M253)+N(N253)+N(Q253)+N(R253)&gt;Parámetros!$B$12,"Supera el límite de horas extras diarias",IF(C253="Cédula no registrada","Registre la cédula en «Trabajadores»","")))</f>
        <v/>
      </c>
      <c r="X253" s="20">
        <f t="shared" si="70"/>
        <v>0</v>
      </c>
      <c r="Y253" s="20">
        <f t="shared" si="71"/>
        <v>0</v>
      </c>
      <c r="Z253" s="20">
        <f t="shared" si="72"/>
        <v>0</v>
      </c>
      <c r="AA253" s="20">
        <f t="shared" si="73"/>
        <v>0</v>
      </c>
      <c r="AB253" s="20">
        <f t="shared" si="74"/>
        <v>0</v>
      </c>
      <c r="AC253" s="20">
        <f t="shared" si="75"/>
        <v>0</v>
      </c>
      <c r="AD253" s="20">
        <f>IF(A253="",21/24,MOD(VLOOKUP(A253,Parámetros!$A$24:$B$25,2,TRUE()),1))</f>
        <v>0.875</v>
      </c>
      <c r="AE253" s="5">
        <f>IF(A253="",0,IF(OR(WEEKDAY(A253,2)=7,COUNTIF(Festivos!$A$5:$A$451,A253)&gt;0),1,0))</f>
        <v>0</v>
      </c>
      <c r="AF253" s="5">
        <f>IF(A253="",0,IF(OR(WEEKDAY(A253+1,2)=7,COUNTIF(Festivos!$A$5:$A$451,A253+1)&gt;0),1,0))</f>
        <v>0</v>
      </c>
      <c r="AG253" s="9">
        <f>IF(A253="",0,VLOOKUP(A253,Parámetros!$A$18:$B$21,2,TRUE()))</f>
        <v>0</v>
      </c>
      <c r="AH253" s="20">
        <f t="shared" si="76"/>
        <v>0</v>
      </c>
      <c r="AI253" s="20">
        <f>MAX(0,MIN(AB253,Parámetros!$B$11)-MAX(X253,0))+MAX(0,MIN(AB253,1+Parámetros!$B$11)-MAX(X253,AD253))+MAX(0,MIN(AB253,2)-MAX(X253,1+AD253))</f>
        <v>0</v>
      </c>
      <c r="AJ253" s="20">
        <f t="shared" si="77"/>
        <v>0</v>
      </c>
      <c r="AK253" s="20">
        <f>AE253*(MAX(0,MIN(AB253,Parámetros!$B$11)-MAX(X253,0))+MAX(0,MIN(AB253,1)-MAX(X253,AD253)))+AF253*(MAX(0,MIN(AB253,1+Parámetros!$B$11)-MAX(X253,1))+MAX(0,MIN(AB253,2)-MAX(X253,1+AD253)))</f>
        <v>0</v>
      </c>
      <c r="AL253" s="20">
        <f t="shared" si="78"/>
        <v>0</v>
      </c>
      <c r="AM253" s="20">
        <f>MAX(0,MIN(AC253,Parámetros!$B$11)-MAX(AB253,0))+MAX(0,MIN(AC253,1+Parámetros!$B$11)-MAX(AB253,AD253))+MAX(0,MIN(AC253,2)-MAX(AB253,1+AD253))</f>
        <v>0</v>
      </c>
      <c r="AN253" s="20">
        <f t="shared" si="79"/>
        <v>0</v>
      </c>
      <c r="AO253" s="20">
        <f>AE253*(MAX(0,MIN(AC253,Parámetros!$B$11)-MAX(AB253,0))+MAX(0,MIN(AC253,1)-MAX(AB253,AD253)))+AF253*(MAX(0,MIN(AC253,1+Parámetros!$B$11)-MAX(AB253,1))+MAX(0,MIN(AC253,2)-MAX(AB253,1+AD253)))</f>
        <v>0</v>
      </c>
    </row>
    <row r="254" spans="1:41" x14ac:dyDescent="0.25">
      <c r="A254" s="15"/>
      <c r="B254" s="8"/>
      <c r="C254" s="5" t="str">
        <f>IF(B254="","",IFERROR(INDEX(Trabajadores!$B$5:$B$204,MATCH(B254,Trabajadores!$A$5:$A$204,0)),"Cédula no registrada"))</f>
        <v/>
      </c>
      <c r="D254" s="11"/>
      <c r="E254" s="11"/>
      <c r="F254" s="8"/>
      <c r="G254" s="18" t="str">
        <f>IF(A254="","",IFERROR(INDEX(Trabajadores!$E$5:$E$204,MATCH(B254,Trabajadores!$A$5:$A$204,0))/Parámetros!$B$6,0)+IF(IFERROR(INDEX(Trabajadores!$E$5:$E$204,MATCH(B254,Trabajadores!$A$5:$A$204,0)),"")="",Parámetros!$B$7,0))</f>
        <v/>
      </c>
      <c r="H254" s="5" t="str">
        <f t="shared" si="60"/>
        <v/>
      </c>
      <c r="I254" s="5" t="str">
        <f>IF(A254="","",IF(COUNTIF(Festivos!$A$5:$A$451,A254)&gt;0,"Festivo",IF(WEEKDAY(A254,2)=7,"Domingo",IF(AND(AF254=1,AC254&gt;1),IF(COUNTIF(Festivos!$A$5:$A$451,A254+1)&gt;0,"Festivo","Domingo")&amp;" desde las 00:00",""))))</f>
        <v/>
      </c>
      <c r="J254" s="19" t="str">
        <f t="shared" si="61"/>
        <v/>
      </c>
      <c r="K254" s="19" t="str">
        <f t="shared" si="62"/>
        <v/>
      </c>
      <c r="L254" s="19" t="str">
        <f t="shared" si="63"/>
        <v/>
      </c>
      <c r="M254" s="19" t="str">
        <f t="shared" si="64"/>
        <v/>
      </c>
      <c r="N254" s="19" t="str">
        <f t="shared" si="65"/>
        <v/>
      </c>
      <c r="O254" s="19" t="str">
        <f t="shared" si="66"/>
        <v/>
      </c>
      <c r="P254" s="19" t="str">
        <f t="shared" si="67"/>
        <v/>
      </c>
      <c r="Q254" s="19" t="str">
        <f t="shared" si="68"/>
        <v/>
      </c>
      <c r="R254" s="19" t="str">
        <f t="shared" si="69"/>
        <v/>
      </c>
      <c r="S254" s="17" t="str">
        <f>IF(B254="","",IFERROR(INDEX(Trabajadores!$G$5:$G$204,MATCH(B254,Trabajadores!$A$5:$A$204,0)),""))</f>
        <v/>
      </c>
      <c r="T254" s="17" t="str">
        <f>IF(OR(OR(A254="",D254="",E254=""),S254=""),"",ROUND(S254*(N(L254)*Parámetros!$B$8+N(M254)*(1+Parámetros!$B$9)+N(N254)*(1+Parámetros!$B$10)+N(O254)*(1+AG254)+N(P254)*(1+AG254+Parámetros!$B$8)+N(Q254)*(1+AG254+Parámetros!$B$9)+N(R254)*(1+AG254+Parámetros!$B$10)),0))</f>
        <v/>
      </c>
      <c r="U254" s="5" t="str">
        <f>IF(OR(A254="",D254="",E254=""),"",IF(N(M254)+N(N254)+N(Q254)+N(R254)&gt;Parámetros!$B$12,"Supera el límite de horas extras diarias",IF(C254="Cédula no registrada","Registre la cédula en «Trabajadores»","")))</f>
        <v/>
      </c>
      <c r="X254" s="20">
        <f t="shared" si="70"/>
        <v>0</v>
      </c>
      <c r="Y254" s="20">
        <f t="shared" si="71"/>
        <v>0</v>
      </c>
      <c r="Z254" s="20">
        <f t="shared" si="72"/>
        <v>0</v>
      </c>
      <c r="AA254" s="20">
        <f t="shared" si="73"/>
        <v>0</v>
      </c>
      <c r="AB254" s="20">
        <f t="shared" si="74"/>
        <v>0</v>
      </c>
      <c r="AC254" s="20">
        <f t="shared" si="75"/>
        <v>0</v>
      </c>
      <c r="AD254" s="20">
        <f>IF(A254="",21/24,MOD(VLOOKUP(A254,Parámetros!$A$24:$B$25,2,TRUE()),1))</f>
        <v>0.875</v>
      </c>
      <c r="AE254" s="5">
        <f>IF(A254="",0,IF(OR(WEEKDAY(A254,2)=7,COUNTIF(Festivos!$A$5:$A$451,A254)&gt;0),1,0))</f>
        <v>0</v>
      </c>
      <c r="AF254" s="5">
        <f>IF(A254="",0,IF(OR(WEEKDAY(A254+1,2)=7,COUNTIF(Festivos!$A$5:$A$451,A254+1)&gt;0),1,0))</f>
        <v>0</v>
      </c>
      <c r="AG254" s="9">
        <f>IF(A254="",0,VLOOKUP(A254,Parámetros!$A$18:$B$21,2,TRUE()))</f>
        <v>0</v>
      </c>
      <c r="AH254" s="20">
        <f t="shared" si="76"/>
        <v>0</v>
      </c>
      <c r="AI254" s="20">
        <f>MAX(0,MIN(AB254,Parámetros!$B$11)-MAX(X254,0))+MAX(0,MIN(AB254,1+Parámetros!$B$11)-MAX(X254,AD254))+MAX(0,MIN(AB254,2)-MAX(X254,1+AD254))</f>
        <v>0</v>
      </c>
      <c r="AJ254" s="20">
        <f t="shared" si="77"/>
        <v>0</v>
      </c>
      <c r="AK254" s="20">
        <f>AE254*(MAX(0,MIN(AB254,Parámetros!$B$11)-MAX(X254,0))+MAX(0,MIN(AB254,1)-MAX(X254,AD254)))+AF254*(MAX(0,MIN(AB254,1+Parámetros!$B$11)-MAX(X254,1))+MAX(0,MIN(AB254,2)-MAX(X254,1+AD254)))</f>
        <v>0</v>
      </c>
      <c r="AL254" s="20">
        <f t="shared" si="78"/>
        <v>0</v>
      </c>
      <c r="AM254" s="20">
        <f>MAX(0,MIN(AC254,Parámetros!$B$11)-MAX(AB254,0))+MAX(0,MIN(AC254,1+Parámetros!$B$11)-MAX(AB254,AD254))+MAX(0,MIN(AC254,2)-MAX(AB254,1+AD254))</f>
        <v>0</v>
      </c>
      <c r="AN254" s="20">
        <f t="shared" si="79"/>
        <v>0</v>
      </c>
      <c r="AO254" s="20">
        <f>AE254*(MAX(0,MIN(AC254,Parámetros!$B$11)-MAX(AB254,0))+MAX(0,MIN(AC254,1)-MAX(AB254,AD254)))+AF254*(MAX(0,MIN(AC254,1+Parámetros!$B$11)-MAX(AB254,1))+MAX(0,MIN(AC254,2)-MAX(AB254,1+AD254)))</f>
        <v>0</v>
      </c>
    </row>
    <row r="255" spans="1:41" x14ac:dyDescent="0.25">
      <c r="A255" s="15"/>
      <c r="B255" s="8"/>
      <c r="C255" s="5" t="str">
        <f>IF(B255="","",IFERROR(INDEX(Trabajadores!$B$5:$B$204,MATCH(B255,Trabajadores!$A$5:$A$204,0)),"Cédula no registrada"))</f>
        <v/>
      </c>
      <c r="D255" s="11"/>
      <c r="E255" s="11"/>
      <c r="F255" s="8"/>
      <c r="G255" s="18" t="str">
        <f>IF(A255="","",IFERROR(INDEX(Trabajadores!$E$5:$E$204,MATCH(B255,Trabajadores!$A$5:$A$204,0))/Parámetros!$B$6,0)+IF(IFERROR(INDEX(Trabajadores!$E$5:$E$204,MATCH(B255,Trabajadores!$A$5:$A$204,0)),"")="",Parámetros!$B$7,0))</f>
        <v/>
      </c>
      <c r="H255" s="5" t="str">
        <f t="shared" si="60"/>
        <v/>
      </c>
      <c r="I255" s="5" t="str">
        <f>IF(A255="","",IF(COUNTIF(Festivos!$A$5:$A$451,A255)&gt;0,"Festivo",IF(WEEKDAY(A255,2)=7,"Domingo",IF(AND(AF255=1,AC255&gt;1),IF(COUNTIF(Festivos!$A$5:$A$451,A255+1)&gt;0,"Festivo","Domingo")&amp;" desde las 00:00",""))))</f>
        <v/>
      </c>
      <c r="J255" s="19" t="str">
        <f t="shared" si="61"/>
        <v/>
      </c>
      <c r="K255" s="19" t="str">
        <f t="shared" si="62"/>
        <v/>
      </c>
      <c r="L255" s="19" t="str">
        <f t="shared" si="63"/>
        <v/>
      </c>
      <c r="M255" s="19" t="str">
        <f t="shared" si="64"/>
        <v/>
      </c>
      <c r="N255" s="19" t="str">
        <f t="shared" si="65"/>
        <v/>
      </c>
      <c r="O255" s="19" t="str">
        <f t="shared" si="66"/>
        <v/>
      </c>
      <c r="P255" s="19" t="str">
        <f t="shared" si="67"/>
        <v/>
      </c>
      <c r="Q255" s="19" t="str">
        <f t="shared" si="68"/>
        <v/>
      </c>
      <c r="R255" s="19" t="str">
        <f t="shared" si="69"/>
        <v/>
      </c>
      <c r="S255" s="17" t="str">
        <f>IF(B255="","",IFERROR(INDEX(Trabajadores!$G$5:$G$204,MATCH(B255,Trabajadores!$A$5:$A$204,0)),""))</f>
        <v/>
      </c>
      <c r="T255" s="17" t="str">
        <f>IF(OR(OR(A255="",D255="",E255=""),S255=""),"",ROUND(S255*(N(L255)*Parámetros!$B$8+N(M255)*(1+Parámetros!$B$9)+N(N255)*(1+Parámetros!$B$10)+N(O255)*(1+AG255)+N(P255)*(1+AG255+Parámetros!$B$8)+N(Q255)*(1+AG255+Parámetros!$B$9)+N(R255)*(1+AG255+Parámetros!$B$10)),0))</f>
        <v/>
      </c>
      <c r="U255" s="5" t="str">
        <f>IF(OR(A255="",D255="",E255=""),"",IF(N(M255)+N(N255)+N(Q255)+N(R255)&gt;Parámetros!$B$12,"Supera el límite de horas extras diarias",IF(C255="Cédula no registrada","Registre la cédula en «Trabajadores»","")))</f>
        <v/>
      </c>
      <c r="X255" s="20">
        <f t="shared" si="70"/>
        <v>0</v>
      </c>
      <c r="Y255" s="20">
        <f t="shared" si="71"/>
        <v>0</v>
      </c>
      <c r="Z255" s="20">
        <f t="shared" si="72"/>
        <v>0</v>
      </c>
      <c r="AA255" s="20">
        <f t="shared" si="73"/>
        <v>0</v>
      </c>
      <c r="AB255" s="20">
        <f t="shared" si="74"/>
        <v>0</v>
      </c>
      <c r="AC255" s="20">
        <f t="shared" si="75"/>
        <v>0</v>
      </c>
      <c r="AD255" s="20">
        <f>IF(A255="",21/24,MOD(VLOOKUP(A255,Parámetros!$A$24:$B$25,2,TRUE()),1))</f>
        <v>0.875</v>
      </c>
      <c r="AE255" s="5">
        <f>IF(A255="",0,IF(OR(WEEKDAY(A255,2)=7,COUNTIF(Festivos!$A$5:$A$451,A255)&gt;0),1,0))</f>
        <v>0</v>
      </c>
      <c r="AF255" s="5">
        <f>IF(A255="",0,IF(OR(WEEKDAY(A255+1,2)=7,COUNTIF(Festivos!$A$5:$A$451,A255+1)&gt;0),1,0))</f>
        <v>0</v>
      </c>
      <c r="AG255" s="9">
        <f>IF(A255="",0,VLOOKUP(A255,Parámetros!$A$18:$B$21,2,TRUE()))</f>
        <v>0</v>
      </c>
      <c r="AH255" s="20">
        <f t="shared" si="76"/>
        <v>0</v>
      </c>
      <c r="AI255" s="20">
        <f>MAX(0,MIN(AB255,Parámetros!$B$11)-MAX(X255,0))+MAX(0,MIN(AB255,1+Parámetros!$B$11)-MAX(X255,AD255))+MAX(0,MIN(AB255,2)-MAX(X255,1+AD255))</f>
        <v>0</v>
      </c>
      <c r="AJ255" s="20">
        <f t="shared" si="77"/>
        <v>0</v>
      </c>
      <c r="AK255" s="20">
        <f>AE255*(MAX(0,MIN(AB255,Parámetros!$B$11)-MAX(X255,0))+MAX(0,MIN(AB255,1)-MAX(X255,AD255)))+AF255*(MAX(0,MIN(AB255,1+Parámetros!$B$11)-MAX(X255,1))+MAX(0,MIN(AB255,2)-MAX(X255,1+AD255)))</f>
        <v>0</v>
      </c>
      <c r="AL255" s="20">
        <f t="shared" si="78"/>
        <v>0</v>
      </c>
      <c r="AM255" s="20">
        <f>MAX(0,MIN(AC255,Parámetros!$B$11)-MAX(AB255,0))+MAX(0,MIN(AC255,1+Parámetros!$B$11)-MAX(AB255,AD255))+MAX(0,MIN(AC255,2)-MAX(AB255,1+AD255))</f>
        <v>0</v>
      </c>
      <c r="AN255" s="20">
        <f t="shared" si="79"/>
        <v>0</v>
      </c>
      <c r="AO255" s="20">
        <f>AE255*(MAX(0,MIN(AC255,Parámetros!$B$11)-MAX(AB255,0))+MAX(0,MIN(AC255,1)-MAX(AB255,AD255)))+AF255*(MAX(0,MIN(AC255,1+Parámetros!$B$11)-MAX(AB255,1))+MAX(0,MIN(AC255,2)-MAX(AB255,1+AD255)))</f>
        <v>0</v>
      </c>
    </row>
    <row r="256" spans="1:41" x14ac:dyDescent="0.25">
      <c r="A256" s="15"/>
      <c r="B256" s="8"/>
      <c r="C256" s="5" t="str">
        <f>IF(B256="","",IFERROR(INDEX(Trabajadores!$B$5:$B$204,MATCH(B256,Trabajadores!$A$5:$A$204,0)),"Cédula no registrada"))</f>
        <v/>
      </c>
      <c r="D256" s="11"/>
      <c r="E256" s="11"/>
      <c r="F256" s="8"/>
      <c r="G256" s="18" t="str">
        <f>IF(A256="","",IFERROR(INDEX(Trabajadores!$E$5:$E$204,MATCH(B256,Trabajadores!$A$5:$A$204,0))/Parámetros!$B$6,0)+IF(IFERROR(INDEX(Trabajadores!$E$5:$E$204,MATCH(B256,Trabajadores!$A$5:$A$204,0)),"")="",Parámetros!$B$7,0))</f>
        <v/>
      </c>
      <c r="H256" s="5" t="str">
        <f t="shared" si="60"/>
        <v/>
      </c>
      <c r="I256" s="5" t="str">
        <f>IF(A256="","",IF(COUNTIF(Festivos!$A$5:$A$451,A256)&gt;0,"Festivo",IF(WEEKDAY(A256,2)=7,"Domingo",IF(AND(AF256=1,AC256&gt;1),IF(COUNTIF(Festivos!$A$5:$A$451,A256+1)&gt;0,"Festivo","Domingo")&amp;" desde las 00:00",""))))</f>
        <v/>
      </c>
      <c r="J256" s="19" t="str">
        <f t="shared" si="61"/>
        <v/>
      </c>
      <c r="K256" s="19" t="str">
        <f t="shared" si="62"/>
        <v/>
      </c>
      <c r="L256" s="19" t="str">
        <f t="shared" si="63"/>
        <v/>
      </c>
      <c r="M256" s="19" t="str">
        <f t="shared" si="64"/>
        <v/>
      </c>
      <c r="N256" s="19" t="str">
        <f t="shared" si="65"/>
        <v/>
      </c>
      <c r="O256" s="19" t="str">
        <f t="shared" si="66"/>
        <v/>
      </c>
      <c r="P256" s="19" t="str">
        <f t="shared" si="67"/>
        <v/>
      </c>
      <c r="Q256" s="19" t="str">
        <f t="shared" si="68"/>
        <v/>
      </c>
      <c r="R256" s="19" t="str">
        <f t="shared" si="69"/>
        <v/>
      </c>
      <c r="S256" s="17" t="str">
        <f>IF(B256="","",IFERROR(INDEX(Trabajadores!$G$5:$G$204,MATCH(B256,Trabajadores!$A$5:$A$204,0)),""))</f>
        <v/>
      </c>
      <c r="T256" s="17" t="str">
        <f>IF(OR(OR(A256="",D256="",E256=""),S256=""),"",ROUND(S256*(N(L256)*Parámetros!$B$8+N(M256)*(1+Parámetros!$B$9)+N(N256)*(1+Parámetros!$B$10)+N(O256)*(1+AG256)+N(P256)*(1+AG256+Parámetros!$B$8)+N(Q256)*(1+AG256+Parámetros!$B$9)+N(R256)*(1+AG256+Parámetros!$B$10)),0))</f>
        <v/>
      </c>
      <c r="U256" s="5" t="str">
        <f>IF(OR(A256="",D256="",E256=""),"",IF(N(M256)+N(N256)+N(Q256)+N(R256)&gt;Parámetros!$B$12,"Supera el límite de horas extras diarias",IF(C256="Cédula no registrada","Registre la cédula en «Trabajadores»","")))</f>
        <v/>
      </c>
      <c r="X256" s="20">
        <f t="shared" si="70"/>
        <v>0</v>
      </c>
      <c r="Y256" s="20">
        <f t="shared" si="71"/>
        <v>0</v>
      </c>
      <c r="Z256" s="20">
        <f t="shared" si="72"/>
        <v>0</v>
      </c>
      <c r="AA256" s="20">
        <f t="shared" si="73"/>
        <v>0</v>
      </c>
      <c r="AB256" s="20">
        <f t="shared" si="74"/>
        <v>0</v>
      </c>
      <c r="AC256" s="20">
        <f t="shared" si="75"/>
        <v>0</v>
      </c>
      <c r="AD256" s="20">
        <f>IF(A256="",21/24,MOD(VLOOKUP(A256,Parámetros!$A$24:$B$25,2,TRUE()),1))</f>
        <v>0.875</v>
      </c>
      <c r="AE256" s="5">
        <f>IF(A256="",0,IF(OR(WEEKDAY(A256,2)=7,COUNTIF(Festivos!$A$5:$A$451,A256)&gt;0),1,0))</f>
        <v>0</v>
      </c>
      <c r="AF256" s="5">
        <f>IF(A256="",0,IF(OR(WEEKDAY(A256+1,2)=7,COUNTIF(Festivos!$A$5:$A$451,A256+1)&gt;0),1,0))</f>
        <v>0</v>
      </c>
      <c r="AG256" s="9">
        <f>IF(A256="",0,VLOOKUP(A256,Parámetros!$A$18:$B$21,2,TRUE()))</f>
        <v>0</v>
      </c>
      <c r="AH256" s="20">
        <f t="shared" si="76"/>
        <v>0</v>
      </c>
      <c r="AI256" s="20">
        <f>MAX(0,MIN(AB256,Parámetros!$B$11)-MAX(X256,0))+MAX(0,MIN(AB256,1+Parámetros!$B$11)-MAX(X256,AD256))+MAX(0,MIN(AB256,2)-MAX(X256,1+AD256))</f>
        <v>0</v>
      </c>
      <c r="AJ256" s="20">
        <f t="shared" si="77"/>
        <v>0</v>
      </c>
      <c r="AK256" s="20">
        <f>AE256*(MAX(0,MIN(AB256,Parámetros!$B$11)-MAX(X256,0))+MAX(0,MIN(AB256,1)-MAX(X256,AD256)))+AF256*(MAX(0,MIN(AB256,1+Parámetros!$B$11)-MAX(X256,1))+MAX(0,MIN(AB256,2)-MAX(X256,1+AD256)))</f>
        <v>0</v>
      </c>
      <c r="AL256" s="20">
        <f t="shared" si="78"/>
        <v>0</v>
      </c>
      <c r="AM256" s="20">
        <f>MAX(0,MIN(AC256,Parámetros!$B$11)-MAX(AB256,0))+MAX(0,MIN(AC256,1+Parámetros!$B$11)-MAX(AB256,AD256))+MAX(0,MIN(AC256,2)-MAX(AB256,1+AD256))</f>
        <v>0</v>
      </c>
      <c r="AN256" s="20">
        <f t="shared" si="79"/>
        <v>0</v>
      </c>
      <c r="AO256" s="20">
        <f>AE256*(MAX(0,MIN(AC256,Parámetros!$B$11)-MAX(AB256,0))+MAX(0,MIN(AC256,1)-MAX(AB256,AD256)))+AF256*(MAX(0,MIN(AC256,1+Parámetros!$B$11)-MAX(AB256,1))+MAX(0,MIN(AC256,2)-MAX(AB256,1+AD256)))</f>
        <v>0</v>
      </c>
    </row>
    <row r="257" spans="1:41" x14ac:dyDescent="0.25">
      <c r="A257" s="15"/>
      <c r="B257" s="8"/>
      <c r="C257" s="5" t="str">
        <f>IF(B257="","",IFERROR(INDEX(Trabajadores!$B$5:$B$204,MATCH(B257,Trabajadores!$A$5:$A$204,0)),"Cédula no registrada"))</f>
        <v/>
      </c>
      <c r="D257" s="11"/>
      <c r="E257" s="11"/>
      <c r="F257" s="8"/>
      <c r="G257" s="18" t="str">
        <f>IF(A257="","",IFERROR(INDEX(Trabajadores!$E$5:$E$204,MATCH(B257,Trabajadores!$A$5:$A$204,0))/Parámetros!$B$6,0)+IF(IFERROR(INDEX(Trabajadores!$E$5:$E$204,MATCH(B257,Trabajadores!$A$5:$A$204,0)),"")="",Parámetros!$B$7,0))</f>
        <v/>
      </c>
      <c r="H257" s="5" t="str">
        <f t="shared" si="60"/>
        <v/>
      </c>
      <c r="I257" s="5" t="str">
        <f>IF(A257="","",IF(COUNTIF(Festivos!$A$5:$A$451,A257)&gt;0,"Festivo",IF(WEEKDAY(A257,2)=7,"Domingo",IF(AND(AF257=1,AC257&gt;1),IF(COUNTIF(Festivos!$A$5:$A$451,A257+1)&gt;0,"Festivo","Domingo")&amp;" desde las 00:00",""))))</f>
        <v/>
      </c>
      <c r="J257" s="19" t="str">
        <f t="shared" si="61"/>
        <v/>
      </c>
      <c r="K257" s="19" t="str">
        <f t="shared" si="62"/>
        <v/>
      </c>
      <c r="L257" s="19" t="str">
        <f t="shared" si="63"/>
        <v/>
      </c>
      <c r="M257" s="19" t="str">
        <f t="shared" si="64"/>
        <v/>
      </c>
      <c r="N257" s="19" t="str">
        <f t="shared" si="65"/>
        <v/>
      </c>
      <c r="O257" s="19" t="str">
        <f t="shared" si="66"/>
        <v/>
      </c>
      <c r="P257" s="19" t="str">
        <f t="shared" si="67"/>
        <v/>
      </c>
      <c r="Q257" s="19" t="str">
        <f t="shared" si="68"/>
        <v/>
      </c>
      <c r="R257" s="19" t="str">
        <f t="shared" si="69"/>
        <v/>
      </c>
      <c r="S257" s="17" t="str">
        <f>IF(B257="","",IFERROR(INDEX(Trabajadores!$G$5:$G$204,MATCH(B257,Trabajadores!$A$5:$A$204,0)),""))</f>
        <v/>
      </c>
      <c r="T257" s="17" t="str">
        <f>IF(OR(OR(A257="",D257="",E257=""),S257=""),"",ROUND(S257*(N(L257)*Parámetros!$B$8+N(M257)*(1+Parámetros!$B$9)+N(N257)*(1+Parámetros!$B$10)+N(O257)*(1+AG257)+N(P257)*(1+AG257+Parámetros!$B$8)+N(Q257)*(1+AG257+Parámetros!$B$9)+N(R257)*(1+AG257+Parámetros!$B$10)),0))</f>
        <v/>
      </c>
      <c r="U257" s="5" t="str">
        <f>IF(OR(A257="",D257="",E257=""),"",IF(N(M257)+N(N257)+N(Q257)+N(R257)&gt;Parámetros!$B$12,"Supera el límite de horas extras diarias",IF(C257="Cédula no registrada","Registre la cédula en «Trabajadores»","")))</f>
        <v/>
      </c>
      <c r="X257" s="20">
        <f t="shared" si="70"/>
        <v>0</v>
      </c>
      <c r="Y257" s="20">
        <f t="shared" si="71"/>
        <v>0</v>
      </c>
      <c r="Z257" s="20">
        <f t="shared" si="72"/>
        <v>0</v>
      </c>
      <c r="AA257" s="20">
        <f t="shared" si="73"/>
        <v>0</v>
      </c>
      <c r="AB257" s="20">
        <f t="shared" si="74"/>
        <v>0</v>
      </c>
      <c r="AC257" s="20">
        <f t="shared" si="75"/>
        <v>0</v>
      </c>
      <c r="AD257" s="20">
        <f>IF(A257="",21/24,MOD(VLOOKUP(A257,Parámetros!$A$24:$B$25,2,TRUE()),1))</f>
        <v>0.875</v>
      </c>
      <c r="AE257" s="5">
        <f>IF(A257="",0,IF(OR(WEEKDAY(A257,2)=7,COUNTIF(Festivos!$A$5:$A$451,A257)&gt;0),1,0))</f>
        <v>0</v>
      </c>
      <c r="AF257" s="5">
        <f>IF(A257="",0,IF(OR(WEEKDAY(A257+1,2)=7,COUNTIF(Festivos!$A$5:$A$451,A257+1)&gt;0),1,0))</f>
        <v>0</v>
      </c>
      <c r="AG257" s="9">
        <f>IF(A257="",0,VLOOKUP(A257,Parámetros!$A$18:$B$21,2,TRUE()))</f>
        <v>0</v>
      </c>
      <c r="AH257" s="20">
        <f t="shared" si="76"/>
        <v>0</v>
      </c>
      <c r="AI257" s="20">
        <f>MAX(0,MIN(AB257,Parámetros!$B$11)-MAX(X257,0))+MAX(0,MIN(AB257,1+Parámetros!$B$11)-MAX(X257,AD257))+MAX(0,MIN(AB257,2)-MAX(X257,1+AD257))</f>
        <v>0</v>
      </c>
      <c r="AJ257" s="20">
        <f t="shared" si="77"/>
        <v>0</v>
      </c>
      <c r="AK257" s="20">
        <f>AE257*(MAX(0,MIN(AB257,Parámetros!$B$11)-MAX(X257,0))+MAX(0,MIN(AB257,1)-MAX(X257,AD257)))+AF257*(MAX(0,MIN(AB257,1+Parámetros!$B$11)-MAX(X257,1))+MAX(0,MIN(AB257,2)-MAX(X257,1+AD257)))</f>
        <v>0</v>
      </c>
      <c r="AL257" s="20">
        <f t="shared" si="78"/>
        <v>0</v>
      </c>
      <c r="AM257" s="20">
        <f>MAX(0,MIN(AC257,Parámetros!$B$11)-MAX(AB257,0))+MAX(0,MIN(AC257,1+Parámetros!$B$11)-MAX(AB257,AD257))+MAX(0,MIN(AC257,2)-MAX(AB257,1+AD257))</f>
        <v>0</v>
      </c>
      <c r="AN257" s="20">
        <f t="shared" si="79"/>
        <v>0</v>
      </c>
      <c r="AO257" s="20">
        <f>AE257*(MAX(0,MIN(AC257,Parámetros!$B$11)-MAX(AB257,0))+MAX(0,MIN(AC257,1)-MAX(AB257,AD257)))+AF257*(MAX(0,MIN(AC257,1+Parámetros!$B$11)-MAX(AB257,1))+MAX(0,MIN(AC257,2)-MAX(AB257,1+AD257)))</f>
        <v>0</v>
      </c>
    </row>
    <row r="258" spans="1:41" x14ac:dyDescent="0.25">
      <c r="A258" s="15"/>
      <c r="B258" s="8"/>
      <c r="C258" s="5" t="str">
        <f>IF(B258="","",IFERROR(INDEX(Trabajadores!$B$5:$B$204,MATCH(B258,Trabajadores!$A$5:$A$204,0)),"Cédula no registrada"))</f>
        <v/>
      </c>
      <c r="D258" s="11"/>
      <c r="E258" s="11"/>
      <c r="F258" s="8"/>
      <c r="G258" s="18" t="str">
        <f>IF(A258="","",IFERROR(INDEX(Trabajadores!$E$5:$E$204,MATCH(B258,Trabajadores!$A$5:$A$204,0))/Parámetros!$B$6,0)+IF(IFERROR(INDEX(Trabajadores!$E$5:$E$204,MATCH(B258,Trabajadores!$A$5:$A$204,0)),"")="",Parámetros!$B$7,0))</f>
        <v/>
      </c>
      <c r="H258" s="5" t="str">
        <f t="shared" si="60"/>
        <v/>
      </c>
      <c r="I258" s="5" t="str">
        <f>IF(A258="","",IF(COUNTIF(Festivos!$A$5:$A$451,A258)&gt;0,"Festivo",IF(WEEKDAY(A258,2)=7,"Domingo",IF(AND(AF258=1,AC258&gt;1),IF(COUNTIF(Festivos!$A$5:$A$451,A258+1)&gt;0,"Festivo","Domingo")&amp;" desde las 00:00",""))))</f>
        <v/>
      </c>
      <c r="J258" s="19" t="str">
        <f t="shared" si="61"/>
        <v/>
      </c>
      <c r="K258" s="19" t="str">
        <f t="shared" si="62"/>
        <v/>
      </c>
      <c r="L258" s="19" t="str">
        <f t="shared" si="63"/>
        <v/>
      </c>
      <c r="M258" s="19" t="str">
        <f t="shared" si="64"/>
        <v/>
      </c>
      <c r="N258" s="19" t="str">
        <f t="shared" si="65"/>
        <v/>
      </c>
      <c r="O258" s="19" t="str">
        <f t="shared" si="66"/>
        <v/>
      </c>
      <c r="P258" s="19" t="str">
        <f t="shared" si="67"/>
        <v/>
      </c>
      <c r="Q258" s="19" t="str">
        <f t="shared" si="68"/>
        <v/>
      </c>
      <c r="R258" s="19" t="str">
        <f t="shared" si="69"/>
        <v/>
      </c>
      <c r="S258" s="17" t="str">
        <f>IF(B258="","",IFERROR(INDEX(Trabajadores!$G$5:$G$204,MATCH(B258,Trabajadores!$A$5:$A$204,0)),""))</f>
        <v/>
      </c>
      <c r="T258" s="17" t="str">
        <f>IF(OR(OR(A258="",D258="",E258=""),S258=""),"",ROUND(S258*(N(L258)*Parámetros!$B$8+N(M258)*(1+Parámetros!$B$9)+N(N258)*(1+Parámetros!$B$10)+N(O258)*(1+AG258)+N(P258)*(1+AG258+Parámetros!$B$8)+N(Q258)*(1+AG258+Parámetros!$B$9)+N(R258)*(1+AG258+Parámetros!$B$10)),0))</f>
        <v/>
      </c>
      <c r="U258" s="5" t="str">
        <f>IF(OR(A258="",D258="",E258=""),"",IF(N(M258)+N(N258)+N(Q258)+N(R258)&gt;Parámetros!$B$12,"Supera el límite de horas extras diarias",IF(C258="Cédula no registrada","Registre la cédula en «Trabajadores»","")))</f>
        <v/>
      </c>
      <c r="X258" s="20">
        <f t="shared" si="70"/>
        <v>0</v>
      </c>
      <c r="Y258" s="20">
        <f t="shared" si="71"/>
        <v>0</v>
      </c>
      <c r="Z258" s="20">
        <f t="shared" si="72"/>
        <v>0</v>
      </c>
      <c r="AA258" s="20">
        <f t="shared" si="73"/>
        <v>0</v>
      </c>
      <c r="AB258" s="20">
        <f t="shared" si="74"/>
        <v>0</v>
      </c>
      <c r="AC258" s="20">
        <f t="shared" si="75"/>
        <v>0</v>
      </c>
      <c r="AD258" s="20">
        <f>IF(A258="",21/24,MOD(VLOOKUP(A258,Parámetros!$A$24:$B$25,2,TRUE()),1))</f>
        <v>0.875</v>
      </c>
      <c r="AE258" s="5">
        <f>IF(A258="",0,IF(OR(WEEKDAY(A258,2)=7,COUNTIF(Festivos!$A$5:$A$451,A258)&gt;0),1,0))</f>
        <v>0</v>
      </c>
      <c r="AF258" s="5">
        <f>IF(A258="",0,IF(OR(WEEKDAY(A258+1,2)=7,COUNTIF(Festivos!$A$5:$A$451,A258+1)&gt;0),1,0))</f>
        <v>0</v>
      </c>
      <c r="AG258" s="9">
        <f>IF(A258="",0,VLOOKUP(A258,Parámetros!$A$18:$B$21,2,TRUE()))</f>
        <v>0</v>
      </c>
      <c r="AH258" s="20">
        <f t="shared" si="76"/>
        <v>0</v>
      </c>
      <c r="AI258" s="20">
        <f>MAX(0,MIN(AB258,Parámetros!$B$11)-MAX(X258,0))+MAX(0,MIN(AB258,1+Parámetros!$B$11)-MAX(X258,AD258))+MAX(0,MIN(AB258,2)-MAX(X258,1+AD258))</f>
        <v>0</v>
      </c>
      <c r="AJ258" s="20">
        <f t="shared" si="77"/>
        <v>0</v>
      </c>
      <c r="AK258" s="20">
        <f>AE258*(MAX(0,MIN(AB258,Parámetros!$B$11)-MAX(X258,0))+MAX(0,MIN(AB258,1)-MAX(X258,AD258)))+AF258*(MAX(0,MIN(AB258,1+Parámetros!$B$11)-MAX(X258,1))+MAX(0,MIN(AB258,2)-MAX(X258,1+AD258)))</f>
        <v>0</v>
      </c>
      <c r="AL258" s="20">
        <f t="shared" si="78"/>
        <v>0</v>
      </c>
      <c r="AM258" s="20">
        <f>MAX(0,MIN(AC258,Parámetros!$B$11)-MAX(AB258,0))+MAX(0,MIN(AC258,1+Parámetros!$B$11)-MAX(AB258,AD258))+MAX(0,MIN(AC258,2)-MAX(AB258,1+AD258))</f>
        <v>0</v>
      </c>
      <c r="AN258" s="20">
        <f t="shared" si="79"/>
        <v>0</v>
      </c>
      <c r="AO258" s="20">
        <f>AE258*(MAX(0,MIN(AC258,Parámetros!$B$11)-MAX(AB258,0))+MAX(0,MIN(AC258,1)-MAX(AB258,AD258)))+AF258*(MAX(0,MIN(AC258,1+Parámetros!$B$11)-MAX(AB258,1))+MAX(0,MIN(AC258,2)-MAX(AB258,1+AD258)))</f>
        <v>0</v>
      </c>
    </row>
    <row r="259" spans="1:41" x14ac:dyDescent="0.25">
      <c r="A259" s="15"/>
      <c r="B259" s="8"/>
      <c r="C259" s="5" t="str">
        <f>IF(B259="","",IFERROR(INDEX(Trabajadores!$B$5:$B$204,MATCH(B259,Trabajadores!$A$5:$A$204,0)),"Cédula no registrada"))</f>
        <v/>
      </c>
      <c r="D259" s="11"/>
      <c r="E259" s="11"/>
      <c r="F259" s="8"/>
      <c r="G259" s="18" t="str">
        <f>IF(A259="","",IFERROR(INDEX(Trabajadores!$E$5:$E$204,MATCH(B259,Trabajadores!$A$5:$A$204,0))/Parámetros!$B$6,0)+IF(IFERROR(INDEX(Trabajadores!$E$5:$E$204,MATCH(B259,Trabajadores!$A$5:$A$204,0)),"")="",Parámetros!$B$7,0))</f>
        <v/>
      </c>
      <c r="H259" s="5" t="str">
        <f t="shared" si="60"/>
        <v/>
      </c>
      <c r="I259" s="5" t="str">
        <f>IF(A259="","",IF(COUNTIF(Festivos!$A$5:$A$451,A259)&gt;0,"Festivo",IF(WEEKDAY(A259,2)=7,"Domingo",IF(AND(AF259=1,AC259&gt;1),IF(COUNTIF(Festivos!$A$5:$A$451,A259+1)&gt;0,"Festivo","Domingo")&amp;" desde las 00:00",""))))</f>
        <v/>
      </c>
      <c r="J259" s="19" t="str">
        <f t="shared" si="61"/>
        <v/>
      </c>
      <c r="K259" s="19" t="str">
        <f t="shared" si="62"/>
        <v/>
      </c>
      <c r="L259" s="19" t="str">
        <f t="shared" si="63"/>
        <v/>
      </c>
      <c r="M259" s="19" t="str">
        <f t="shared" si="64"/>
        <v/>
      </c>
      <c r="N259" s="19" t="str">
        <f t="shared" si="65"/>
        <v/>
      </c>
      <c r="O259" s="19" t="str">
        <f t="shared" si="66"/>
        <v/>
      </c>
      <c r="P259" s="19" t="str">
        <f t="shared" si="67"/>
        <v/>
      </c>
      <c r="Q259" s="19" t="str">
        <f t="shared" si="68"/>
        <v/>
      </c>
      <c r="R259" s="19" t="str">
        <f t="shared" si="69"/>
        <v/>
      </c>
      <c r="S259" s="17" t="str">
        <f>IF(B259="","",IFERROR(INDEX(Trabajadores!$G$5:$G$204,MATCH(B259,Trabajadores!$A$5:$A$204,0)),""))</f>
        <v/>
      </c>
      <c r="T259" s="17" t="str">
        <f>IF(OR(OR(A259="",D259="",E259=""),S259=""),"",ROUND(S259*(N(L259)*Parámetros!$B$8+N(M259)*(1+Parámetros!$B$9)+N(N259)*(1+Parámetros!$B$10)+N(O259)*(1+AG259)+N(P259)*(1+AG259+Parámetros!$B$8)+N(Q259)*(1+AG259+Parámetros!$B$9)+N(R259)*(1+AG259+Parámetros!$B$10)),0))</f>
        <v/>
      </c>
      <c r="U259" s="5" t="str">
        <f>IF(OR(A259="",D259="",E259=""),"",IF(N(M259)+N(N259)+N(Q259)+N(R259)&gt;Parámetros!$B$12,"Supera el límite de horas extras diarias",IF(C259="Cédula no registrada","Registre la cédula en «Trabajadores»","")))</f>
        <v/>
      </c>
      <c r="X259" s="20">
        <f t="shared" si="70"/>
        <v>0</v>
      </c>
      <c r="Y259" s="20">
        <f t="shared" si="71"/>
        <v>0</v>
      </c>
      <c r="Z259" s="20">
        <f t="shared" si="72"/>
        <v>0</v>
      </c>
      <c r="AA259" s="20">
        <f t="shared" si="73"/>
        <v>0</v>
      </c>
      <c r="AB259" s="20">
        <f t="shared" si="74"/>
        <v>0</v>
      </c>
      <c r="AC259" s="20">
        <f t="shared" si="75"/>
        <v>0</v>
      </c>
      <c r="AD259" s="20">
        <f>IF(A259="",21/24,MOD(VLOOKUP(A259,Parámetros!$A$24:$B$25,2,TRUE()),1))</f>
        <v>0.875</v>
      </c>
      <c r="AE259" s="5">
        <f>IF(A259="",0,IF(OR(WEEKDAY(A259,2)=7,COUNTIF(Festivos!$A$5:$A$451,A259)&gt;0),1,0))</f>
        <v>0</v>
      </c>
      <c r="AF259" s="5">
        <f>IF(A259="",0,IF(OR(WEEKDAY(A259+1,2)=7,COUNTIF(Festivos!$A$5:$A$451,A259+1)&gt;0),1,0))</f>
        <v>0</v>
      </c>
      <c r="AG259" s="9">
        <f>IF(A259="",0,VLOOKUP(A259,Parámetros!$A$18:$B$21,2,TRUE()))</f>
        <v>0</v>
      </c>
      <c r="AH259" s="20">
        <f t="shared" si="76"/>
        <v>0</v>
      </c>
      <c r="AI259" s="20">
        <f>MAX(0,MIN(AB259,Parámetros!$B$11)-MAX(X259,0))+MAX(0,MIN(AB259,1+Parámetros!$B$11)-MAX(X259,AD259))+MAX(0,MIN(AB259,2)-MAX(X259,1+AD259))</f>
        <v>0</v>
      </c>
      <c r="AJ259" s="20">
        <f t="shared" si="77"/>
        <v>0</v>
      </c>
      <c r="AK259" s="20">
        <f>AE259*(MAX(0,MIN(AB259,Parámetros!$B$11)-MAX(X259,0))+MAX(0,MIN(AB259,1)-MAX(X259,AD259)))+AF259*(MAX(0,MIN(AB259,1+Parámetros!$B$11)-MAX(X259,1))+MAX(0,MIN(AB259,2)-MAX(X259,1+AD259)))</f>
        <v>0</v>
      </c>
      <c r="AL259" s="20">
        <f t="shared" si="78"/>
        <v>0</v>
      </c>
      <c r="AM259" s="20">
        <f>MAX(0,MIN(AC259,Parámetros!$B$11)-MAX(AB259,0))+MAX(0,MIN(AC259,1+Parámetros!$B$11)-MAX(AB259,AD259))+MAX(0,MIN(AC259,2)-MAX(AB259,1+AD259))</f>
        <v>0</v>
      </c>
      <c r="AN259" s="20">
        <f t="shared" si="79"/>
        <v>0</v>
      </c>
      <c r="AO259" s="20">
        <f>AE259*(MAX(0,MIN(AC259,Parámetros!$B$11)-MAX(AB259,0))+MAX(0,MIN(AC259,1)-MAX(AB259,AD259)))+AF259*(MAX(0,MIN(AC259,1+Parámetros!$B$11)-MAX(AB259,1))+MAX(0,MIN(AC259,2)-MAX(AB259,1+AD259)))</f>
        <v>0</v>
      </c>
    </row>
    <row r="260" spans="1:41" x14ac:dyDescent="0.25">
      <c r="A260" s="15"/>
      <c r="B260" s="8"/>
      <c r="C260" s="5" t="str">
        <f>IF(B260="","",IFERROR(INDEX(Trabajadores!$B$5:$B$204,MATCH(B260,Trabajadores!$A$5:$A$204,0)),"Cédula no registrada"))</f>
        <v/>
      </c>
      <c r="D260" s="11"/>
      <c r="E260" s="11"/>
      <c r="F260" s="8"/>
      <c r="G260" s="18" t="str">
        <f>IF(A260="","",IFERROR(INDEX(Trabajadores!$E$5:$E$204,MATCH(B260,Trabajadores!$A$5:$A$204,0))/Parámetros!$B$6,0)+IF(IFERROR(INDEX(Trabajadores!$E$5:$E$204,MATCH(B260,Trabajadores!$A$5:$A$204,0)),"")="",Parámetros!$B$7,0))</f>
        <v/>
      </c>
      <c r="H260" s="5" t="str">
        <f t="shared" si="60"/>
        <v/>
      </c>
      <c r="I260" s="5" t="str">
        <f>IF(A260="","",IF(COUNTIF(Festivos!$A$5:$A$451,A260)&gt;0,"Festivo",IF(WEEKDAY(A260,2)=7,"Domingo",IF(AND(AF260=1,AC260&gt;1),IF(COUNTIF(Festivos!$A$5:$A$451,A260+1)&gt;0,"Festivo","Domingo")&amp;" desde las 00:00",""))))</f>
        <v/>
      </c>
      <c r="J260" s="19" t="str">
        <f t="shared" si="61"/>
        <v/>
      </c>
      <c r="K260" s="19" t="str">
        <f t="shared" si="62"/>
        <v/>
      </c>
      <c r="L260" s="19" t="str">
        <f t="shared" si="63"/>
        <v/>
      </c>
      <c r="M260" s="19" t="str">
        <f t="shared" si="64"/>
        <v/>
      </c>
      <c r="N260" s="19" t="str">
        <f t="shared" si="65"/>
        <v/>
      </c>
      <c r="O260" s="19" t="str">
        <f t="shared" si="66"/>
        <v/>
      </c>
      <c r="P260" s="19" t="str">
        <f t="shared" si="67"/>
        <v/>
      </c>
      <c r="Q260" s="19" t="str">
        <f t="shared" si="68"/>
        <v/>
      </c>
      <c r="R260" s="19" t="str">
        <f t="shared" si="69"/>
        <v/>
      </c>
      <c r="S260" s="17" t="str">
        <f>IF(B260="","",IFERROR(INDEX(Trabajadores!$G$5:$G$204,MATCH(B260,Trabajadores!$A$5:$A$204,0)),""))</f>
        <v/>
      </c>
      <c r="T260" s="17" t="str">
        <f>IF(OR(OR(A260="",D260="",E260=""),S260=""),"",ROUND(S260*(N(L260)*Parámetros!$B$8+N(M260)*(1+Parámetros!$B$9)+N(N260)*(1+Parámetros!$B$10)+N(O260)*(1+AG260)+N(P260)*(1+AG260+Parámetros!$B$8)+N(Q260)*(1+AG260+Parámetros!$B$9)+N(R260)*(1+AG260+Parámetros!$B$10)),0))</f>
        <v/>
      </c>
      <c r="U260" s="5" t="str">
        <f>IF(OR(A260="",D260="",E260=""),"",IF(N(M260)+N(N260)+N(Q260)+N(R260)&gt;Parámetros!$B$12,"Supera el límite de horas extras diarias",IF(C260="Cédula no registrada","Registre la cédula en «Trabajadores»","")))</f>
        <v/>
      </c>
      <c r="X260" s="20">
        <f t="shared" si="70"/>
        <v>0</v>
      </c>
      <c r="Y260" s="20">
        <f t="shared" si="71"/>
        <v>0</v>
      </c>
      <c r="Z260" s="20">
        <f t="shared" si="72"/>
        <v>0</v>
      </c>
      <c r="AA260" s="20">
        <f t="shared" si="73"/>
        <v>0</v>
      </c>
      <c r="AB260" s="20">
        <f t="shared" si="74"/>
        <v>0</v>
      </c>
      <c r="AC260" s="20">
        <f t="shared" si="75"/>
        <v>0</v>
      </c>
      <c r="AD260" s="20">
        <f>IF(A260="",21/24,MOD(VLOOKUP(A260,Parámetros!$A$24:$B$25,2,TRUE()),1))</f>
        <v>0.875</v>
      </c>
      <c r="AE260" s="5">
        <f>IF(A260="",0,IF(OR(WEEKDAY(A260,2)=7,COUNTIF(Festivos!$A$5:$A$451,A260)&gt;0),1,0))</f>
        <v>0</v>
      </c>
      <c r="AF260" s="5">
        <f>IF(A260="",0,IF(OR(WEEKDAY(A260+1,2)=7,COUNTIF(Festivos!$A$5:$A$451,A260+1)&gt;0),1,0))</f>
        <v>0</v>
      </c>
      <c r="AG260" s="9">
        <f>IF(A260="",0,VLOOKUP(A260,Parámetros!$A$18:$B$21,2,TRUE()))</f>
        <v>0</v>
      </c>
      <c r="AH260" s="20">
        <f t="shared" si="76"/>
        <v>0</v>
      </c>
      <c r="AI260" s="20">
        <f>MAX(0,MIN(AB260,Parámetros!$B$11)-MAX(X260,0))+MAX(0,MIN(AB260,1+Parámetros!$B$11)-MAX(X260,AD260))+MAX(0,MIN(AB260,2)-MAX(X260,1+AD260))</f>
        <v>0</v>
      </c>
      <c r="AJ260" s="20">
        <f t="shared" si="77"/>
        <v>0</v>
      </c>
      <c r="AK260" s="20">
        <f>AE260*(MAX(0,MIN(AB260,Parámetros!$B$11)-MAX(X260,0))+MAX(0,MIN(AB260,1)-MAX(X260,AD260)))+AF260*(MAX(0,MIN(AB260,1+Parámetros!$B$11)-MAX(X260,1))+MAX(0,MIN(AB260,2)-MAX(X260,1+AD260)))</f>
        <v>0</v>
      </c>
      <c r="AL260" s="20">
        <f t="shared" si="78"/>
        <v>0</v>
      </c>
      <c r="AM260" s="20">
        <f>MAX(0,MIN(AC260,Parámetros!$B$11)-MAX(AB260,0))+MAX(0,MIN(AC260,1+Parámetros!$B$11)-MAX(AB260,AD260))+MAX(0,MIN(AC260,2)-MAX(AB260,1+AD260))</f>
        <v>0</v>
      </c>
      <c r="AN260" s="20">
        <f t="shared" si="79"/>
        <v>0</v>
      </c>
      <c r="AO260" s="20">
        <f>AE260*(MAX(0,MIN(AC260,Parámetros!$B$11)-MAX(AB260,0))+MAX(0,MIN(AC260,1)-MAX(AB260,AD260)))+AF260*(MAX(0,MIN(AC260,1+Parámetros!$B$11)-MAX(AB260,1))+MAX(0,MIN(AC260,2)-MAX(AB260,1+AD260)))</f>
        <v>0</v>
      </c>
    </row>
    <row r="261" spans="1:41" x14ac:dyDescent="0.25">
      <c r="A261" s="15"/>
      <c r="B261" s="8"/>
      <c r="C261" s="5" t="str">
        <f>IF(B261="","",IFERROR(INDEX(Trabajadores!$B$5:$B$204,MATCH(B261,Trabajadores!$A$5:$A$204,0)),"Cédula no registrada"))</f>
        <v/>
      </c>
      <c r="D261" s="11"/>
      <c r="E261" s="11"/>
      <c r="F261" s="8"/>
      <c r="G261" s="18" t="str">
        <f>IF(A261="","",IFERROR(INDEX(Trabajadores!$E$5:$E$204,MATCH(B261,Trabajadores!$A$5:$A$204,0))/Parámetros!$B$6,0)+IF(IFERROR(INDEX(Trabajadores!$E$5:$E$204,MATCH(B261,Trabajadores!$A$5:$A$204,0)),"")="",Parámetros!$B$7,0))</f>
        <v/>
      </c>
      <c r="H261" s="5" t="str">
        <f t="shared" ref="H261:H324" si="80">IF(A261="","",CHOOSE(WEEKDAY(A261,2),"Lunes","Martes","Miércoles","Jueves","Viernes","Sábado","Domingo"))</f>
        <v/>
      </c>
      <c r="I261" s="5" t="str">
        <f>IF(A261="","",IF(COUNTIF(Festivos!$A$5:$A$451,A261)&gt;0,"Festivo",IF(WEEKDAY(A261,2)=7,"Domingo",IF(AND(AF261=1,AC261&gt;1),IF(COUNTIF(Festivos!$A$5:$A$451,A261+1)&gt;0,"Festivo","Domingo")&amp;" desde las 00:00",""))))</f>
        <v/>
      </c>
      <c r="J261" s="19" t="str">
        <f t="shared" ref="J261:J324" si="81">IF(OR(A261="",D261="",E261=""),"",ROUND((Z261)*24,2))</f>
        <v/>
      </c>
      <c r="K261" s="19" t="str">
        <f t="shared" ref="K261:K324" si="82">IF(OR(A261="",D261="",E261=""),"",ROUND((AH261-AI261-AJ261+AK261)*24,2))</f>
        <v/>
      </c>
      <c r="L261" s="19" t="str">
        <f t="shared" ref="L261:L324" si="83">IF(OR(A261="",D261="",E261=""),"",ROUND((AI261-AK261)*24,2))</f>
        <v/>
      </c>
      <c r="M261" s="19" t="str">
        <f t="shared" ref="M261:M324" si="84">IF(OR(A261="",D261="",E261=""),"",ROUND((AL261-AM261-AN261+AO261)*24,2))</f>
        <v/>
      </c>
      <c r="N261" s="19" t="str">
        <f t="shared" ref="N261:N324" si="85">IF(OR(A261="",D261="",E261=""),"",ROUND((AM261-AO261)*24,2))</f>
        <v/>
      </c>
      <c r="O261" s="19" t="str">
        <f t="shared" ref="O261:O324" si="86">IF(OR(A261="",D261="",E261=""),"",ROUND((AJ261-AK261)*24,2))</f>
        <v/>
      </c>
      <c r="P261" s="19" t="str">
        <f t="shared" ref="P261:P324" si="87">IF(OR(A261="",D261="",E261=""),"",ROUND((AK261)*24,2))</f>
        <v/>
      </c>
      <c r="Q261" s="19" t="str">
        <f t="shared" ref="Q261:Q324" si="88">IF(OR(A261="",D261="",E261=""),"",ROUND((AN261-AO261)*24,2))</f>
        <v/>
      </c>
      <c r="R261" s="19" t="str">
        <f t="shared" ref="R261:R324" si="89">IF(OR(A261="",D261="",E261=""),"",ROUND((AO261)*24,2))</f>
        <v/>
      </c>
      <c r="S261" s="17" t="str">
        <f>IF(B261="","",IFERROR(INDEX(Trabajadores!$G$5:$G$204,MATCH(B261,Trabajadores!$A$5:$A$204,0)),""))</f>
        <v/>
      </c>
      <c r="T261" s="17" t="str">
        <f>IF(OR(OR(A261="",D261="",E261=""),S261=""),"",ROUND(S261*(N(L261)*Parámetros!$B$8+N(M261)*(1+Parámetros!$B$9)+N(N261)*(1+Parámetros!$B$10)+N(O261)*(1+AG261)+N(P261)*(1+AG261+Parámetros!$B$8)+N(Q261)*(1+AG261+Parámetros!$B$9)+N(R261)*(1+AG261+Parámetros!$B$10)),0))</f>
        <v/>
      </c>
      <c r="U261" s="5" t="str">
        <f>IF(OR(A261="",D261="",E261=""),"",IF(N(M261)+N(N261)+N(Q261)+N(R261)&gt;Parámetros!$B$12,"Supera el límite de horas extras diarias",IF(C261="Cédula no registrada","Registre la cédula en «Trabajadores»","")))</f>
        <v/>
      </c>
      <c r="X261" s="20">
        <f t="shared" ref="X261:X324" si="90">IF(OR(A261="",D261="",E261=""),0,MOD(D261,1))</f>
        <v>0</v>
      </c>
      <c r="Y261" s="20">
        <f t="shared" ref="Y261:Y324" si="91">IF(OR(A261="",D261="",E261=""),0,IF(MOD(E261,1)&gt;X261,MOD(E261,1)-X261,MOD(E261,1)+1-X261))</f>
        <v>0</v>
      </c>
      <c r="Z261" s="20">
        <f t="shared" ref="Z261:Z324" si="92">MAX(0,Y261-N(F261)/1440)</f>
        <v>0</v>
      </c>
      <c r="AA261" s="20">
        <f t="shared" ref="AA261:AA324" si="93">IF(G261="",0,MAX(0,N(G261))/24)</f>
        <v>0</v>
      </c>
      <c r="AB261" s="20">
        <f t="shared" ref="AB261:AB324" si="94">X261+MIN(Z261,AA261)</f>
        <v>0</v>
      </c>
      <c r="AC261" s="20">
        <f t="shared" ref="AC261:AC324" si="95">X261+Z261</f>
        <v>0</v>
      </c>
      <c r="AD261" s="20">
        <f>IF(A261="",21/24,MOD(VLOOKUP(A261,Parámetros!$A$24:$B$25,2,TRUE()),1))</f>
        <v>0.875</v>
      </c>
      <c r="AE261" s="5">
        <f>IF(A261="",0,IF(OR(WEEKDAY(A261,2)=7,COUNTIF(Festivos!$A$5:$A$451,A261)&gt;0),1,0))</f>
        <v>0</v>
      </c>
      <c r="AF261" s="5">
        <f>IF(A261="",0,IF(OR(WEEKDAY(A261+1,2)=7,COUNTIF(Festivos!$A$5:$A$451,A261+1)&gt;0),1,0))</f>
        <v>0</v>
      </c>
      <c r="AG261" s="9">
        <f>IF(A261="",0,VLOOKUP(A261,Parámetros!$A$18:$B$21,2,TRUE()))</f>
        <v>0</v>
      </c>
      <c r="AH261" s="20">
        <f t="shared" ref="AH261:AH324" si="96">AB261-X261</f>
        <v>0</v>
      </c>
      <c r="AI261" s="20">
        <f>MAX(0,MIN(AB261,Parámetros!$B$11)-MAX(X261,0))+MAX(0,MIN(AB261,1+Parámetros!$B$11)-MAX(X261,AD261))+MAX(0,MIN(AB261,2)-MAX(X261,1+AD261))</f>
        <v>0</v>
      </c>
      <c r="AJ261" s="20">
        <f t="shared" ref="AJ261:AJ324" si="97">AE261*MAX(0,MIN(AB261,1)-MAX(X261,0))+AF261*MAX(0,MIN(AB261,2)-MAX(X261,1))</f>
        <v>0</v>
      </c>
      <c r="AK261" s="20">
        <f>AE261*(MAX(0,MIN(AB261,Parámetros!$B$11)-MAX(X261,0))+MAX(0,MIN(AB261,1)-MAX(X261,AD261)))+AF261*(MAX(0,MIN(AB261,1+Parámetros!$B$11)-MAX(X261,1))+MAX(0,MIN(AB261,2)-MAX(X261,1+AD261)))</f>
        <v>0</v>
      </c>
      <c r="AL261" s="20">
        <f t="shared" ref="AL261:AL324" si="98">AC261-AB261</f>
        <v>0</v>
      </c>
      <c r="AM261" s="20">
        <f>MAX(0,MIN(AC261,Parámetros!$B$11)-MAX(AB261,0))+MAX(0,MIN(AC261,1+Parámetros!$B$11)-MAX(AB261,AD261))+MAX(0,MIN(AC261,2)-MAX(AB261,1+AD261))</f>
        <v>0</v>
      </c>
      <c r="AN261" s="20">
        <f t="shared" ref="AN261:AN324" si="99">AE261*MAX(0,MIN(AC261,1)-MAX(AB261,0))+AF261*MAX(0,MIN(AC261,2)-MAX(AB261,1))</f>
        <v>0</v>
      </c>
      <c r="AO261" s="20">
        <f>AE261*(MAX(0,MIN(AC261,Parámetros!$B$11)-MAX(AB261,0))+MAX(0,MIN(AC261,1)-MAX(AB261,AD261)))+AF261*(MAX(0,MIN(AC261,1+Parámetros!$B$11)-MAX(AB261,1))+MAX(0,MIN(AC261,2)-MAX(AB261,1+AD261)))</f>
        <v>0</v>
      </c>
    </row>
    <row r="262" spans="1:41" x14ac:dyDescent="0.25">
      <c r="A262" s="15"/>
      <c r="B262" s="8"/>
      <c r="C262" s="5" t="str">
        <f>IF(B262="","",IFERROR(INDEX(Trabajadores!$B$5:$B$204,MATCH(B262,Trabajadores!$A$5:$A$204,0)),"Cédula no registrada"))</f>
        <v/>
      </c>
      <c r="D262" s="11"/>
      <c r="E262" s="11"/>
      <c r="F262" s="8"/>
      <c r="G262" s="18" t="str">
        <f>IF(A262="","",IFERROR(INDEX(Trabajadores!$E$5:$E$204,MATCH(B262,Trabajadores!$A$5:$A$204,0))/Parámetros!$B$6,0)+IF(IFERROR(INDEX(Trabajadores!$E$5:$E$204,MATCH(B262,Trabajadores!$A$5:$A$204,0)),"")="",Parámetros!$B$7,0))</f>
        <v/>
      </c>
      <c r="H262" s="5" t="str">
        <f t="shared" si="80"/>
        <v/>
      </c>
      <c r="I262" s="5" t="str">
        <f>IF(A262="","",IF(COUNTIF(Festivos!$A$5:$A$451,A262)&gt;0,"Festivo",IF(WEEKDAY(A262,2)=7,"Domingo",IF(AND(AF262=1,AC262&gt;1),IF(COUNTIF(Festivos!$A$5:$A$451,A262+1)&gt;0,"Festivo","Domingo")&amp;" desde las 00:00",""))))</f>
        <v/>
      </c>
      <c r="J262" s="19" t="str">
        <f t="shared" si="81"/>
        <v/>
      </c>
      <c r="K262" s="19" t="str">
        <f t="shared" si="82"/>
        <v/>
      </c>
      <c r="L262" s="19" t="str">
        <f t="shared" si="83"/>
        <v/>
      </c>
      <c r="M262" s="19" t="str">
        <f t="shared" si="84"/>
        <v/>
      </c>
      <c r="N262" s="19" t="str">
        <f t="shared" si="85"/>
        <v/>
      </c>
      <c r="O262" s="19" t="str">
        <f t="shared" si="86"/>
        <v/>
      </c>
      <c r="P262" s="19" t="str">
        <f t="shared" si="87"/>
        <v/>
      </c>
      <c r="Q262" s="19" t="str">
        <f t="shared" si="88"/>
        <v/>
      </c>
      <c r="R262" s="19" t="str">
        <f t="shared" si="89"/>
        <v/>
      </c>
      <c r="S262" s="17" t="str">
        <f>IF(B262="","",IFERROR(INDEX(Trabajadores!$G$5:$G$204,MATCH(B262,Trabajadores!$A$5:$A$204,0)),""))</f>
        <v/>
      </c>
      <c r="T262" s="17" t="str">
        <f>IF(OR(OR(A262="",D262="",E262=""),S262=""),"",ROUND(S262*(N(L262)*Parámetros!$B$8+N(M262)*(1+Parámetros!$B$9)+N(N262)*(1+Parámetros!$B$10)+N(O262)*(1+AG262)+N(P262)*(1+AG262+Parámetros!$B$8)+N(Q262)*(1+AG262+Parámetros!$B$9)+N(R262)*(1+AG262+Parámetros!$B$10)),0))</f>
        <v/>
      </c>
      <c r="U262" s="5" t="str">
        <f>IF(OR(A262="",D262="",E262=""),"",IF(N(M262)+N(N262)+N(Q262)+N(R262)&gt;Parámetros!$B$12,"Supera el límite de horas extras diarias",IF(C262="Cédula no registrada","Registre la cédula en «Trabajadores»","")))</f>
        <v/>
      </c>
      <c r="X262" s="20">
        <f t="shared" si="90"/>
        <v>0</v>
      </c>
      <c r="Y262" s="20">
        <f t="shared" si="91"/>
        <v>0</v>
      </c>
      <c r="Z262" s="20">
        <f t="shared" si="92"/>
        <v>0</v>
      </c>
      <c r="AA262" s="20">
        <f t="shared" si="93"/>
        <v>0</v>
      </c>
      <c r="AB262" s="20">
        <f t="shared" si="94"/>
        <v>0</v>
      </c>
      <c r="AC262" s="20">
        <f t="shared" si="95"/>
        <v>0</v>
      </c>
      <c r="AD262" s="20">
        <f>IF(A262="",21/24,MOD(VLOOKUP(A262,Parámetros!$A$24:$B$25,2,TRUE()),1))</f>
        <v>0.875</v>
      </c>
      <c r="AE262" s="5">
        <f>IF(A262="",0,IF(OR(WEEKDAY(A262,2)=7,COUNTIF(Festivos!$A$5:$A$451,A262)&gt;0),1,0))</f>
        <v>0</v>
      </c>
      <c r="AF262" s="5">
        <f>IF(A262="",0,IF(OR(WEEKDAY(A262+1,2)=7,COUNTIF(Festivos!$A$5:$A$451,A262+1)&gt;0),1,0))</f>
        <v>0</v>
      </c>
      <c r="AG262" s="9">
        <f>IF(A262="",0,VLOOKUP(A262,Parámetros!$A$18:$B$21,2,TRUE()))</f>
        <v>0</v>
      </c>
      <c r="AH262" s="20">
        <f t="shared" si="96"/>
        <v>0</v>
      </c>
      <c r="AI262" s="20">
        <f>MAX(0,MIN(AB262,Parámetros!$B$11)-MAX(X262,0))+MAX(0,MIN(AB262,1+Parámetros!$B$11)-MAX(X262,AD262))+MAX(0,MIN(AB262,2)-MAX(X262,1+AD262))</f>
        <v>0</v>
      </c>
      <c r="AJ262" s="20">
        <f t="shared" si="97"/>
        <v>0</v>
      </c>
      <c r="AK262" s="20">
        <f>AE262*(MAX(0,MIN(AB262,Parámetros!$B$11)-MAX(X262,0))+MAX(0,MIN(AB262,1)-MAX(X262,AD262)))+AF262*(MAX(0,MIN(AB262,1+Parámetros!$B$11)-MAX(X262,1))+MAX(0,MIN(AB262,2)-MAX(X262,1+AD262)))</f>
        <v>0</v>
      </c>
      <c r="AL262" s="20">
        <f t="shared" si="98"/>
        <v>0</v>
      </c>
      <c r="AM262" s="20">
        <f>MAX(0,MIN(AC262,Parámetros!$B$11)-MAX(AB262,0))+MAX(0,MIN(AC262,1+Parámetros!$B$11)-MAX(AB262,AD262))+MAX(0,MIN(AC262,2)-MAX(AB262,1+AD262))</f>
        <v>0</v>
      </c>
      <c r="AN262" s="20">
        <f t="shared" si="99"/>
        <v>0</v>
      </c>
      <c r="AO262" s="20">
        <f>AE262*(MAX(0,MIN(AC262,Parámetros!$B$11)-MAX(AB262,0))+MAX(0,MIN(AC262,1)-MAX(AB262,AD262)))+AF262*(MAX(0,MIN(AC262,1+Parámetros!$B$11)-MAX(AB262,1))+MAX(0,MIN(AC262,2)-MAX(AB262,1+AD262)))</f>
        <v>0</v>
      </c>
    </row>
    <row r="263" spans="1:41" x14ac:dyDescent="0.25">
      <c r="A263" s="15"/>
      <c r="B263" s="8"/>
      <c r="C263" s="5" t="str">
        <f>IF(B263="","",IFERROR(INDEX(Trabajadores!$B$5:$B$204,MATCH(B263,Trabajadores!$A$5:$A$204,0)),"Cédula no registrada"))</f>
        <v/>
      </c>
      <c r="D263" s="11"/>
      <c r="E263" s="11"/>
      <c r="F263" s="8"/>
      <c r="G263" s="18" t="str">
        <f>IF(A263="","",IFERROR(INDEX(Trabajadores!$E$5:$E$204,MATCH(B263,Trabajadores!$A$5:$A$204,0))/Parámetros!$B$6,0)+IF(IFERROR(INDEX(Trabajadores!$E$5:$E$204,MATCH(B263,Trabajadores!$A$5:$A$204,0)),"")="",Parámetros!$B$7,0))</f>
        <v/>
      </c>
      <c r="H263" s="5" t="str">
        <f t="shared" si="80"/>
        <v/>
      </c>
      <c r="I263" s="5" t="str">
        <f>IF(A263="","",IF(COUNTIF(Festivos!$A$5:$A$451,A263)&gt;0,"Festivo",IF(WEEKDAY(A263,2)=7,"Domingo",IF(AND(AF263=1,AC263&gt;1),IF(COUNTIF(Festivos!$A$5:$A$451,A263+1)&gt;0,"Festivo","Domingo")&amp;" desde las 00:00",""))))</f>
        <v/>
      </c>
      <c r="J263" s="19" t="str">
        <f t="shared" si="81"/>
        <v/>
      </c>
      <c r="K263" s="19" t="str">
        <f t="shared" si="82"/>
        <v/>
      </c>
      <c r="L263" s="19" t="str">
        <f t="shared" si="83"/>
        <v/>
      </c>
      <c r="M263" s="19" t="str">
        <f t="shared" si="84"/>
        <v/>
      </c>
      <c r="N263" s="19" t="str">
        <f t="shared" si="85"/>
        <v/>
      </c>
      <c r="O263" s="19" t="str">
        <f t="shared" si="86"/>
        <v/>
      </c>
      <c r="P263" s="19" t="str">
        <f t="shared" si="87"/>
        <v/>
      </c>
      <c r="Q263" s="19" t="str">
        <f t="shared" si="88"/>
        <v/>
      </c>
      <c r="R263" s="19" t="str">
        <f t="shared" si="89"/>
        <v/>
      </c>
      <c r="S263" s="17" t="str">
        <f>IF(B263="","",IFERROR(INDEX(Trabajadores!$G$5:$G$204,MATCH(B263,Trabajadores!$A$5:$A$204,0)),""))</f>
        <v/>
      </c>
      <c r="T263" s="17" t="str">
        <f>IF(OR(OR(A263="",D263="",E263=""),S263=""),"",ROUND(S263*(N(L263)*Parámetros!$B$8+N(M263)*(1+Parámetros!$B$9)+N(N263)*(1+Parámetros!$B$10)+N(O263)*(1+AG263)+N(P263)*(1+AG263+Parámetros!$B$8)+N(Q263)*(1+AG263+Parámetros!$B$9)+N(R263)*(1+AG263+Parámetros!$B$10)),0))</f>
        <v/>
      </c>
      <c r="U263" s="5" t="str">
        <f>IF(OR(A263="",D263="",E263=""),"",IF(N(M263)+N(N263)+N(Q263)+N(R263)&gt;Parámetros!$B$12,"Supera el límite de horas extras diarias",IF(C263="Cédula no registrada","Registre la cédula en «Trabajadores»","")))</f>
        <v/>
      </c>
      <c r="X263" s="20">
        <f t="shared" si="90"/>
        <v>0</v>
      </c>
      <c r="Y263" s="20">
        <f t="shared" si="91"/>
        <v>0</v>
      </c>
      <c r="Z263" s="20">
        <f t="shared" si="92"/>
        <v>0</v>
      </c>
      <c r="AA263" s="20">
        <f t="shared" si="93"/>
        <v>0</v>
      </c>
      <c r="AB263" s="20">
        <f t="shared" si="94"/>
        <v>0</v>
      </c>
      <c r="AC263" s="20">
        <f t="shared" si="95"/>
        <v>0</v>
      </c>
      <c r="AD263" s="20">
        <f>IF(A263="",21/24,MOD(VLOOKUP(A263,Parámetros!$A$24:$B$25,2,TRUE()),1))</f>
        <v>0.875</v>
      </c>
      <c r="AE263" s="5">
        <f>IF(A263="",0,IF(OR(WEEKDAY(A263,2)=7,COUNTIF(Festivos!$A$5:$A$451,A263)&gt;0),1,0))</f>
        <v>0</v>
      </c>
      <c r="AF263" s="5">
        <f>IF(A263="",0,IF(OR(WEEKDAY(A263+1,2)=7,COUNTIF(Festivos!$A$5:$A$451,A263+1)&gt;0),1,0))</f>
        <v>0</v>
      </c>
      <c r="AG263" s="9">
        <f>IF(A263="",0,VLOOKUP(A263,Parámetros!$A$18:$B$21,2,TRUE()))</f>
        <v>0</v>
      </c>
      <c r="AH263" s="20">
        <f t="shared" si="96"/>
        <v>0</v>
      </c>
      <c r="AI263" s="20">
        <f>MAX(0,MIN(AB263,Parámetros!$B$11)-MAX(X263,0))+MAX(0,MIN(AB263,1+Parámetros!$B$11)-MAX(X263,AD263))+MAX(0,MIN(AB263,2)-MAX(X263,1+AD263))</f>
        <v>0</v>
      </c>
      <c r="AJ263" s="20">
        <f t="shared" si="97"/>
        <v>0</v>
      </c>
      <c r="AK263" s="20">
        <f>AE263*(MAX(0,MIN(AB263,Parámetros!$B$11)-MAX(X263,0))+MAX(0,MIN(AB263,1)-MAX(X263,AD263)))+AF263*(MAX(0,MIN(AB263,1+Parámetros!$B$11)-MAX(X263,1))+MAX(0,MIN(AB263,2)-MAX(X263,1+AD263)))</f>
        <v>0</v>
      </c>
      <c r="AL263" s="20">
        <f t="shared" si="98"/>
        <v>0</v>
      </c>
      <c r="AM263" s="20">
        <f>MAX(0,MIN(AC263,Parámetros!$B$11)-MAX(AB263,0))+MAX(0,MIN(AC263,1+Parámetros!$B$11)-MAX(AB263,AD263))+MAX(0,MIN(AC263,2)-MAX(AB263,1+AD263))</f>
        <v>0</v>
      </c>
      <c r="AN263" s="20">
        <f t="shared" si="99"/>
        <v>0</v>
      </c>
      <c r="AO263" s="20">
        <f>AE263*(MAX(0,MIN(AC263,Parámetros!$B$11)-MAX(AB263,0))+MAX(0,MIN(AC263,1)-MAX(AB263,AD263)))+AF263*(MAX(0,MIN(AC263,1+Parámetros!$B$11)-MAX(AB263,1))+MAX(0,MIN(AC263,2)-MAX(AB263,1+AD263)))</f>
        <v>0</v>
      </c>
    </row>
    <row r="264" spans="1:41" x14ac:dyDescent="0.25">
      <c r="A264" s="15"/>
      <c r="B264" s="8"/>
      <c r="C264" s="5" t="str">
        <f>IF(B264="","",IFERROR(INDEX(Trabajadores!$B$5:$B$204,MATCH(B264,Trabajadores!$A$5:$A$204,0)),"Cédula no registrada"))</f>
        <v/>
      </c>
      <c r="D264" s="11"/>
      <c r="E264" s="11"/>
      <c r="F264" s="8"/>
      <c r="G264" s="18" t="str">
        <f>IF(A264="","",IFERROR(INDEX(Trabajadores!$E$5:$E$204,MATCH(B264,Trabajadores!$A$5:$A$204,0))/Parámetros!$B$6,0)+IF(IFERROR(INDEX(Trabajadores!$E$5:$E$204,MATCH(B264,Trabajadores!$A$5:$A$204,0)),"")="",Parámetros!$B$7,0))</f>
        <v/>
      </c>
      <c r="H264" s="5" t="str">
        <f t="shared" si="80"/>
        <v/>
      </c>
      <c r="I264" s="5" t="str">
        <f>IF(A264="","",IF(COUNTIF(Festivos!$A$5:$A$451,A264)&gt;0,"Festivo",IF(WEEKDAY(A264,2)=7,"Domingo",IF(AND(AF264=1,AC264&gt;1),IF(COUNTIF(Festivos!$A$5:$A$451,A264+1)&gt;0,"Festivo","Domingo")&amp;" desde las 00:00",""))))</f>
        <v/>
      </c>
      <c r="J264" s="19" t="str">
        <f t="shared" si="81"/>
        <v/>
      </c>
      <c r="K264" s="19" t="str">
        <f t="shared" si="82"/>
        <v/>
      </c>
      <c r="L264" s="19" t="str">
        <f t="shared" si="83"/>
        <v/>
      </c>
      <c r="M264" s="19" t="str">
        <f t="shared" si="84"/>
        <v/>
      </c>
      <c r="N264" s="19" t="str">
        <f t="shared" si="85"/>
        <v/>
      </c>
      <c r="O264" s="19" t="str">
        <f t="shared" si="86"/>
        <v/>
      </c>
      <c r="P264" s="19" t="str">
        <f t="shared" si="87"/>
        <v/>
      </c>
      <c r="Q264" s="19" t="str">
        <f t="shared" si="88"/>
        <v/>
      </c>
      <c r="R264" s="19" t="str">
        <f t="shared" si="89"/>
        <v/>
      </c>
      <c r="S264" s="17" t="str">
        <f>IF(B264="","",IFERROR(INDEX(Trabajadores!$G$5:$G$204,MATCH(B264,Trabajadores!$A$5:$A$204,0)),""))</f>
        <v/>
      </c>
      <c r="T264" s="17" t="str">
        <f>IF(OR(OR(A264="",D264="",E264=""),S264=""),"",ROUND(S264*(N(L264)*Parámetros!$B$8+N(M264)*(1+Parámetros!$B$9)+N(N264)*(1+Parámetros!$B$10)+N(O264)*(1+AG264)+N(P264)*(1+AG264+Parámetros!$B$8)+N(Q264)*(1+AG264+Parámetros!$B$9)+N(R264)*(1+AG264+Parámetros!$B$10)),0))</f>
        <v/>
      </c>
      <c r="U264" s="5" t="str">
        <f>IF(OR(A264="",D264="",E264=""),"",IF(N(M264)+N(N264)+N(Q264)+N(R264)&gt;Parámetros!$B$12,"Supera el límite de horas extras diarias",IF(C264="Cédula no registrada","Registre la cédula en «Trabajadores»","")))</f>
        <v/>
      </c>
      <c r="X264" s="20">
        <f t="shared" si="90"/>
        <v>0</v>
      </c>
      <c r="Y264" s="20">
        <f t="shared" si="91"/>
        <v>0</v>
      </c>
      <c r="Z264" s="20">
        <f t="shared" si="92"/>
        <v>0</v>
      </c>
      <c r="AA264" s="20">
        <f t="shared" si="93"/>
        <v>0</v>
      </c>
      <c r="AB264" s="20">
        <f t="shared" si="94"/>
        <v>0</v>
      </c>
      <c r="AC264" s="20">
        <f t="shared" si="95"/>
        <v>0</v>
      </c>
      <c r="AD264" s="20">
        <f>IF(A264="",21/24,MOD(VLOOKUP(A264,Parámetros!$A$24:$B$25,2,TRUE()),1))</f>
        <v>0.875</v>
      </c>
      <c r="AE264" s="5">
        <f>IF(A264="",0,IF(OR(WEEKDAY(A264,2)=7,COUNTIF(Festivos!$A$5:$A$451,A264)&gt;0),1,0))</f>
        <v>0</v>
      </c>
      <c r="AF264" s="5">
        <f>IF(A264="",0,IF(OR(WEEKDAY(A264+1,2)=7,COUNTIF(Festivos!$A$5:$A$451,A264+1)&gt;0),1,0))</f>
        <v>0</v>
      </c>
      <c r="AG264" s="9">
        <f>IF(A264="",0,VLOOKUP(A264,Parámetros!$A$18:$B$21,2,TRUE()))</f>
        <v>0</v>
      </c>
      <c r="AH264" s="20">
        <f t="shared" si="96"/>
        <v>0</v>
      </c>
      <c r="AI264" s="20">
        <f>MAX(0,MIN(AB264,Parámetros!$B$11)-MAX(X264,0))+MAX(0,MIN(AB264,1+Parámetros!$B$11)-MAX(X264,AD264))+MAX(0,MIN(AB264,2)-MAX(X264,1+AD264))</f>
        <v>0</v>
      </c>
      <c r="AJ264" s="20">
        <f t="shared" si="97"/>
        <v>0</v>
      </c>
      <c r="AK264" s="20">
        <f>AE264*(MAX(0,MIN(AB264,Parámetros!$B$11)-MAX(X264,0))+MAX(0,MIN(AB264,1)-MAX(X264,AD264)))+AF264*(MAX(0,MIN(AB264,1+Parámetros!$B$11)-MAX(X264,1))+MAX(0,MIN(AB264,2)-MAX(X264,1+AD264)))</f>
        <v>0</v>
      </c>
      <c r="AL264" s="20">
        <f t="shared" si="98"/>
        <v>0</v>
      </c>
      <c r="AM264" s="20">
        <f>MAX(0,MIN(AC264,Parámetros!$B$11)-MAX(AB264,0))+MAX(0,MIN(AC264,1+Parámetros!$B$11)-MAX(AB264,AD264))+MAX(0,MIN(AC264,2)-MAX(AB264,1+AD264))</f>
        <v>0</v>
      </c>
      <c r="AN264" s="20">
        <f t="shared" si="99"/>
        <v>0</v>
      </c>
      <c r="AO264" s="20">
        <f>AE264*(MAX(0,MIN(AC264,Parámetros!$B$11)-MAX(AB264,0))+MAX(0,MIN(AC264,1)-MAX(AB264,AD264)))+AF264*(MAX(0,MIN(AC264,1+Parámetros!$B$11)-MAX(AB264,1))+MAX(0,MIN(AC264,2)-MAX(AB264,1+AD264)))</f>
        <v>0</v>
      </c>
    </row>
    <row r="265" spans="1:41" x14ac:dyDescent="0.25">
      <c r="A265" s="15"/>
      <c r="B265" s="8"/>
      <c r="C265" s="5" t="str">
        <f>IF(B265="","",IFERROR(INDEX(Trabajadores!$B$5:$B$204,MATCH(B265,Trabajadores!$A$5:$A$204,0)),"Cédula no registrada"))</f>
        <v/>
      </c>
      <c r="D265" s="11"/>
      <c r="E265" s="11"/>
      <c r="F265" s="8"/>
      <c r="G265" s="18" t="str">
        <f>IF(A265="","",IFERROR(INDEX(Trabajadores!$E$5:$E$204,MATCH(B265,Trabajadores!$A$5:$A$204,0))/Parámetros!$B$6,0)+IF(IFERROR(INDEX(Trabajadores!$E$5:$E$204,MATCH(B265,Trabajadores!$A$5:$A$204,0)),"")="",Parámetros!$B$7,0))</f>
        <v/>
      </c>
      <c r="H265" s="5" t="str">
        <f t="shared" si="80"/>
        <v/>
      </c>
      <c r="I265" s="5" t="str">
        <f>IF(A265="","",IF(COUNTIF(Festivos!$A$5:$A$451,A265)&gt;0,"Festivo",IF(WEEKDAY(A265,2)=7,"Domingo",IF(AND(AF265=1,AC265&gt;1),IF(COUNTIF(Festivos!$A$5:$A$451,A265+1)&gt;0,"Festivo","Domingo")&amp;" desde las 00:00",""))))</f>
        <v/>
      </c>
      <c r="J265" s="19" t="str">
        <f t="shared" si="81"/>
        <v/>
      </c>
      <c r="K265" s="19" t="str">
        <f t="shared" si="82"/>
        <v/>
      </c>
      <c r="L265" s="19" t="str">
        <f t="shared" si="83"/>
        <v/>
      </c>
      <c r="M265" s="19" t="str">
        <f t="shared" si="84"/>
        <v/>
      </c>
      <c r="N265" s="19" t="str">
        <f t="shared" si="85"/>
        <v/>
      </c>
      <c r="O265" s="19" t="str">
        <f t="shared" si="86"/>
        <v/>
      </c>
      <c r="P265" s="19" t="str">
        <f t="shared" si="87"/>
        <v/>
      </c>
      <c r="Q265" s="19" t="str">
        <f t="shared" si="88"/>
        <v/>
      </c>
      <c r="R265" s="19" t="str">
        <f t="shared" si="89"/>
        <v/>
      </c>
      <c r="S265" s="17" t="str">
        <f>IF(B265="","",IFERROR(INDEX(Trabajadores!$G$5:$G$204,MATCH(B265,Trabajadores!$A$5:$A$204,0)),""))</f>
        <v/>
      </c>
      <c r="T265" s="17" t="str">
        <f>IF(OR(OR(A265="",D265="",E265=""),S265=""),"",ROUND(S265*(N(L265)*Parámetros!$B$8+N(M265)*(1+Parámetros!$B$9)+N(N265)*(1+Parámetros!$B$10)+N(O265)*(1+AG265)+N(P265)*(1+AG265+Parámetros!$B$8)+N(Q265)*(1+AG265+Parámetros!$B$9)+N(R265)*(1+AG265+Parámetros!$B$10)),0))</f>
        <v/>
      </c>
      <c r="U265" s="5" t="str">
        <f>IF(OR(A265="",D265="",E265=""),"",IF(N(M265)+N(N265)+N(Q265)+N(R265)&gt;Parámetros!$B$12,"Supera el límite de horas extras diarias",IF(C265="Cédula no registrada","Registre la cédula en «Trabajadores»","")))</f>
        <v/>
      </c>
      <c r="X265" s="20">
        <f t="shared" si="90"/>
        <v>0</v>
      </c>
      <c r="Y265" s="20">
        <f t="shared" si="91"/>
        <v>0</v>
      </c>
      <c r="Z265" s="20">
        <f t="shared" si="92"/>
        <v>0</v>
      </c>
      <c r="AA265" s="20">
        <f t="shared" si="93"/>
        <v>0</v>
      </c>
      <c r="AB265" s="20">
        <f t="shared" si="94"/>
        <v>0</v>
      </c>
      <c r="AC265" s="20">
        <f t="shared" si="95"/>
        <v>0</v>
      </c>
      <c r="AD265" s="20">
        <f>IF(A265="",21/24,MOD(VLOOKUP(A265,Parámetros!$A$24:$B$25,2,TRUE()),1))</f>
        <v>0.875</v>
      </c>
      <c r="AE265" s="5">
        <f>IF(A265="",0,IF(OR(WEEKDAY(A265,2)=7,COUNTIF(Festivos!$A$5:$A$451,A265)&gt;0),1,0))</f>
        <v>0</v>
      </c>
      <c r="AF265" s="5">
        <f>IF(A265="",0,IF(OR(WEEKDAY(A265+1,2)=7,COUNTIF(Festivos!$A$5:$A$451,A265+1)&gt;0),1,0))</f>
        <v>0</v>
      </c>
      <c r="AG265" s="9">
        <f>IF(A265="",0,VLOOKUP(A265,Parámetros!$A$18:$B$21,2,TRUE()))</f>
        <v>0</v>
      </c>
      <c r="AH265" s="20">
        <f t="shared" si="96"/>
        <v>0</v>
      </c>
      <c r="AI265" s="20">
        <f>MAX(0,MIN(AB265,Parámetros!$B$11)-MAX(X265,0))+MAX(0,MIN(AB265,1+Parámetros!$B$11)-MAX(X265,AD265))+MAX(0,MIN(AB265,2)-MAX(X265,1+AD265))</f>
        <v>0</v>
      </c>
      <c r="AJ265" s="20">
        <f t="shared" si="97"/>
        <v>0</v>
      </c>
      <c r="AK265" s="20">
        <f>AE265*(MAX(0,MIN(AB265,Parámetros!$B$11)-MAX(X265,0))+MAX(0,MIN(AB265,1)-MAX(X265,AD265)))+AF265*(MAX(0,MIN(AB265,1+Parámetros!$B$11)-MAX(X265,1))+MAX(0,MIN(AB265,2)-MAX(X265,1+AD265)))</f>
        <v>0</v>
      </c>
      <c r="AL265" s="20">
        <f t="shared" si="98"/>
        <v>0</v>
      </c>
      <c r="AM265" s="20">
        <f>MAX(0,MIN(AC265,Parámetros!$B$11)-MAX(AB265,0))+MAX(0,MIN(AC265,1+Parámetros!$B$11)-MAX(AB265,AD265))+MAX(0,MIN(AC265,2)-MAX(AB265,1+AD265))</f>
        <v>0</v>
      </c>
      <c r="AN265" s="20">
        <f t="shared" si="99"/>
        <v>0</v>
      </c>
      <c r="AO265" s="20">
        <f>AE265*(MAX(0,MIN(AC265,Parámetros!$B$11)-MAX(AB265,0))+MAX(0,MIN(AC265,1)-MAX(AB265,AD265)))+AF265*(MAX(0,MIN(AC265,1+Parámetros!$B$11)-MAX(AB265,1))+MAX(0,MIN(AC265,2)-MAX(AB265,1+AD265)))</f>
        <v>0</v>
      </c>
    </row>
    <row r="266" spans="1:41" x14ac:dyDescent="0.25">
      <c r="A266" s="15"/>
      <c r="B266" s="8"/>
      <c r="C266" s="5" t="str">
        <f>IF(B266="","",IFERROR(INDEX(Trabajadores!$B$5:$B$204,MATCH(B266,Trabajadores!$A$5:$A$204,0)),"Cédula no registrada"))</f>
        <v/>
      </c>
      <c r="D266" s="11"/>
      <c r="E266" s="11"/>
      <c r="F266" s="8"/>
      <c r="G266" s="18" t="str">
        <f>IF(A266="","",IFERROR(INDEX(Trabajadores!$E$5:$E$204,MATCH(B266,Trabajadores!$A$5:$A$204,0))/Parámetros!$B$6,0)+IF(IFERROR(INDEX(Trabajadores!$E$5:$E$204,MATCH(B266,Trabajadores!$A$5:$A$204,0)),"")="",Parámetros!$B$7,0))</f>
        <v/>
      </c>
      <c r="H266" s="5" t="str">
        <f t="shared" si="80"/>
        <v/>
      </c>
      <c r="I266" s="5" t="str">
        <f>IF(A266="","",IF(COUNTIF(Festivos!$A$5:$A$451,A266)&gt;0,"Festivo",IF(WEEKDAY(A266,2)=7,"Domingo",IF(AND(AF266=1,AC266&gt;1),IF(COUNTIF(Festivos!$A$5:$A$451,A266+1)&gt;0,"Festivo","Domingo")&amp;" desde las 00:00",""))))</f>
        <v/>
      </c>
      <c r="J266" s="19" t="str">
        <f t="shared" si="81"/>
        <v/>
      </c>
      <c r="K266" s="19" t="str">
        <f t="shared" si="82"/>
        <v/>
      </c>
      <c r="L266" s="19" t="str">
        <f t="shared" si="83"/>
        <v/>
      </c>
      <c r="M266" s="19" t="str">
        <f t="shared" si="84"/>
        <v/>
      </c>
      <c r="N266" s="19" t="str">
        <f t="shared" si="85"/>
        <v/>
      </c>
      <c r="O266" s="19" t="str">
        <f t="shared" si="86"/>
        <v/>
      </c>
      <c r="P266" s="19" t="str">
        <f t="shared" si="87"/>
        <v/>
      </c>
      <c r="Q266" s="19" t="str">
        <f t="shared" si="88"/>
        <v/>
      </c>
      <c r="R266" s="19" t="str">
        <f t="shared" si="89"/>
        <v/>
      </c>
      <c r="S266" s="17" t="str">
        <f>IF(B266="","",IFERROR(INDEX(Trabajadores!$G$5:$G$204,MATCH(B266,Trabajadores!$A$5:$A$204,0)),""))</f>
        <v/>
      </c>
      <c r="T266" s="17" t="str">
        <f>IF(OR(OR(A266="",D266="",E266=""),S266=""),"",ROUND(S266*(N(L266)*Parámetros!$B$8+N(M266)*(1+Parámetros!$B$9)+N(N266)*(1+Parámetros!$B$10)+N(O266)*(1+AG266)+N(P266)*(1+AG266+Parámetros!$B$8)+N(Q266)*(1+AG266+Parámetros!$B$9)+N(R266)*(1+AG266+Parámetros!$B$10)),0))</f>
        <v/>
      </c>
      <c r="U266" s="5" t="str">
        <f>IF(OR(A266="",D266="",E266=""),"",IF(N(M266)+N(N266)+N(Q266)+N(R266)&gt;Parámetros!$B$12,"Supera el límite de horas extras diarias",IF(C266="Cédula no registrada","Registre la cédula en «Trabajadores»","")))</f>
        <v/>
      </c>
      <c r="X266" s="20">
        <f t="shared" si="90"/>
        <v>0</v>
      </c>
      <c r="Y266" s="20">
        <f t="shared" si="91"/>
        <v>0</v>
      </c>
      <c r="Z266" s="20">
        <f t="shared" si="92"/>
        <v>0</v>
      </c>
      <c r="AA266" s="20">
        <f t="shared" si="93"/>
        <v>0</v>
      </c>
      <c r="AB266" s="20">
        <f t="shared" si="94"/>
        <v>0</v>
      </c>
      <c r="AC266" s="20">
        <f t="shared" si="95"/>
        <v>0</v>
      </c>
      <c r="AD266" s="20">
        <f>IF(A266="",21/24,MOD(VLOOKUP(A266,Parámetros!$A$24:$B$25,2,TRUE()),1))</f>
        <v>0.875</v>
      </c>
      <c r="AE266" s="5">
        <f>IF(A266="",0,IF(OR(WEEKDAY(A266,2)=7,COUNTIF(Festivos!$A$5:$A$451,A266)&gt;0),1,0))</f>
        <v>0</v>
      </c>
      <c r="AF266" s="5">
        <f>IF(A266="",0,IF(OR(WEEKDAY(A266+1,2)=7,COUNTIF(Festivos!$A$5:$A$451,A266+1)&gt;0),1,0))</f>
        <v>0</v>
      </c>
      <c r="AG266" s="9">
        <f>IF(A266="",0,VLOOKUP(A266,Parámetros!$A$18:$B$21,2,TRUE()))</f>
        <v>0</v>
      </c>
      <c r="AH266" s="20">
        <f t="shared" si="96"/>
        <v>0</v>
      </c>
      <c r="AI266" s="20">
        <f>MAX(0,MIN(AB266,Parámetros!$B$11)-MAX(X266,0))+MAX(0,MIN(AB266,1+Parámetros!$B$11)-MAX(X266,AD266))+MAX(0,MIN(AB266,2)-MAX(X266,1+AD266))</f>
        <v>0</v>
      </c>
      <c r="AJ266" s="20">
        <f t="shared" si="97"/>
        <v>0</v>
      </c>
      <c r="AK266" s="20">
        <f>AE266*(MAX(0,MIN(AB266,Parámetros!$B$11)-MAX(X266,0))+MAX(0,MIN(AB266,1)-MAX(X266,AD266)))+AF266*(MAX(0,MIN(AB266,1+Parámetros!$B$11)-MAX(X266,1))+MAX(0,MIN(AB266,2)-MAX(X266,1+AD266)))</f>
        <v>0</v>
      </c>
      <c r="AL266" s="20">
        <f t="shared" si="98"/>
        <v>0</v>
      </c>
      <c r="AM266" s="20">
        <f>MAX(0,MIN(AC266,Parámetros!$B$11)-MAX(AB266,0))+MAX(0,MIN(AC266,1+Parámetros!$B$11)-MAX(AB266,AD266))+MAX(0,MIN(AC266,2)-MAX(AB266,1+AD266))</f>
        <v>0</v>
      </c>
      <c r="AN266" s="20">
        <f t="shared" si="99"/>
        <v>0</v>
      </c>
      <c r="AO266" s="20">
        <f>AE266*(MAX(0,MIN(AC266,Parámetros!$B$11)-MAX(AB266,0))+MAX(0,MIN(AC266,1)-MAX(AB266,AD266)))+AF266*(MAX(0,MIN(AC266,1+Parámetros!$B$11)-MAX(AB266,1))+MAX(0,MIN(AC266,2)-MAX(AB266,1+AD266)))</f>
        <v>0</v>
      </c>
    </row>
    <row r="267" spans="1:41" x14ac:dyDescent="0.25">
      <c r="A267" s="15"/>
      <c r="B267" s="8"/>
      <c r="C267" s="5" t="str">
        <f>IF(B267="","",IFERROR(INDEX(Trabajadores!$B$5:$B$204,MATCH(B267,Trabajadores!$A$5:$A$204,0)),"Cédula no registrada"))</f>
        <v/>
      </c>
      <c r="D267" s="11"/>
      <c r="E267" s="11"/>
      <c r="F267" s="8"/>
      <c r="G267" s="18" t="str">
        <f>IF(A267="","",IFERROR(INDEX(Trabajadores!$E$5:$E$204,MATCH(B267,Trabajadores!$A$5:$A$204,0))/Parámetros!$B$6,0)+IF(IFERROR(INDEX(Trabajadores!$E$5:$E$204,MATCH(B267,Trabajadores!$A$5:$A$204,0)),"")="",Parámetros!$B$7,0))</f>
        <v/>
      </c>
      <c r="H267" s="5" t="str">
        <f t="shared" si="80"/>
        <v/>
      </c>
      <c r="I267" s="5" t="str">
        <f>IF(A267="","",IF(COUNTIF(Festivos!$A$5:$A$451,A267)&gt;0,"Festivo",IF(WEEKDAY(A267,2)=7,"Domingo",IF(AND(AF267=1,AC267&gt;1),IF(COUNTIF(Festivos!$A$5:$A$451,A267+1)&gt;0,"Festivo","Domingo")&amp;" desde las 00:00",""))))</f>
        <v/>
      </c>
      <c r="J267" s="19" t="str">
        <f t="shared" si="81"/>
        <v/>
      </c>
      <c r="K267" s="19" t="str">
        <f t="shared" si="82"/>
        <v/>
      </c>
      <c r="L267" s="19" t="str">
        <f t="shared" si="83"/>
        <v/>
      </c>
      <c r="M267" s="19" t="str">
        <f t="shared" si="84"/>
        <v/>
      </c>
      <c r="N267" s="19" t="str">
        <f t="shared" si="85"/>
        <v/>
      </c>
      <c r="O267" s="19" t="str">
        <f t="shared" si="86"/>
        <v/>
      </c>
      <c r="P267" s="19" t="str">
        <f t="shared" si="87"/>
        <v/>
      </c>
      <c r="Q267" s="19" t="str">
        <f t="shared" si="88"/>
        <v/>
      </c>
      <c r="R267" s="19" t="str">
        <f t="shared" si="89"/>
        <v/>
      </c>
      <c r="S267" s="17" t="str">
        <f>IF(B267="","",IFERROR(INDEX(Trabajadores!$G$5:$G$204,MATCH(B267,Trabajadores!$A$5:$A$204,0)),""))</f>
        <v/>
      </c>
      <c r="T267" s="17" t="str">
        <f>IF(OR(OR(A267="",D267="",E267=""),S267=""),"",ROUND(S267*(N(L267)*Parámetros!$B$8+N(M267)*(1+Parámetros!$B$9)+N(N267)*(1+Parámetros!$B$10)+N(O267)*(1+AG267)+N(P267)*(1+AG267+Parámetros!$B$8)+N(Q267)*(1+AG267+Parámetros!$B$9)+N(R267)*(1+AG267+Parámetros!$B$10)),0))</f>
        <v/>
      </c>
      <c r="U267" s="5" t="str">
        <f>IF(OR(A267="",D267="",E267=""),"",IF(N(M267)+N(N267)+N(Q267)+N(R267)&gt;Parámetros!$B$12,"Supera el límite de horas extras diarias",IF(C267="Cédula no registrada","Registre la cédula en «Trabajadores»","")))</f>
        <v/>
      </c>
      <c r="X267" s="20">
        <f t="shared" si="90"/>
        <v>0</v>
      </c>
      <c r="Y267" s="20">
        <f t="shared" si="91"/>
        <v>0</v>
      </c>
      <c r="Z267" s="20">
        <f t="shared" si="92"/>
        <v>0</v>
      </c>
      <c r="AA267" s="20">
        <f t="shared" si="93"/>
        <v>0</v>
      </c>
      <c r="AB267" s="20">
        <f t="shared" si="94"/>
        <v>0</v>
      </c>
      <c r="AC267" s="20">
        <f t="shared" si="95"/>
        <v>0</v>
      </c>
      <c r="AD267" s="20">
        <f>IF(A267="",21/24,MOD(VLOOKUP(A267,Parámetros!$A$24:$B$25,2,TRUE()),1))</f>
        <v>0.875</v>
      </c>
      <c r="AE267" s="5">
        <f>IF(A267="",0,IF(OR(WEEKDAY(A267,2)=7,COUNTIF(Festivos!$A$5:$A$451,A267)&gt;0),1,0))</f>
        <v>0</v>
      </c>
      <c r="AF267" s="5">
        <f>IF(A267="",0,IF(OR(WEEKDAY(A267+1,2)=7,COUNTIF(Festivos!$A$5:$A$451,A267+1)&gt;0),1,0))</f>
        <v>0</v>
      </c>
      <c r="AG267" s="9">
        <f>IF(A267="",0,VLOOKUP(A267,Parámetros!$A$18:$B$21,2,TRUE()))</f>
        <v>0</v>
      </c>
      <c r="AH267" s="20">
        <f t="shared" si="96"/>
        <v>0</v>
      </c>
      <c r="AI267" s="20">
        <f>MAX(0,MIN(AB267,Parámetros!$B$11)-MAX(X267,0))+MAX(0,MIN(AB267,1+Parámetros!$B$11)-MAX(X267,AD267))+MAX(0,MIN(AB267,2)-MAX(X267,1+AD267))</f>
        <v>0</v>
      </c>
      <c r="AJ267" s="20">
        <f t="shared" si="97"/>
        <v>0</v>
      </c>
      <c r="AK267" s="20">
        <f>AE267*(MAX(0,MIN(AB267,Parámetros!$B$11)-MAX(X267,0))+MAX(0,MIN(AB267,1)-MAX(X267,AD267)))+AF267*(MAX(0,MIN(AB267,1+Parámetros!$B$11)-MAX(X267,1))+MAX(0,MIN(AB267,2)-MAX(X267,1+AD267)))</f>
        <v>0</v>
      </c>
      <c r="AL267" s="20">
        <f t="shared" si="98"/>
        <v>0</v>
      </c>
      <c r="AM267" s="20">
        <f>MAX(0,MIN(AC267,Parámetros!$B$11)-MAX(AB267,0))+MAX(0,MIN(AC267,1+Parámetros!$B$11)-MAX(AB267,AD267))+MAX(0,MIN(AC267,2)-MAX(AB267,1+AD267))</f>
        <v>0</v>
      </c>
      <c r="AN267" s="20">
        <f t="shared" si="99"/>
        <v>0</v>
      </c>
      <c r="AO267" s="20">
        <f>AE267*(MAX(0,MIN(AC267,Parámetros!$B$11)-MAX(AB267,0))+MAX(0,MIN(AC267,1)-MAX(AB267,AD267)))+AF267*(MAX(0,MIN(AC267,1+Parámetros!$B$11)-MAX(AB267,1))+MAX(0,MIN(AC267,2)-MAX(AB267,1+AD267)))</f>
        <v>0</v>
      </c>
    </row>
    <row r="268" spans="1:41" x14ac:dyDescent="0.25">
      <c r="A268" s="15"/>
      <c r="B268" s="8"/>
      <c r="C268" s="5" t="str">
        <f>IF(B268="","",IFERROR(INDEX(Trabajadores!$B$5:$B$204,MATCH(B268,Trabajadores!$A$5:$A$204,0)),"Cédula no registrada"))</f>
        <v/>
      </c>
      <c r="D268" s="11"/>
      <c r="E268" s="11"/>
      <c r="F268" s="8"/>
      <c r="G268" s="18" t="str">
        <f>IF(A268="","",IFERROR(INDEX(Trabajadores!$E$5:$E$204,MATCH(B268,Trabajadores!$A$5:$A$204,0))/Parámetros!$B$6,0)+IF(IFERROR(INDEX(Trabajadores!$E$5:$E$204,MATCH(B268,Trabajadores!$A$5:$A$204,0)),"")="",Parámetros!$B$7,0))</f>
        <v/>
      </c>
      <c r="H268" s="5" t="str">
        <f t="shared" si="80"/>
        <v/>
      </c>
      <c r="I268" s="5" t="str">
        <f>IF(A268="","",IF(COUNTIF(Festivos!$A$5:$A$451,A268)&gt;0,"Festivo",IF(WEEKDAY(A268,2)=7,"Domingo",IF(AND(AF268=1,AC268&gt;1),IF(COUNTIF(Festivos!$A$5:$A$451,A268+1)&gt;0,"Festivo","Domingo")&amp;" desde las 00:00",""))))</f>
        <v/>
      </c>
      <c r="J268" s="19" t="str">
        <f t="shared" si="81"/>
        <v/>
      </c>
      <c r="K268" s="19" t="str">
        <f t="shared" si="82"/>
        <v/>
      </c>
      <c r="L268" s="19" t="str">
        <f t="shared" si="83"/>
        <v/>
      </c>
      <c r="M268" s="19" t="str">
        <f t="shared" si="84"/>
        <v/>
      </c>
      <c r="N268" s="19" t="str">
        <f t="shared" si="85"/>
        <v/>
      </c>
      <c r="O268" s="19" t="str">
        <f t="shared" si="86"/>
        <v/>
      </c>
      <c r="P268" s="19" t="str">
        <f t="shared" si="87"/>
        <v/>
      </c>
      <c r="Q268" s="19" t="str">
        <f t="shared" si="88"/>
        <v/>
      </c>
      <c r="R268" s="19" t="str">
        <f t="shared" si="89"/>
        <v/>
      </c>
      <c r="S268" s="17" t="str">
        <f>IF(B268="","",IFERROR(INDEX(Trabajadores!$G$5:$G$204,MATCH(B268,Trabajadores!$A$5:$A$204,0)),""))</f>
        <v/>
      </c>
      <c r="T268" s="17" t="str">
        <f>IF(OR(OR(A268="",D268="",E268=""),S268=""),"",ROUND(S268*(N(L268)*Parámetros!$B$8+N(M268)*(1+Parámetros!$B$9)+N(N268)*(1+Parámetros!$B$10)+N(O268)*(1+AG268)+N(P268)*(1+AG268+Parámetros!$B$8)+N(Q268)*(1+AG268+Parámetros!$B$9)+N(R268)*(1+AG268+Parámetros!$B$10)),0))</f>
        <v/>
      </c>
      <c r="U268" s="5" t="str">
        <f>IF(OR(A268="",D268="",E268=""),"",IF(N(M268)+N(N268)+N(Q268)+N(R268)&gt;Parámetros!$B$12,"Supera el límite de horas extras diarias",IF(C268="Cédula no registrada","Registre la cédula en «Trabajadores»","")))</f>
        <v/>
      </c>
      <c r="X268" s="20">
        <f t="shared" si="90"/>
        <v>0</v>
      </c>
      <c r="Y268" s="20">
        <f t="shared" si="91"/>
        <v>0</v>
      </c>
      <c r="Z268" s="20">
        <f t="shared" si="92"/>
        <v>0</v>
      </c>
      <c r="AA268" s="20">
        <f t="shared" si="93"/>
        <v>0</v>
      </c>
      <c r="AB268" s="20">
        <f t="shared" si="94"/>
        <v>0</v>
      </c>
      <c r="AC268" s="20">
        <f t="shared" si="95"/>
        <v>0</v>
      </c>
      <c r="AD268" s="20">
        <f>IF(A268="",21/24,MOD(VLOOKUP(A268,Parámetros!$A$24:$B$25,2,TRUE()),1))</f>
        <v>0.875</v>
      </c>
      <c r="AE268" s="5">
        <f>IF(A268="",0,IF(OR(WEEKDAY(A268,2)=7,COUNTIF(Festivos!$A$5:$A$451,A268)&gt;0),1,0))</f>
        <v>0</v>
      </c>
      <c r="AF268" s="5">
        <f>IF(A268="",0,IF(OR(WEEKDAY(A268+1,2)=7,COUNTIF(Festivos!$A$5:$A$451,A268+1)&gt;0),1,0))</f>
        <v>0</v>
      </c>
      <c r="AG268" s="9">
        <f>IF(A268="",0,VLOOKUP(A268,Parámetros!$A$18:$B$21,2,TRUE()))</f>
        <v>0</v>
      </c>
      <c r="AH268" s="20">
        <f t="shared" si="96"/>
        <v>0</v>
      </c>
      <c r="AI268" s="20">
        <f>MAX(0,MIN(AB268,Parámetros!$B$11)-MAX(X268,0))+MAX(0,MIN(AB268,1+Parámetros!$B$11)-MAX(X268,AD268))+MAX(0,MIN(AB268,2)-MAX(X268,1+AD268))</f>
        <v>0</v>
      </c>
      <c r="AJ268" s="20">
        <f t="shared" si="97"/>
        <v>0</v>
      </c>
      <c r="AK268" s="20">
        <f>AE268*(MAX(0,MIN(AB268,Parámetros!$B$11)-MAX(X268,0))+MAX(0,MIN(AB268,1)-MAX(X268,AD268)))+AF268*(MAX(0,MIN(AB268,1+Parámetros!$B$11)-MAX(X268,1))+MAX(0,MIN(AB268,2)-MAX(X268,1+AD268)))</f>
        <v>0</v>
      </c>
      <c r="AL268" s="20">
        <f t="shared" si="98"/>
        <v>0</v>
      </c>
      <c r="AM268" s="20">
        <f>MAX(0,MIN(AC268,Parámetros!$B$11)-MAX(AB268,0))+MAX(0,MIN(AC268,1+Parámetros!$B$11)-MAX(AB268,AD268))+MAX(0,MIN(AC268,2)-MAX(AB268,1+AD268))</f>
        <v>0</v>
      </c>
      <c r="AN268" s="20">
        <f t="shared" si="99"/>
        <v>0</v>
      </c>
      <c r="AO268" s="20">
        <f>AE268*(MAX(0,MIN(AC268,Parámetros!$B$11)-MAX(AB268,0))+MAX(0,MIN(AC268,1)-MAX(AB268,AD268)))+AF268*(MAX(0,MIN(AC268,1+Parámetros!$B$11)-MAX(AB268,1))+MAX(0,MIN(AC268,2)-MAX(AB268,1+AD268)))</f>
        <v>0</v>
      </c>
    </row>
    <row r="269" spans="1:41" x14ac:dyDescent="0.25">
      <c r="A269" s="15"/>
      <c r="B269" s="8"/>
      <c r="C269" s="5" t="str">
        <f>IF(B269="","",IFERROR(INDEX(Trabajadores!$B$5:$B$204,MATCH(B269,Trabajadores!$A$5:$A$204,0)),"Cédula no registrada"))</f>
        <v/>
      </c>
      <c r="D269" s="11"/>
      <c r="E269" s="11"/>
      <c r="F269" s="8"/>
      <c r="G269" s="18" t="str">
        <f>IF(A269="","",IFERROR(INDEX(Trabajadores!$E$5:$E$204,MATCH(B269,Trabajadores!$A$5:$A$204,0))/Parámetros!$B$6,0)+IF(IFERROR(INDEX(Trabajadores!$E$5:$E$204,MATCH(B269,Trabajadores!$A$5:$A$204,0)),"")="",Parámetros!$B$7,0))</f>
        <v/>
      </c>
      <c r="H269" s="5" t="str">
        <f t="shared" si="80"/>
        <v/>
      </c>
      <c r="I269" s="5" t="str">
        <f>IF(A269="","",IF(COUNTIF(Festivos!$A$5:$A$451,A269)&gt;0,"Festivo",IF(WEEKDAY(A269,2)=7,"Domingo",IF(AND(AF269=1,AC269&gt;1),IF(COUNTIF(Festivos!$A$5:$A$451,A269+1)&gt;0,"Festivo","Domingo")&amp;" desde las 00:00",""))))</f>
        <v/>
      </c>
      <c r="J269" s="19" t="str">
        <f t="shared" si="81"/>
        <v/>
      </c>
      <c r="K269" s="19" t="str">
        <f t="shared" si="82"/>
        <v/>
      </c>
      <c r="L269" s="19" t="str">
        <f t="shared" si="83"/>
        <v/>
      </c>
      <c r="M269" s="19" t="str">
        <f t="shared" si="84"/>
        <v/>
      </c>
      <c r="N269" s="19" t="str">
        <f t="shared" si="85"/>
        <v/>
      </c>
      <c r="O269" s="19" t="str">
        <f t="shared" si="86"/>
        <v/>
      </c>
      <c r="P269" s="19" t="str">
        <f t="shared" si="87"/>
        <v/>
      </c>
      <c r="Q269" s="19" t="str">
        <f t="shared" si="88"/>
        <v/>
      </c>
      <c r="R269" s="19" t="str">
        <f t="shared" si="89"/>
        <v/>
      </c>
      <c r="S269" s="17" t="str">
        <f>IF(B269="","",IFERROR(INDEX(Trabajadores!$G$5:$G$204,MATCH(B269,Trabajadores!$A$5:$A$204,0)),""))</f>
        <v/>
      </c>
      <c r="T269" s="17" t="str">
        <f>IF(OR(OR(A269="",D269="",E269=""),S269=""),"",ROUND(S269*(N(L269)*Parámetros!$B$8+N(M269)*(1+Parámetros!$B$9)+N(N269)*(1+Parámetros!$B$10)+N(O269)*(1+AG269)+N(P269)*(1+AG269+Parámetros!$B$8)+N(Q269)*(1+AG269+Parámetros!$B$9)+N(R269)*(1+AG269+Parámetros!$B$10)),0))</f>
        <v/>
      </c>
      <c r="U269" s="5" t="str">
        <f>IF(OR(A269="",D269="",E269=""),"",IF(N(M269)+N(N269)+N(Q269)+N(R269)&gt;Parámetros!$B$12,"Supera el límite de horas extras diarias",IF(C269="Cédula no registrada","Registre la cédula en «Trabajadores»","")))</f>
        <v/>
      </c>
      <c r="X269" s="20">
        <f t="shared" si="90"/>
        <v>0</v>
      </c>
      <c r="Y269" s="20">
        <f t="shared" si="91"/>
        <v>0</v>
      </c>
      <c r="Z269" s="20">
        <f t="shared" si="92"/>
        <v>0</v>
      </c>
      <c r="AA269" s="20">
        <f t="shared" si="93"/>
        <v>0</v>
      </c>
      <c r="AB269" s="20">
        <f t="shared" si="94"/>
        <v>0</v>
      </c>
      <c r="AC269" s="20">
        <f t="shared" si="95"/>
        <v>0</v>
      </c>
      <c r="AD269" s="20">
        <f>IF(A269="",21/24,MOD(VLOOKUP(A269,Parámetros!$A$24:$B$25,2,TRUE()),1))</f>
        <v>0.875</v>
      </c>
      <c r="AE269" s="5">
        <f>IF(A269="",0,IF(OR(WEEKDAY(A269,2)=7,COUNTIF(Festivos!$A$5:$A$451,A269)&gt;0),1,0))</f>
        <v>0</v>
      </c>
      <c r="AF269" s="5">
        <f>IF(A269="",0,IF(OR(WEEKDAY(A269+1,2)=7,COUNTIF(Festivos!$A$5:$A$451,A269+1)&gt;0),1,0))</f>
        <v>0</v>
      </c>
      <c r="AG269" s="9">
        <f>IF(A269="",0,VLOOKUP(A269,Parámetros!$A$18:$B$21,2,TRUE()))</f>
        <v>0</v>
      </c>
      <c r="AH269" s="20">
        <f t="shared" si="96"/>
        <v>0</v>
      </c>
      <c r="AI269" s="20">
        <f>MAX(0,MIN(AB269,Parámetros!$B$11)-MAX(X269,0))+MAX(0,MIN(AB269,1+Parámetros!$B$11)-MAX(X269,AD269))+MAX(0,MIN(AB269,2)-MAX(X269,1+AD269))</f>
        <v>0</v>
      </c>
      <c r="AJ269" s="20">
        <f t="shared" si="97"/>
        <v>0</v>
      </c>
      <c r="AK269" s="20">
        <f>AE269*(MAX(0,MIN(AB269,Parámetros!$B$11)-MAX(X269,0))+MAX(0,MIN(AB269,1)-MAX(X269,AD269)))+AF269*(MAX(0,MIN(AB269,1+Parámetros!$B$11)-MAX(X269,1))+MAX(0,MIN(AB269,2)-MAX(X269,1+AD269)))</f>
        <v>0</v>
      </c>
      <c r="AL269" s="20">
        <f t="shared" si="98"/>
        <v>0</v>
      </c>
      <c r="AM269" s="20">
        <f>MAX(0,MIN(AC269,Parámetros!$B$11)-MAX(AB269,0))+MAX(0,MIN(AC269,1+Parámetros!$B$11)-MAX(AB269,AD269))+MAX(0,MIN(AC269,2)-MAX(AB269,1+AD269))</f>
        <v>0</v>
      </c>
      <c r="AN269" s="20">
        <f t="shared" si="99"/>
        <v>0</v>
      </c>
      <c r="AO269" s="20">
        <f>AE269*(MAX(0,MIN(AC269,Parámetros!$B$11)-MAX(AB269,0))+MAX(0,MIN(AC269,1)-MAX(AB269,AD269)))+AF269*(MAX(0,MIN(AC269,1+Parámetros!$B$11)-MAX(AB269,1))+MAX(0,MIN(AC269,2)-MAX(AB269,1+AD269)))</f>
        <v>0</v>
      </c>
    </row>
    <row r="270" spans="1:41" x14ac:dyDescent="0.25">
      <c r="A270" s="15"/>
      <c r="B270" s="8"/>
      <c r="C270" s="5" t="str">
        <f>IF(B270="","",IFERROR(INDEX(Trabajadores!$B$5:$B$204,MATCH(B270,Trabajadores!$A$5:$A$204,0)),"Cédula no registrada"))</f>
        <v/>
      </c>
      <c r="D270" s="11"/>
      <c r="E270" s="11"/>
      <c r="F270" s="8"/>
      <c r="G270" s="18" t="str">
        <f>IF(A270="","",IFERROR(INDEX(Trabajadores!$E$5:$E$204,MATCH(B270,Trabajadores!$A$5:$A$204,0))/Parámetros!$B$6,0)+IF(IFERROR(INDEX(Trabajadores!$E$5:$E$204,MATCH(B270,Trabajadores!$A$5:$A$204,0)),"")="",Parámetros!$B$7,0))</f>
        <v/>
      </c>
      <c r="H270" s="5" t="str">
        <f t="shared" si="80"/>
        <v/>
      </c>
      <c r="I270" s="5" t="str">
        <f>IF(A270="","",IF(COUNTIF(Festivos!$A$5:$A$451,A270)&gt;0,"Festivo",IF(WEEKDAY(A270,2)=7,"Domingo",IF(AND(AF270=1,AC270&gt;1),IF(COUNTIF(Festivos!$A$5:$A$451,A270+1)&gt;0,"Festivo","Domingo")&amp;" desde las 00:00",""))))</f>
        <v/>
      </c>
      <c r="J270" s="19" t="str">
        <f t="shared" si="81"/>
        <v/>
      </c>
      <c r="K270" s="19" t="str">
        <f t="shared" si="82"/>
        <v/>
      </c>
      <c r="L270" s="19" t="str">
        <f t="shared" si="83"/>
        <v/>
      </c>
      <c r="M270" s="19" t="str">
        <f t="shared" si="84"/>
        <v/>
      </c>
      <c r="N270" s="19" t="str">
        <f t="shared" si="85"/>
        <v/>
      </c>
      <c r="O270" s="19" t="str">
        <f t="shared" si="86"/>
        <v/>
      </c>
      <c r="P270" s="19" t="str">
        <f t="shared" si="87"/>
        <v/>
      </c>
      <c r="Q270" s="19" t="str">
        <f t="shared" si="88"/>
        <v/>
      </c>
      <c r="R270" s="19" t="str">
        <f t="shared" si="89"/>
        <v/>
      </c>
      <c r="S270" s="17" t="str">
        <f>IF(B270="","",IFERROR(INDEX(Trabajadores!$G$5:$G$204,MATCH(B270,Trabajadores!$A$5:$A$204,0)),""))</f>
        <v/>
      </c>
      <c r="T270" s="17" t="str">
        <f>IF(OR(OR(A270="",D270="",E270=""),S270=""),"",ROUND(S270*(N(L270)*Parámetros!$B$8+N(M270)*(1+Parámetros!$B$9)+N(N270)*(1+Parámetros!$B$10)+N(O270)*(1+AG270)+N(P270)*(1+AG270+Parámetros!$B$8)+N(Q270)*(1+AG270+Parámetros!$B$9)+N(R270)*(1+AG270+Parámetros!$B$10)),0))</f>
        <v/>
      </c>
      <c r="U270" s="5" t="str">
        <f>IF(OR(A270="",D270="",E270=""),"",IF(N(M270)+N(N270)+N(Q270)+N(R270)&gt;Parámetros!$B$12,"Supera el límite de horas extras diarias",IF(C270="Cédula no registrada","Registre la cédula en «Trabajadores»","")))</f>
        <v/>
      </c>
      <c r="X270" s="20">
        <f t="shared" si="90"/>
        <v>0</v>
      </c>
      <c r="Y270" s="20">
        <f t="shared" si="91"/>
        <v>0</v>
      </c>
      <c r="Z270" s="20">
        <f t="shared" si="92"/>
        <v>0</v>
      </c>
      <c r="AA270" s="20">
        <f t="shared" si="93"/>
        <v>0</v>
      </c>
      <c r="AB270" s="20">
        <f t="shared" si="94"/>
        <v>0</v>
      </c>
      <c r="AC270" s="20">
        <f t="shared" si="95"/>
        <v>0</v>
      </c>
      <c r="AD270" s="20">
        <f>IF(A270="",21/24,MOD(VLOOKUP(A270,Parámetros!$A$24:$B$25,2,TRUE()),1))</f>
        <v>0.875</v>
      </c>
      <c r="AE270" s="5">
        <f>IF(A270="",0,IF(OR(WEEKDAY(A270,2)=7,COUNTIF(Festivos!$A$5:$A$451,A270)&gt;0),1,0))</f>
        <v>0</v>
      </c>
      <c r="AF270" s="5">
        <f>IF(A270="",0,IF(OR(WEEKDAY(A270+1,2)=7,COUNTIF(Festivos!$A$5:$A$451,A270+1)&gt;0),1,0))</f>
        <v>0</v>
      </c>
      <c r="AG270" s="9">
        <f>IF(A270="",0,VLOOKUP(A270,Parámetros!$A$18:$B$21,2,TRUE()))</f>
        <v>0</v>
      </c>
      <c r="AH270" s="20">
        <f t="shared" si="96"/>
        <v>0</v>
      </c>
      <c r="AI270" s="20">
        <f>MAX(0,MIN(AB270,Parámetros!$B$11)-MAX(X270,0))+MAX(0,MIN(AB270,1+Parámetros!$B$11)-MAX(X270,AD270))+MAX(0,MIN(AB270,2)-MAX(X270,1+AD270))</f>
        <v>0</v>
      </c>
      <c r="AJ270" s="20">
        <f t="shared" si="97"/>
        <v>0</v>
      </c>
      <c r="AK270" s="20">
        <f>AE270*(MAX(0,MIN(AB270,Parámetros!$B$11)-MAX(X270,0))+MAX(0,MIN(AB270,1)-MAX(X270,AD270)))+AF270*(MAX(0,MIN(AB270,1+Parámetros!$B$11)-MAX(X270,1))+MAX(0,MIN(AB270,2)-MAX(X270,1+AD270)))</f>
        <v>0</v>
      </c>
      <c r="AL270" s="20">
        <f t="shared" si="98"/>
        <v>0</v>
      </c>
      <c r="AM270" s="20">
        <f>MAX(0,MIN(AC270,Parámetros!$B$11)-MAX(AB270,0))+MAX(0,MIN(AC270,1+Parámetros!$B$11)-MAX(AB270,AD270))+MAX(0,MIN(AC270,2)-MAX(AB270,1+AD270))</f>
        <v>0</v>
      </c>
      <c r="AN270" s="20">
        <f t="shared" si="99"/>
        <v>0</v>
      </c>
      <c r="AO270" s="20">
        <f>AE270*(MAX(0,MIN(AC270,Parámetros!$B$11)-MAX(AB270,0))+MAX(0,MIN(AC270,1)-MAX(AB270,AD270)))+AF270*(MAX(0,MIN(AC270,1+Parámetros!$B$11)-MAX(AB270,1))+MAX(0,MIN(AC270,2)-MAX(AB270,1+AD270)))</f>
        <v>0</v>
      </c>
    </row>
    <row r="271" spans="1:41" x14ac:dyDescent="0.25">
      <c r="A271" s="15"/>
      <c r="B271" s="8"/>
      <c r="C271" s="5" t="str">
        <f>IF(B271="","",IFERROR(INDEX(Trabajadores!$B$5:$B$204,MATCH(B271,Trabajadores!$A$5:$A$204,0)),"Cédula no registrada"))</f>
        <v/>
      </c>
      <c r="D271" s="11"/>
      <c r="E271" s="11"/>
      <c r="F271" s="8"/>
      <c r="G271" s="18" t="str">
        <f>IF(A271="","",IFERROR(INDEX(Trabajadores!$E$5:$E$204,MATCH(B271,Trabajadores!$A$5:$A$204,0))/Parámetros!$B$6,0)+IF(IFERROR(INDEX(Trabajadores!$E$5:$E$204,MATCH(B271,Trabajadores!$A$5:$A$204,0)),"")="",Parámetros!$B$7,0))</f>
        <v/>
      </c>
      <c r="H271" s="5" t="str">
        <f t="shared" si="80"/>
        <v/>
      </c>
      <c r="I271" s="5" t="str">
        <f>IF(A271="","",IF(COUNTIF(Festivos!$A$5:$A$451,A271)&gt;0,"Festivo",IF(WEEKDAY(A271,2)=7,"Domingo",IF(AND(AF271=1,AC271&gt;1),IF(COUNTIF(Festivos!$A$5:$A$451,A271+1)&gt;0,"Festivo","Domingo")&amp;" desde las 00:00",""))))</f>
        <v/>
      </c>
      <c r="J271" s="19" t="str">
        <f t="shared" si="81"/>
        <v/>
      </c>
      <c r="K271" s="19" t="str">
        <f t="shared" si="82"/>
        <v/>
      </c>
      <c r="L271" s="19" t="str">
        <f t="shared" si="83"/>
        <v/>
      </c>
      <c r="M271" s="19" t="str">
        <f t="shared" si="84"/>
        <v/>
      </c>
      <c r="N271" s="19" t="str">
        <f t="shared" si="85"/>
        <v/>
      </c>
      <c r="O271" s="19" t="str">
        <f t="shared" si="86"/>
        <v/>
      </c>
      <c r="P271" s="19" t="str">
        <f t="shared" si="87"/>
        <v/>
      </c>
      <c r="Q271" s="19" t="str">
        <f t="shared" si="88"/>
        <v/>
      </c>
      <c r="R271" s="19" t="str">
        <f t="shared" si="89"/>
        <v/>
      </c>
      <c r="S271" s="17" t="str">
        <f>IF(B271="","",IFERROR(INDEX(Trabajadores!$G$5:$G$204,MATCH(B271,Trabajadores!$A$5:$A$204,0)),""))</f>
        <v/>
      </c>
      <c r="T271" s="17" t="str">
        <f>IF(OR(OR(A271="",D271="",E271=""),S271=""),"",ROUND(S271*(N(L271)*Parámetros!$B$8+N(M271)*(1+Parámetros!$B$9)+N(N271)*(1+Parámetros!$B$10)+N(O271)*(1+AG271)+N(P271)*(1+AG271+Parámetros!$B$8)+N(Q271)*(1+AG271+Parámetros!$B$9)+N(R271)*(1+AG271+Parámetros!$B$10)),0))</f>
        <v/>
      </c>
      <c r="U271" s="5" t="str">
        <f>IF(OR(A271="",D271="",E271=""),"",IF(N(M271)+N(N271)+N(Q271)+N(R271)&gt;Parámetros!$B$12,"Supera el límite de horas extras diarias",IF(C271="Cédula no registrada","Registre la cédula en «Trabajadores»","")))</f>
        <v/>
      </c>
      <c r="X271" s="20">
        <f t="shared" si="90"/>
        <v>0</v>
      </c>
      <c r="Y271" s="20">
        <f t="shared" si="91"/>
        <v>0</v>
      </c>
      <c r="Z271" s="20">
        <f t="shared" si="92"/>
        <v>0</v>
      </c>
      <c r="AA271" s="20">
        <f t="shared" si="93"/>
        <v>0</v>
      </c>
      <c r="AB271" s="20">
        <f t="shared" si="94"/>
        <v>0</v>
      </c>
      <c r="AC271" s="20">
        <f t="shared" si="95"/>
        <v>0</v>
      </c>
      <c r="AD271" s="20">
        <f>IF(A271="",21/24,MOD(VLOOKUP(A271,Parámetros!$A$24:$B$25,2,TRUE()),1))</f>
        <v>0.875</v>
      </c>
      <c r="AE271" s="5">
        <f>IF(A271="",0,IF(OR(WEEKDAY(A271,2)=7,COUNTIF(Festivos!$A$5:$A$451,A271)&gt;0),1,0))</f>
        <v>0</v>
      </c>
      <c r="AF271" s="5">
        <f>IF(A271="",0,IF(OR(WEEKDAY(A271+1,2)=7,COUNTIF(Festivos!$A$5:$A$451,A271+1)&gt;0),1,0))</f>
        <v>0</v>
      </c>
      <c r="AG271" s="9">
        <f>IF(A271="",0,VLOOKUP(A271,Parámetros!$A$18:$B$21,2,TRUE()))</f>
        <v>0</v>
      </c>
      <c r="AH271" s="20">
        <f t="shared" si="96"/>
        <v>0</v>
      </c>
      <c r="AI271" s="20">
        <f>MAX(0,MIN(AB271,Parámetros!$B$11)-MAX(X271,0))+MAX(0,MIN(AB271,1+Parámetros!$B$11)-MAX(X271,AD271))+MAX(0,MIN(AB271,2)-MAX(X271,1+AD271))</f>
        <v>0</v>
      </c>
      <c r="AJ271" s="20">
        <f t="shared" si="97"/>
        <v>0</v>
      </c>
      <c r="AK271" s="20">
        <f>AE271*(MAX(0,MIN(AB271,Parámetros!$B$11)-MAX(X271,0))+MAX(0,MIN(AB271,1)-MAX(X271,AD271)))+AF271*(MAX(0,MIN(AB271,1+Parámetros!$B$11)-MAX(X271,1))+MAX(0,MIN(AB271,2)-MAX(X271,1+AD271)))</f>
        <v>0</v>
      </c>
      <c r="AL271" s="20">
        <f t="shared" si="98"/>
        <v>0</v>
      </c>
      <c r="AM271" s="20">
        <f>MAX(0,MIN(AC271,Parámetros!$B$11)-MAX(AB271,0))+MAX(0,MIN(AC271,1+Parámetros!$B$11)-MAX(AB271,AD271))+MAX(0,MIN(AC271,2)-MAX(AB271,1+AD271))</f>
        <v>0</v>
      </c>
      <c r="AN271" s="20">
        <f t="shared" si="99"/>
        <v>0</v>
      </c>
      <c r="AO271" s="20">
        <f>AE271*(MAX(0,MIN(AC271,Parámetros!$B$11)-MAX(AB271,0))+MAX(0,MIN(AC271,1)-MAX(AB271,AD271)))+AF271*(MAX(0,MIN(AC271,1+Parámetros!$B$11)-MAX(AB271,1))+MAX(0,MIN(AC271,2)-MAX(AB271,1+AD271)))</f>
        <v>0</v>
      </c>
    </row>
    <row r="272" spans="1:41" x14ac:dyDescent="0.25">
      <c r="A272" s="15"/>
      <c r="B272" s="8"/>
      <c r="C272" s="5" t="str">
        <f>IF(B272="","",IFERROR(INDEX(Trabajadores!$B$5:$B$204,MATCH(B272,Trabajadores!$A$5:$A$204,0)),"Cédula no registrada"))</f>
        <v/>
      </c>
      <c r="D272" s="11"/>
      <c r="E272" s="11"/>
      <c r="F272" s="8"/>
      <c r="G272" s="18" t="str">
        <f>IF(A272="","",IFERROR(INDEX(Trabajadores!$E$5:$E$204,MATCH(B272,Trabajadores!$A$5:$A$204,0))/Parámetros!$B$6,0)+IF(IFERROR(INDEX(Trabajadores!$E$5:$E$204,MATCH(B272,Trabajadores!$A$5:$A$204,0)),"")="",Parámetros!$B$7,0))</f>
        <v/>
      </c>
      <c r="H272" s="5" t="str">
        <f t="shared" si="80"/>
        <v/>
      </c>
      <c r="I272" s="5" t="str">
        <f>IF(A272="","",IF(COUNTIF(Festivos!$A$5:$A$451,A272)&gt;0,"Festivo",IF(WEEKDAY(A272,2)=7,"Domingo",IF(AND(AF272=1,AC272&gt;1),IF(COUNTIF(Festivos!$A$5:$A$451,A272+1)&gt;0,"Festivo","Domingo")&amp;" desde las 00:00",""))))</f>
        <v/>
      </c>
      <c r="J272" s="19" t="str">
        <f t="shared" si="81"/>
        <v/>
      </c>
      <c r="K272" s="19" t="str">
        <f t="shared" si="82"/>
        <v/>
      </c>
      <c r="L272" s="19" t="str">
        <f t="shared" si="83"/>
        <v/>
      </c>
      <c r="M272" s="19" t="str">
        <f t="shared" si="84"/>
        <v/>
      </c>
      <c r="N272" s="19" t="str">
        <f t="shared" si="85"/>
        <v/>
      </c>
      <c r="O272" s="19" t="str">
        <f t="shared" si="86"/>
        <v/>
      </c>
      <c r="P272" s="19" t="str">
        <f t="shared" si="87"/>
        <v/>
      </c>
      <c r="Q272" s="19" t="str">
        <f t="shared" si="88"/>
        <v/>
      </c>
      <c r="R272" s="19" t="str">
        <f t="shared" si="89"/>
        <v/>
      </c>
      <c r="S272" s="17" t="str">
        <f>IF(B272="","",IFERROR(INDEX(Trabajadores!$G$5:$G$204,MATCH(B272,Trabajadores!$A$5:$A$204,0)),""))</f>
        <v/>
      </c>
      <c r="T272" s="17" t="str">
        <f>IF(OR(OR(A272="",D272="",E272=""),S272=""),"",ROUND(S272*(N(L272)*Parámetros!$B$8+N(M272)*(1+Parámetros!$B$9)+N(N272)*(1+Parámetros!$B$10)+N(O272)*(1+AG272)+N(P272)*(1+AG272+Parámetros!$B$8)+N(Q272)*(1+AG272+Parámetros!$B$9)+N(R272)*(1+AG272+Parámetros!$B$10)),0))</f>
        <v/>
      </c>
      <c r="U272" s="5" t="str">
        <f>IF(OR(A272="",D272="",E272=""),"",IF(N(M272)+N(N272)+N(Q272)+N(R272)&gt;Parámetros!$B$12,"Supera el límite de horas extras diarias",IF(C272="Cédula no registrada","Registre la cédula en «Trabajadores»","")))</f>
        <v/>
      </c>
      <c r="X272" s="20">
        <f t="shared" si="90"/>
        <v>0</v>
      </c>
      <c r="Y272" s="20">
        <f t="shared" si="91"/>
        <v>0</v>
      </c>
      <c r="Z272" s="20">
        <f t="shared" si="92"/>
        <v>0</v>
      </c>
      <c r="AA272" s="20">
        <f t="shared" si="93"/>
        <v>0</v>
      </c>
      <c r="AB272" s="20">
        <f t="shared" si="94"/>
        <v>0</v>
      </c>
      <c r="AC272" s="20">
        <f t="shared" si="95"/>
        <v>0</v>
      </c>
      <c r="AD272" s="20">
        <f>IF(A272="",21/24,MOD(VLOOKUP(A272,Parámetros!$A$24:$B$25,2,TRUE()),1))</f>
        <v>0.875</v>
      </c>
      <c r="AE272" s="5">
        <f>IF(A272="",0,IF(OR(WEEKDAY(A272,2)=7,COUNTIF(Festivos!$A$5:$A$451,A272)&gt;0),1,0))</f>
        <v>0</v>
      </c>
      <c r="AF272" s="5">
        <f>IF(A272="",0,IF(OR(WEEKDAY(A272+1,2)=7,COUNTIF(Festivos!$A$5:$A$451,A272+1)&gt;0),1,0))</f>
        <v>0</v>
      </c>
      <c r="AG272" s="9">
        <f>IF(A272="",0,VLOOKUP(A272,Parámetros!$A$18:$B$21,2,TRUE()))</f>
        <v>0</v>
      </c>
      <c r="AH272" s="20">
        <f t="shared" si="96"/>
        <v>0</v>
      </c>
      <c r="AI272" s="20">
        <f>MAX(0,MIN(AB272,Parámetros!$B$11)-MAX(X272,0))+MAX(0,MIN(AB272,1+Parámetros!$B$11)-MAX(X272,AD272))+MAX(0,MIN(AB272,2)-MAX(X272,1+AD272))</f>
        <v>0</v>
      </c>
      <c r="AJ272" s="20">
        <f t="shared" si="97"/>
        <v>0</v>
      </c>
      <c r="AK272" s="20">
        <f>AE272*(MAX(0,MIN(AB272,Parámetros!$B$11)-MAX(X272,0))+MAX(0,MIN(AB272,1)-MAX(X272,AD272)))+AF272*(MAX(0,MIN(AB272,1+Parámetros!$B$11)-MAX(X272,1))+MAX(0,MIN(AB272,2)-MAX(X272,1+AD272)))</f>
        <v>0</v>
      </c>
      <c r="AL272" s="20">
        <f t="shared" si="98"/>
        <v>0</v>
      </c>
      <c r="AM272" s="20">
        <f>MAX(0,MIN(AC272,Parámetros!$B$11)-MAX(AB272,0))+MAX(0,MIN(AC272,1+Parámetros!$B$11)-MAX(AB272,AD272))+MAX(0,MIN(AC272,2)-MAX(AB272,1+AD272))</f>
        <v>0</v>
      </c>
      <c r="AN272" s="20">
        <f t="shared" si="99"/>
        <v>0</v>
      </c>
      <c r="AO272" s="20">
        <f>AE272*(MAX(0,MIN(AC272,Parámetros!$B$11)-MAX(AB272,0))+MAX(0,MIN(AC272,1)-MAX(AB272,AD272)))+AF272*(MAX(0,MIN(AC272,1+Parámetros!$B$11)-MAX(AB272,1))+MAX(0,MIN(AC272,2)-MAX(AB272,1+AD272)))</f>
        <v>0</v>
      </c>
    </row>
    <row r="273" spans="1:41" x14ac:dyDescent="0.25">
      <c r="A273" s="15"/>
      <c r="B273" s="8"/>
      <c r="C273" s="5" t="str">
        <f>IF(B273="","",IFERROR(INDEX(Trabajadores!$B$5:$B$204,MATCH(B273,Trabajadores!$A$5:$A$204,0)),"Cédula no registrada"))</f>
        <v/>
      </c>
      <c r="D273" s="11"/>
      <c r="E273" s="11"/>
      <c r="F273" s="8"/>
      <c r="G273" s="18" t="str">
        <f>IF(A273="","",IFERROR(INDEX(Trabajadores!$E$5:$E$204,MATCH(B273,Trabajadores!$A$5:$A$204,0))/Parámetros!$B$6,0)+IF(IFERROR(INDEX(Trabajadores!$E$5:$E$204,MATCH(B273,Trabajadores!$A$5:$A$204,0)),"")="",Parámetros!$B$7,0))</f>
        <v/>
      </c>
      <c r="H273" s="5" t="str">
        <f t="shared" si="80"/>
        <v/>
      </c>
      <c r="I273" s="5" t="str">
        <f>IF(A273="","",IF(COUNTIF(Festivos!$A$5:$A$451,A273)&gt;0,"Festivo",IF(WEEKDAY(A273,2)=7,"Domingo",IF(AND(AF273=1,AC273&gt;1),IF(COUNTIF(Festivos!$A$5:$A$451,A273+1)&gt;0,"Festivo","Domingo")&amp;" desde las 00:00",""))))</f>
        <v/>
      </c>
      <c r="J273" s="19" t="str">
        <f t="shared" si="81"/>
        <v/>
      </c>
      <c r="K273" s="19" t="str">
        <f t="shared" si="82"/>
        <v/>
      </c>
      <c r="L273" s="19" t="str">
        <f t="shared" si="83"/>
        <v/>
      </c>
      <c r="M273" s="19" t="str">
        <f t="shared" si="84"/>
        <v/>
      </c>
      <c r="N273" s="19" t="str">
        <f t="shared" si="85"/>
        <v/>
      </c>
      <c r="O273" s="19" t="str">
        <f t="shared" si="86"/>
        <v/>
      </c>
      <c r="P273" s="19" t="str">
        <f t="shared" si="87"/>
        <v/>
      </c>
      <c r="Q273" s="19" t="str">
        <f t="shared" si="88"/>
        <v/>
      </c>
      <c r="R273" s="19" t="str">
        <f t="shared" si="89"/>
        <v/>
      </c>
      <c r="S273" s="17" t="str">
        <f>IF(B273="","",IFERROR(INDEX(Trabajadores!$G$5:$G$204,MATCH(B273,Trabajadores!$A$5:$A$204,0)),""))</f>
        <v/>
      </c>
      <c r="T273" s="17" t="str">
        <f>IF(OR(OR(A273="",D273="",E273=""),S273=""),"",ROUND(S273*(N(L273)*Parámetros!$B$8+N(M273)*(1+Parámetros!$B$9)+N(N273)*(1+Parámetros!$B$10)+N(O273)*(1+AG273)+N(P273)*(1+AG273+Parámetros!$B$8)+N(Q273)*(1+AG273+Parámetros!$B$9)+N(R273)*(1+AG273+Parámetros!$B$10)),0))</f>
        <v/>
      </c>
      <c r="U273" s="5" t="str">
        <f>IF(OR(A273="",D273="",E273=""),"",IF(N(M273)+N(N273)+N(Q273)+N(R273)&gt;Parámetros!$B$12,"Supera el límite de horas extras diarias",IF(C273="Cédula no registrada","Registre la cédula en «Trabajadores»","")))</f>
        <v/>
      </c>
      <c r="X273" s="20">
        <f t="shared" si="90"/>
        <v>0</v>
      </c>
      <c r="Y273" s="20">
        <f t="shared" si="91"/>
        <v>0</v>
      </c>
      <c r="Z273" s="20">
        <f t="shared" si="92"/>
        <v>0</v>
      </c>
      <c r="AA273" s="20">
        <f t="shared" si="93"/>
        <v>0</v>
      </c>
      <c r="AB273" s="20">
        <f t="shared" si="94"/>
        <v>0</v>
      </c>
      <c r="AC273" s="20">
        <f t="shared" si="95"/>
        <v>0</v>
      </c>
      <c r="AD273" s="20">
        <f>IF(A273="",21/24,MOD(VLOOKUP(A273,Parámetros!$A$24:$B$25,2,TRUE()),1))</f>
        <v>0.875</v>
      </c>
      <c r="AE273" s="5">
        <f>IF(A273="",0,IF(OR(WEEKDAY(A273,2)=7,COUNTIF(Festivos!$A$5:$A$451,A273)&gt;0),1,0))</f>
        <v>0</v>
      </c>
      <c r="AF273" s="5">
        <f>IF(A273="",0,IF(OR(WEEKDAY(A273+1,2)=7,COUNTIF(Festivos!$A$5:$A$451,A273+1)&gt;0),1,0))</f>
        <v>0</v>
      </c>
      <c r="AG273" s="9">
        <f>IF(A273="",0,VLOOKUP(A273,Parámetros!$A$18:$B$21,2,TRUE()))</f>
        <v>0</v>
      </c>
      <c r="AH273" s="20">
        <f t="shared" si="96"/>
        <v>0</v>
      </c>
      <c r="AI273" s="20">
        <f>MAX(0,MIN(AB273,Parámetros!$B$11)-MAX(X273,0))+MAX(0,MIN(AB273,1+Parámetros!$B$11)-MAX(X273,AD273))+MAX(0,MIN(AB273,2)-MAX(X273,1+AD273))</f>
        <v>0</v>
      </c>
      <c r="AJ273" s="20">
        <f t="shared" si="97"/>
        <v>0</v>
      </c>
      <c r="AK273" s="20">
        <f>AE273*(MAX(0,MIN(AB273,Parámetros!$B$11)-MAX(X273,0))+MAX(0,MIN(AB273,1)-MAX(X273,AD273)))+AF273*(MAX(0,MIN(AB273,1+Parámetros!$B$11)-MAX(X273,1))+MAX(0,MIN(AB273,2)-MAX(X273,1+AD273)))</f>
        <v>0</v>
      </c>
      <c r="AL273" s="20">
        <f t="shared" si="98"/>
        <v>0</v>
      </c>
      <c r="AM273" s="20">
        <f>MAX(0,MIN(AC273,Parámetros!$B$11)-MAX(AB273,0))+MAX(0,MIN(AC273,1+Parámetros!$B$11)-MAX(AB273,AD273))+MAX(0,MIN(AC273,2)-MAX(AB273,1+AD273))</f>
        <v>0</v>
      </c>
      <c r="AN273" s="20">
        <f t="shared" si="99"/>
        <v>0</v>
      </c>
      <c r="AO273" s="20">
        <f>AE273*(MAX(0,MIN(AC273,Parámetros!$B$11)-MAX(AB273,0))+MAX(0,MIN(AC273,1)-MAX(AB273,AD273)))+AF273*(MAX(0,MIN(AC273,1+Parámetros!$B$11)-MAX(AB273,1))+MAX(0,MIN(AC273,2)-MAX(AB273,1+AD273)))</f>
        <v>0</v>
      </c>
    </row>
    <row r="274" spans="1:41" x14ac:dyDescent="0.25">
      <c r="A274" s="15"/>
      <c r="B274" s="8"/>
      <c r="C274" s="5" t="str">
        <f>IF(B274="","",IFERROR(INDEX(Trabajadores!$B$5:$B$204,MATCH(B274,Trabajadores!$A$5:$A$204,0)),"Cédula no registrada"))</f>
        <v/>
      </c>
      <c r="D274" s="11"/>
      <c r="E274" s="11"/>
      <c r="F274" s="8"/>
      <c r="G274" s="18" t="str">
        <f>IF(A274="","",IFERROR(INDEX(Trabajadores!$E$5:$E$204,MATCH(B274,Trabajadores!$A$5:$A$204,0))/Parámetros!$B$6,0)+IF(IFERROR(INDEX(Trabajadores!$E$5:$E$204,MATCH(B274,Trabajadores!$A$5:$A$204,0)),"")="",Parámetros!$B$7,0))</f>
        <v/>
      </c>
      <c r="H274" s="5" t="str">
        <f t="shared" si="80"/>
        <v/>
      </c>
      <c r="I274" s="5" t="str">
        <f>IF(A274="","",IF(COUNTIF(Festivos!$A$5:$A$451,A274)&gt;0,"Festivo",IF(WEEKDAY(A274,2)=7,"Domingo",IF(AND(AF274=1,AC274&gt;1),IF(COUNTIF(Festivos!$A$5:$A$451,A274+1)&gt;0,"Festivo","Domingo")&amp;" desde las 00:00",""))))</f>
        <v/>
      </c>
      <c r="J274" s="19" t="str">
        <f t="shared" si="81"/>
        <v/>
      </c>
      <c r="K274" s="19" t="str">
        <f t="shared" si="82"/>
        <v/>
      </c>
      <c r="L274" s="19" t="str">
        <f t="shared" si="83"/>
        <v/>
      </c>
      <c r="M274" s="19" t="str">
        <f t="shared" si="84"/>
        <v/>
      </c>
      <c r="N274" s="19" t="str">
        <f t="shared" si="85"/>
        <v/>
      </c>
      <c r="O274" s="19" t="str">
        <f t="shared" si="86"/>
        <v/>
      </c>
      <c r="P274" s="19" t="str">
        <f t="shared" si="87"/>
        <v/>
      </c>
      <c r="Q274" s="19" t="str">
        <f t="shared" si="88"/>
        <v/>
      </c>
      <c r="R274" s="19" t="str">
        <f t="shared" si="89"/>
        <v/>
      </c>
      <c r="S274" s="17" t="str">
        <f>IF(B274="","",IFERROR(INDEX(Trabajadores!$G$5:$G$204,MATCH(B274,Trabajadores!$A$5:$A$204,0)),""))</f>
        <v/>
      </c>
      <c r="T274" s="17" t="str">
        <f>IF(OR(OR(A274="",D274="",E274=""),S274=""),"",ROUND(S274*(N(L274)*Parámetros!$B$8+N(M274)*(1+Parámetros!$B$9)+N(N274)*(1+Parámetros!$B$10)+N(O274)*(1+AG274)+N(P274)*(1+AG274+Parámetros!$B$8)+N(Q274)*(1+AG274+Parámetros!$B$9)+N(R274)*(1+AG274+Parámetros!$B$10)),0))</f>
        <v/>
      </c>
      <c r="U274" s="5" t="str">
        <f>IF(OR(A274="",D274="",E274=""),"",IF(N(M274)+N(N274)+N(Q274)+N(R274)&gt;Parámetros!$B$12,"Supera el límite de horas extras diarias",IF(C274="Cédula no registrada","Registre la cédula en «Trabajadores»","")))</f>
        <v/>
      </c>
      <c r="X274" s="20">
        <f t="shared" si="90"/>
        <v>0</v>
      </c>
      <c r="Y274" s="20">
        <f t="shared" si="91"/>
        <v>0</v>
      </c>
      <c r="Z274" s="20">
        <f t="shared" si="92"/>
        <v>0</v>
      </c>
      <c r="AA274" s="20">
        <f t="shared" si="93"/>
        <v>0</v>
      </c>
      <c r="AB274" s="20">
        <f t="shared" si="94"/>
        <v>0</v>
      </c>
      <c r="AC274" s="20">
        <f t="shared" si="95"/>
        <v>0</v>
      </c>
      <c r="AD274" s="20">
        <f>IF(A274="",21/24,MOD(VLOOKUP(A274,Parámetros!$A$24:$B$25,2,TRUE()),1))</f>
        <v>0.875</v>
      </c>
      <c r="AE274" s="5">
        <f>IF(A274="",0,IF(OR(WEEKDAY(A274,2)=7,COUNTIF(Festivos!$A$5:$A$451,A274)&gt;0),1,0))</f>
        <v>0</v>
      </c>
      <c r="AF274" s="5">
        <f>IF(A274="",0,IF(OR(WEEKDAY(A274+1,2)=7,COUNTIF(Festivos!$A$5:$A$451,A274+1)&gt;0),1,0))</f>
        <v>0</v>
      </c>
      <c r="AG274" s="9">
        <f>IF(A274="",0,VLOOKUP(A274,Parámetros!$A$18:$B$21,2,TRUE()))</f>
        <v>0</v>
      </c>
      <c r="AH274" s="20">
        <f t="shared" si="96"/>
        <v>0</v>
      </c>
      <c r="AI274" s="20">
        <f>MAX(0,MIN(AB274,Parámetros!$B$11)-MAX(X274,0))+MAX(0,MIN(AB274,1+Parámetros!$B$11)-MAX(X274,AD274))+MAX(0,MIN(AB274,2)-MAX(X274,1+AD274))</f>
        <v>0</v>
      </c>
      <c r="AJ274" s="20">
        <f t="shared" si="97"/>
        <v>0</v>
      </c>
      <c r="AK274" s="20">
        <f>AE274*(MAX(0,MIN(AB274,Parámetros!$B$11)-MAX(X274,0))+MAX(0,MIN(AB274,1)-MAX(X274,AD274)))+AF274*(MAX(0,MIN(AB274,1+Parámetros!$B$11)-MAX(X274,1))+MAX(0,MIN(AB274,2)-MAX(X274,1+AD274)))</f>
        <v>0</v>
      </c>
      <c r="AL274" s="20">
        <f t="shared" si="98"/>
        <v>0</v>
      </c>
      <c r="AM274" s="20">
        <f>MAX(0,MIN(AC274,Parámetros!$B$11)-MAX(AB274,0))+MAX(0,MIN(AC274,1+Parámetros!$B$11)-MAX(AB274,AD274))+MAX(0,MIN(AC274,2)-MAX(AB274,1+AD274))</f>
        <v>0</v>
      </c>
      <c r="AN274" s="20">
        <f t="shared" si="99"/>
        <v>0</v>
      </c>
      <c r="AO274" s="20">
        <f>AE274*(MAX(0,MIN(AC274,Parámetros!$B$11)-MAX(AB274,0))+MAX(0,MIN(AC274,1)-MAX(AB274,AD274)))+AF274*(MAX(0,MIN(AC274,1+Parámetros!$B$11)-MAX(AB274,1))+MAX(0,MIN(AC274,2)-MAX(AB274,1+AD274)))</f>
        <v>0</v>
      </c>
    </row>
    <row r="275" spans="1:41" x14ac:dyDescent="0.25">
      <c r="A275" s="15"/>
      <c r="B275" s="8"/>
      <c r="C275" s="5" t="str">
        <f>IF(B275="","",IFERROR(INDEX(Trabajadores!$B$5:$B$204,MATCH(B275,Trabajadores!$A$5:$A$204,0)),"Cédula no registrada"))</f>
        <v/>
      </c>
      <c r="D275" s="11"/>
      <c r="E275" s="11"/>
      <c r="F275" s="8"/>
      <c r="G275" s="18" t="str">
        <f>IF(A275="","",IFERROR(INDEX(Trabajadores!$E$5:$E$204,MATCH(B275,Trabajadores!$A$5:$A$204,0))/Parámetros!$B$6,0)+IF(IFERROR(INDEX(Trabajadores!$E$5:$E$204,MATCH(B275,Trabajadores!$A$5:$A$204,0)),"")="",Parámetros!$B$7,0))</f>
        <v/>
      </c>
      <c r="H275" s="5" t="str">
        <f t="shared" si="80"/>
        <v/>
      </c>
      <c r="I275" s="5" t="str">
        <f>IF(A275="","",IF(COUNTIF(Festivos!$A$5:$A$451,A275)&gt;0,"Festivo",IF(WEEKDAY(A275,2)=7,"Domingo",IF(AND(AF275=1,AC275&gt;1),IF(COUNTIF(Festivos!$A$5:$A$451,A275+1)&gt;0,"Festivo","Domingo")&amp;" desde las 00:00",""))))</f>
        <v/>
      </c>
      <c r="J275" s="19" t="str">
        <f t="shared" si="81"/>
        <v/>
      </c>
      <c r="K275" s="19" t="str">
        <f t="shared" si="82"/>
        <v/>
      </c>
      <c r="L275" s="19" t="str">
        <f t="shared" si="83"/>
        <v/>
      </c>
      <c r="M275" s="19" t="str">
        <f t="shared" si="84"/>
        <v/>
      </c>
      <c r="N275" s="19" t="str">
        <f t="shared" si="85"/>
        <v/>
      </c>
      <c r="O275" s="19" t="str">
        <f t="shared" si="86"/>
        <v/>
      </c>
      <c r="P275" s="19" t="str">
        <f t="shared" si="87"/>
        <v/>
      </c>
      <c r="Q275" s="19" t="str">
        <f t="shared" si="88"/>
        <v/>
      </c>
      <c r="R275" s="19" t="str">
        <f t="shared" si="89"/>
        <v/>
      </c>
      <c r="S275" s="17" t="str">
        <f>IF(B275="","",IFERROR(INDEX(Trabajadores!$G$5:$G$204,MATCH(B275,Trabajadores!$A$5:$A$204,0)),""))</f>
        <v/>
      </c>
      <c r="T275" s="17" t="str">
        <f>IF(OR(OR(A275="",D275="",E275=""),S275=""),"",ROUND(S275*(N(L275)*Parámetros!$B$8+N(M275)*(1+Parámetros!$B$9)+N(N275)*(1+Parámetros!$B$10)+N(O275)*(1+AG275)+N(P275)*(1+AG275+Parámetros!$B$8)+N(Q275)*(1+AG275+Parámetros!$B$9)+N(R275)*(1+AG275+Parámetros!$B$10)),0))</f>
        <v/>
      </c>
      <c r="U275" s="5" t="str">
        <f>IF(OR(A275="",D275="",E275=""),"",IF(N(M275)+N(N275)+N(Q275)+N(R275)&gt;Parámetros!$B$12,"Supera el límite de horas extras diarias",IF(C275="Cédula no registrada","Registre la cédula en «Trabajadores»","")))</f>
        <v/>
      </c>
      <c r="X275" s="20">
        <f t="shared" si="90"/>
        <v>0</v>
      </c>
      <c r="Y275" s="20">
        <f t="shared" si="91"/>
        <v>0</v>
      </c>
      <c r="Z275" s="20">
        <f t="shared" si="92"/>
        <v>0</v>
      </c>
      <c r="AA275" s="20">
        <f t="shared" si="93"/>
        <v>0</v>
      </c>
      <c r="AB275" s="20">
        <f t="shared" si="94"/>
        <v>0</v>
      </c>
      <c r="AC275" s="20">
        <f t="shared" si="95"/>
        <v>0</v>
      </c>
      <c r="AD275" s="20">
        <f>IF(A275="",21/24,MOD(VLOOKUP(A275,Parámetros!$A$24:$B$25,2,TRUE()),1))</f>
        <v>0.875</v>
      </c>
      <c r="AE275" s="5">
        <f>IF(A275="",0,IF(OR(WEEKDAY(A275,2)=7,COUNTIF(Festivos!$A$5:$A$451,A275)&gt;0),1,0))</f>
        <v>0</v>
      </c>
      <c r="AF275" s="5">
        <f>IF(A275="",0,IF(OR(WEEKDAY(A275+1,2)=7,COUNTIF(Festivos!$A$5:$A$451,A275+1)&gt;0),1,0))</f>
        <v>0</v>
      </c>
      <c r="AG275" s="9">
        <f>IF(A275="",0,VLOOKUP(A275,Parámetros!$A$18:$B$21,2,TRUE()))</f>
        <v>0</v>
      </c>
      <c r="AH275" s="20">
        <f t="shared" si="96"/>
        <v>0</v>
      </c>
      <c r="AI275" s="20">
        <f>MAX(0,MIN(AB275,Parámetros!$B$11)-MAX(X275,0))+MAX(0,MIN(AB275,1+Parámetros!$B$11)-MAX(X275,AD275))+MAX(0,MIN(AB275,2)-MAX(X275,1+AD275))</f>
        <v>0</v>
      </c>
      <c r="AJ275" s="20">
        <f t="shared" si="97"/>
        <v>0</v>
      </c>
      <c r="AK275" s="20">
        <f>AE275*(MAX(0,MIN(AB275,Parámetros!$B$11)-MAX(X275,0))+MAX(0,MIN(AB275,1)-MAX(X275,AD275)))+AF275*(MAX(0,MIN(AB275,1+Parámetros!$B$11)-MAX(X275,1))+MAX(0,MIN(AB275,2)-MAX(X275,1+AD275)))</f>
        <v>0</v>
      </c>
      <c r="AL275" s="20">
        <f t="shared" si="98"/>
        <v>0</v>
      </c>
      <c r="AM275" s="20">
        <f>MAX(0,MIN(AC275,Parámetros!$B$11)-MAX(AB275,0))+MAX(0,MIN(AC275,1+Parámetros!$B$11)-MAX(AB275,AD275))+MAX(0,MIN(AC275,2)-MAX(AB275,1+AD275))</f>
        <v>0</v>
      </c>
      <c r="AN275" s="20">
        <f t="shared" si="99"/>
        <v>0</v>
      </c>
      <c r="AO275" s="20">
        <f>AE275*(MAX(0,MIN(AC275,Parámetros!$B$11)-MAX(AB275,0))+MAX(0,MIN(AC275,1)-MAX(AB275,AD275)))+AF275*(MAX(0,MIN(AC275,1+Parámetros!$B$11)-MAX(AB275,1))+MAX(0,MIN(AC275,2)-MAX(AB275,1+AD275)))</f>
        <v>0</v>
      </c>
    </row>
    <row r="276" spans="1:41" x14ac:dyDescent="0.25">
      <c r="A276" s="15"/>
      <c r="B276" s="8"/>
      <c r="C276" s="5" t="str">
        <f>IF(B276="","",IFERROR(INDEX(Trabajadores!$B$5:$B$204,MATCH(B276,Trabajadores!$A$5:$A$204,0)),"Cédula no registrada"))</f>
        <v/>
      </c>
      <c r="D276" s="11"/>
      <c r="E276" s="11"/>
      <c r="F276" s="8"/>
      <c r="G276" s="18" t="str">
        <f>IF(A276="","",IFERROR(INDEX(Trabajadores!$E$5:$E$204,MATCH(B276,Trabajadores!$A$5:$A$204,0))/Parámetros!$B$6,0)+IF(IFERROR(INDEX(Trabajadores!$E$5:$E$204,MATCH(B276,Trabajadores!$A$5:$A$204,0)),"")="",Parámetros!$B$7,0))</f>
        <v/>
      </c>
      <c r="H276" s="5" t="str">
        <f t="shared" si="80"/>
        <v/>
      </c>
      <c r="I276" s="5" t="str">
        <f>IF(A276="","",IF(COUNTIF(Festivos!$A$5:$A$451,A276)&gt;0,"Festivo",IF(WEEKDAY(A276,2)=7,"Domingo",IF(AND(AF276=1,AC276&gt;1),IF(COUNTIF(Festivos!$A$5:$A$451,A276+1)&gt;0,"Festivo","Domingo")&amp;" desde las 00:00",""))))</f>
        <v/>
      </c>
      <c r="J276" s="19" t="str">
        <f t="shared" si="81"/>
        <v/>
      </c>
      <c r="K276" s="19" t="str">
        <f t="shared" si="82"/>
        <v/>
      </c>
      <c r="L276" s="19" t="str">
        <f t="shared" si="83"/>
        <v/>
      </c>
      <c r="M276" s="19" t="str">
        <f t="shared" si="84"/>
        <v/>
      </c>
      <c r="N276" s="19" t="str">
        <f t="shared" si="85"/>
        <v/>
      </c>
      <c r="O276" s="19" t="str">
        <f t="shared" si="86"/>
        <v/>
      </c>
      <c r="P276" s="19" t="str">
        <f t="shared" si="87"/>
        <v/>
      </c>
      <c r="Q276" s="19" t="str">
        <f t="shared" si="88"/>
        <v/>
      </c>
      <c r="R276" s="19" t="str">
        <f t="shared" si="89"/>
        <v/>
      </c>
      <c r="S276" s="17" t="str">
        <f>IF(B276="","",IFERROR(INDEX(Trabajadores!$G$5:$G$204,MATCH(B276,Trabajadores!$A$5:$A$204,0)),""))</f>
        <v/>
      </c>
      <c r="T276" s="17" t="str">
        <f>IF(OR(OR(A276="",D276="",E276=""),S276=""),"",ROUND(S276*(N(L276)*Parámetros!$B$8+N(M276)*(1+Parámetros!$B$9)+N(N276)*(1+Parámetros!$B$10)+N(O276)*(1+AG276)+N(P276)*(1+AG276+Parámetros!$B$8)+N(Q276)*(1+AG276+Parámetros!$B$9)+N(R276)*(1+AG276+Parámetros!$B$10)),0))</f>
        <v/>
      </c>
      <c r="U276" s="5" t="str">
        <f>IF(OR(A276="",D276="",E276=""),"",IF(N(M276)+N(N276)+N(Q276)+N(R276)&gt;Parámetros!$B$12,"Supera el límite de horas extras diarias",IF(C276="Cédula no registrada","Registre la cédula en «Trabajadores»","")))</f>
        <v/>
      </c>
      <c r="X276" s="20">
        <f t="shared" si="90"/>
        <v>0</v>
      </c>
      <c r="Y276" s="20">
        <f t="shared" si="91"/>
        <v>0</v>
      </c>
      <c r="Z276" s="20">
        <f t="shared" si="92"/>
        <v>0</v>
      </c>
      <c r="AA276" s="20">
        <f t="shared" si="93"/>
        <v>0</v>
      </c>
      <c r="AB276" s="20">
        <f t="shared" si="94"/>
        <v>0</v>
      </c>
      <c r="AC276" s="20">
        <f t="shared" si="95"/>
        <v>0</v>
      </c>
      <c r="AD276" s="20">
        <f>IF(A276="",21/24,MOD(VLOOKUP(A276,Parámetros!$A$24:$B$25,2,TRUE()),1))</f>
        <v>0.875</v>
      </c>
      <c r="AE276" s="5">
        <f>IF(A276="",0,IF(OR(WEEKDAY(A276,2)=7,COUNTIF(Festivos!$A$5:$A$451,A276)&gt;0),1,0))</f>
        <v>0</v>
      </c>
      <c r="AF276" s="5">
        <f>IF(A276="",0,IF(OR(WEEKDAY(A276+1,2)=7,COUNTIF(Festivos!$A$5:$A$451,A276+1)&gt;0),1,0))</f>
        <v>0</v>
      </c>
      <c r="AG276" s="9">
        <f>IF(A276="",0,VLOOKUP(A276,Parámetros!$A$18:$B$21,2,TRUE()))</f>
        <v>0</v>
      </c>
      <c r="AH276" s="20">
        <f t="shared" si="96"/>
        <v>0</v>
      </c>
      <c r="AI276" s="20">
        <f>MAX(0,MIN(AB276,Parámetros!$B$11)-MAX(X276,0))+MAX(0,MIN(AB276,1+Parámetros!$B$11)-MAX(X276,AD276))+MAX(0,MIN(AB276,2)-MAX(X276,1+AD276))</f>
        <v>0</v>
      </c>
      <c r="AJ276" s="20">
        <f t="shared" si="97"/>
        <v>0</v>
      </c>
      <c r="AK276" s="20">
        <f>AE276*(MAX(0,MIN(AB276,Parámetros!$B$11)-MAX(X276,0))+MAX(0,MIN(AB276,1)-MAX(X276,AD276)))+AF276*(MAX(0,MIN(AB276,1+Parámetros!$B$11)-MAX(X276,1))+MAX(0,MIN(AB276,2)-MAX(X276,1+AD276)))</f>
        <v>0</v>
      </c>
      <c r="AL276" s="20">
        <f t="shared" si="98"/>
        <v>0</v>
      </c>
      <c r="AM276" s="20">
        <f>MAX(0,MIN(AC276,Parámetros!$B$11)-MAX(AB276,0))+MAX(0,MIN(AC276,1+Parámetros!$B$11)-MAX(AB276,AD276))+MAX(0,MIN(AC276,2)-MAX(AB276,1+AD276))</f>
        <v>0</v>
      </c>
      <c r="AN276" s="20">
        <f t="shared" si="99"/>
        <v>0</v>
      </c>
      <c r="AO276" s="20">
        <f>AE276*(MAX(0,MIN(AC276,Parámetros!$B$11)-MAX(AB276,0))+MAX(0,MIN(AC276,1)-MAX(AB276,AD276)))+AF276*(MAX(0,MIN(AC276,1+Parámetros!$B$11)-MAX(AB276,1))+MAX(0,MIN(AC276,2)-MAX(AB276,1+AD276)))</f>
        <v>0</v>
      </c>
    </row>
    <row r="277" spans="1:41" x14ac:dyDescent="0.25">
      <c r="A277" s="15"/>
      <c r="B277" s="8"/>
      <c r="C277" s="5" t="str">
        <f>IF(B277="","",IFERROR(INDEX(Trabajadores!$B$5:$B$204,MATCH(B277,Trabajadores!$A$5:$A$204,0)),"Cédula no registrada"))</f>
        <v/>
      </c>
      <c r="D277" s="11"/>
      <c r="E277" s="11"/>
      <c r="F277" s="8"/>
      <c r="G277" s="18" t="str">
        <f>IF(A277="","",IFERROR(INDEX(Trabajadores!$E$5:$E$204,MATCH(B277,Trabajadores!$A$5:$A$204,0))/Parámetros!$B$6,0)+IF(IFERROR(INDEX(Trabajadores!$E$5:$E$204,MATCH(B277,Trabajadores!$A$5:$A$204,0)),"")="",Parámetros!$B$7,0))</f>
        <v/>
      </c>
      <c r="H277" s="5" t="str">
        <f t="shared" si="80"/>
        <v/>
      </c>
      <c r="I277" s="5" t="str">
        <f>IF(A277="","",IF(COUNTIF(Festivos!$A$5:$A$451,A277)&gt;0,"Festivo",IF(WEEKDAY(A277,2)=7,"Domingo",IF(AND(AF277=1,AC277&gt;1),IF(COUNTIF(Festivos!$A$5:$A$451,A277+1)&gt;0,"Festivo","Domingo")&amp;" desde las 00:00",""))))</f>
        <v/>
      </c>
      <c r="J277" s="19" t="str">
        <f t="shared" si="81"/>
        <v/>
      </c>
      <c r="K277" s="19" t="str">
        <f t="shared" si="82"/>
        <v/>
      </c>
      <c r="L277" s="19" t="str">
        <f t="shared" si="83"/>
        <v/>
      </c>
      <c r="M277" s="19" t="str">
        <f t="shared" si="84"/>
        <v/>
      </c>
      <c r="N277" s="19" t="str">
        <f t="shared" si="85"/>
        <v/>
      </c>
      <c r="O277" s="19" t="str">
        <f t="shared" si="86"/>
        <v/>
      </c>
      <c r="P277" s="19" t="str">
        <f t="shared" si="87"/>
        <v/>
      </c>
      <c r="Q277" s="19" t="str">
        <f t="shared" si="88"/>
        <v/>
      </c>
      <c r="R277" s="19" t="str">
        <f t="shared" si="89"/>
        <v/>
      </c>
      <c r="S277" s="17" t="str">
        <f>IF(B277="","",IFERROR(INDEX(Trabajadores!$G$5:$G$204,MATCH(B277,Trabajadores!$A$5:$A$204,0)),""))</f>
        <v/>
      </c>
      <c r="T277" s="17" t="str">
        <f>IF(OR(OR(A277="",D277="",E277=""),S277=""),"",ROUND(S277*(N(L277)*Parámetros!$B$8+N(M277)*(1+Parámetros!$B$9)+N(N277)*(1+Parámetros!$B$10)+N(O277)*(1+AG277)+N(P277)*(1+AG277+Parámetros!$B$8)+N(Q277)*(1+AG277+Parámetros!$B$9)+N(R277)*(1+AG277+Parámetros!$B$10)),0))</f>
        <v/>
      </c>
      <c r="U277" s="5" t="str">
        <f>IF(OR(A277="",D277="",E277=""),"",IF(N(M277)+N(N277)+N(Q277)+N(R277)&gt;Parámetros!$B$12,"Supera el límite de horas extras diarias",IF(C277="Cédula no registrada","Registre la cédula en «Trabajadores»","")))</f>
        <v/>
      </c>
      <c r="X277" s="20">
        <f t="shared" si="90"/>
        <v>0</v>
      </c>
      <c r="Y277" s="20">
        <f t="shared" si="91"/>
        <v>0</v>
      </c>
      <c r="Z277" s="20">
        <f t="shared" si="92"/>
        <v>0</v>
      </c>
      <c r="AA277" s="20">
        <f t="shared" si="93"/>
        <v>0</v>
      </c>
      <c r="AB277" s="20">
        <f t="shared" si="94"/>
        <v>0</v>
      </c>
      <c r="AC277" s="20">
        <f t="shared" si="95"/>
        <v>0</v>
      </c>
      <c r="AD277" s="20">
        <f>IF(A277="",21/24,MOD(VLOOKUP(A277,Parámetros!$A$24:$B$25,2,TRUE()),1))</f>
        <v>0.875</v>
      </c>
      <c r="AE277" s="5">
        <f>IF(A277="",0,IF(OR(WEEKDAY(A277,2)=7,COUNTIF(Festivos!$A$5:$A$451,A277)&gt;0),1,0))</f>
        <v>0</v>
      </c>
      <c r="AF277" s="5">
        <f>IF(A277="",0,IF(OR(WEEKDAY(A277+1,2)=7,COUNTIF(Festivos!$A$5:$A$451,A277+1)&gt;0),1,0))</f>
        <v>0</v>
      </c>
      <c r="AG277" s="9">
        <f>IF(A277="",0,VLOOKUP(A277,Parámetros!$A$18:$B$21,2,TRUE()))</f>
        <v>0</v>
      </c>
      <c r="AH277" s="20">
        <f t="shared" si="96"/>
        <v>0</v>
      </c>
      <c r="AI277" s="20">
        <f>MAX(0,MIN(AB277,Parámetros!$B$11)-MAX(X277,0))+MAX(0,MIN(AB277,1+Parámetros!$B$11)-MAX(X277,AD277))+MAX(0,MIN(AB277,2)-MAX(X277,1+AD277))</f>
        <v>0</v>
      </c>
      <c r="AJ277" s="20">
        <f t="shared" si="97"/>
        <v>0</v>
      </c>
      <c r="AK277" s="20">
        <f>AE277*(MAX(0,MIN(AB277,Parámetros!$B$11)-MAX(X277,0))+MAX(0,MIN(AB277,1)-MAX(X277,AD277)))+AF277*(MAX(0,MIN(AB277,1+Parámetros!$B$11)-MAX(X277,1))+MAX(0,MIN(AB277,2)-MAX(X277,1+AD277)))</f>
        <v>0</v>
      </c>
      <c r="AL277" s="20">
        <f t="shared" si="98"/>
        <v>0</v>
      </c>
      <c r="AM277" s="20">
        <f>MAX(0,MIN(AC277,Parámetros!$B$11)-MAX(AB277,0))+MAX(0,MIN(AC277,1+Parámetros!$B$11)-MAX(AB277,AD277))+MAX(0,MIN(AC277,2)-MAX(AB277,1+AD277))</f>
        <v>0</v>
      </c>
      <c r="AN277" s="20">
        <f t="shared" si="99"/>
        <v>0</v>
      </c>
      <c r="AO277" s="20">
        <f>AE277*(MAX(0,MIN(AC277,Parámetros!$B$11)-MAX(AB277,0))+MAX(0,MIN(AC277,1)-MAX(AB277,AD277)))+AF277*(MAX(0,MIN(AC277,1+Parámetros!$B$11)-MAX(AB277,1))+MAX(0,MIN(AC277,2)-MAX(AB277,1+AD277)))</f>
        <v>0</v>
      </c>
    </row>
    <row r="278" spans="1:41" x14ac:dyDescent="0.25">
      <c r="A278" s="15"/>
      <c r="B278" s="8"/>
      <c r="C278" s="5" t="str">
        <f>IF(B278="","",IFERROR(INDEX(Trabajadores!$B$5:$B$204,MATCH(B278,Trabajadores!$A$5:$A$204,0)),"Cédula no registrada"))</f>
        <v/>
      </c>
      <c r="D278" s="11"/>
      <c r="E278" s="11"/>
      <c r="F278" s="8"/>
      <c r="G278" s="18" t="str">
        <f>IF(A278="","",IFERROR(INDEX(Trabajadores!$E$5:$E$204,MATCH(B278,Trabajadores!$A$5:$A$204,0))/Parámetros!$B$6,0)+IF(IFERROR(INDEX(Trabajadores!$E$5:$E$204,MATCH(B278,Trabajadores!$A$5:$A$204,0)),"")="",Parámetros!$B$7,0))</f>
        <v/>
      </c>
      <c r="H278" s="5" t="str">
        <f t="shared" si="80"/>
        <v/>
      </c>
      <c r="I278" s="5" t="str">
        <f>IF(A278="","",IF(COUNTIF(Festivos!$A$5:$A$451,A278)&gt;0,"Festivo",IF(WEEKDAY(A278,2)=7,"Domingo",IF(AND(AF278=1,AC278&gt;1),IF(COUNTIF(Festivos!$A$5:$A$451,A278+1)&gt;0,"Festivo","Domingo")&amp;" desde las 00:00",""))))</f>
        <v/>
      </c>
      <c r="J278" s="19" t="str">
        <f t="shared" si="81"/>
        <v/>
      </c>
      <c r="K278" s="19" t="str">
        <f t="shared" si="82"/>
        <v/>
      </c>
      <c r="L278" s="19" t="str">
        <f t="shared" si="83"/>
        <v/>
      </c>
      <c r="M278" s="19" t="str">
        <f t="shared" si="84"/>
        <v/>
      </c>
      <c r="N278" s="19" t="str">
        <f t="shared" si="85"/>
        <v/>
      </c>
      <c r="O278" s="19" t="str">
        <f t="shared" si="86"/>
        <v/>
      </c>
      <c r="P278" s="19" t="str">
        <f t="shared" si="87"/>
        <v/>
      </c>
      <c r="Q278" s="19" t="str">
        <f t="shared" si="88"/>
        <v/>
      </c>
      <c r="R278" s="19" t="str">
        <f t="shared" si="89"/>
        <v/>
      </c>
      <c r="S278" s="17" t="str">
        <f>IF(B278="","",IFERROR(INDEX(Trabajadores!$G$5:$G$204,MATCH(B278,Trabajadores!$A$5:$A$204,0)),""))</f>
        <v/>
      </c>
      <c r="T278" s="17" t="str">
        <f>IF(OR(OR(A278="",D278="",E278=""),S278=""),"",ROUND(S278*(N(L278)*Parámetros!$B$8+N(M278)*(1+Parámetros!$B$9)+N(N278)*(1+Parámetros!$B$10)+N(O278)*(1+AG278)+N(P278)*(1+AG278+Parámetros!$B$8)+N(Q278)*(1+AG278+Parámetros!$B$9)+N(R278)*(1+AG278+Parámetros!$B$10)),0))</f>
        <v/>
      </c>
      <c r="U278" s="5" t="str">
        <f>IF(OR(A278="",D278="",E278=""),"",IF(N(M278)+N(N278)+N(Q278)+N(R278)&gt;Parámetros!$B$12,"Supera el límite de horas extras diarias",IF(C278="Cédula no registrada","Registre la cédula en «Trabajadores»","")))</f>
        <v/>
      </c>
      <c r="X278" s="20">
        <f t="shared" si="90"/>
        <v>0</v>
      </c>
      <c r="Y278" s="20">
        <f t="shared" si="91"/>
        <v>0</v>
      </c>
      <c r="Z278" s="20">
        <f t="shared" si="92"/>
        <v>0</v>
      </c>
      <c r="AA278" s="20">
        <f t="shared" si="93"/>
        <v>0</v>
      </c>
      <c r="AB278" s="20">
        <f t="shared" si="94"/>
        <v>0</v>
      </c>
      <c r="AC278" s="20">
        <f t="shared" si="95"/>
        <v>0</v>
      </c>
      <c r="AD278" s="20">
        <f>IF(A278="",21/24,MOD(VLOOKUP(A278,Parámetros!$A$24:$B$25,2,TRUE()),1))</f>
        <v>0.875</v>
      </c>
      <c r="AE278" s="5">
        <f>IF(A278="",0,IF(OR(WEEKDAY(A278,2)=7,COUNTIF(Festivos!$A$5:$A$451,A278)&gt;0),1,0))</f>
        <v>0</v>
      </c>
      <c r="AF278" s="5">
        <f>IF(A278="",0,IF(OR(WEEKDAY(A278+1,2)=7,COUNTIF(Festivos!$A$5:$A$451,A278+1)&gt;0),1,0))</f>
        <v>0</v>
      </c>
      <c r="AG278" s="9">
        <f>IF(A278="",0,VLOOKUP(A278,Parámetros!$A$18:$B$21,2,TRUE()))</f>
        <v>0</v>
      </c>
      <c r="AH278" s="20">
        <f t="shared" si="96"/>
        <v>0</v>
      </c>
      <c r="AI278" s="20">
        <f>MAX(0,MIN(AB278,Parámetros!$B$11)-MAX(X278,0))+MAX(0,MIN(AB278,1+Parámetros!$B$11)-MAX(X278,AD278))+MAX(0,MIN(AB278,2)-MAX(X278,1+AD278))</f>
        <v>0</v>
      </c>
      <c r="AJ278" s="20">
        <f t="shared" si="97"/>
        <v>0</v>
      </c>
      <c r="AK278" s="20">
        <f>AE278*(MAX(0,MIN(AB278,Parámetros!$B$11)-MAX(X278,0))+MAX(0,MIN(AB278,1)-MAX(X278,AD278)))+AF278*(MAX(0,MIN(AB278,1+Parámetros!$B$11)-MAX(X278,1))+MAX(0,MIN(AB278,2)-MAX(X278,1+AD278)))</f>
        <v>0</v>
      </c>
      <c r="AL278" s="20">
        <f t="shared" si="98"/>
        <v>0</v>
      </c>
      <c r="AM278" s="20">
        <f>MAX(0,MIN(AC278,Parámetros!$B$11)-MAX(AB278,0))+MAX(0,MIN(AC278,1+Parámetros!$B$11)-MAX(AB278,AD278))+MAX(0,MIN(AC278,2)-MAX(AB278,1+AD278))</f>
        <v>0</v>
      </c>
      <c r="AN278" s="20">
        <f t="shared" si="99"/>
        <v>0</v>
      </c>
      <c r="AO278" s="20">
        <f>AE278*(MAX(0,MIN(AC278,Parámetros!$B$11)-MAX(AB278,0))+MAX(0,MIN(AC278,1)-MAX(AB278,AD278)))+AF278*(MAX(0,MIN(AC278,1+Parámetros!$B$11)-MAX(AB278,1))+MAX(0,MIN(AC278,2)-MAX(AB278,1+AD278)))</f>
        <v>0</v>
      </c>
    </row>
    <row r="279" spans="1:41" x14ac:dyDescent="0.25">
      <c r="A279" s="15"/>
      <c r="B279" s="8"/>
      <c r="C279" s="5" t="str">
        <f>IF(B279="","",IFERROR(INDEX(Trabajadores!$B$5:$B$204,MATCH(B279,Trabajadores!$A$5:$A$204,0)),"Cédula no registrada"))</f>
        <v/>
      </c>
      <c r="D279" s="11"/>
      <c r="E279" s="11"/>
      <c r="F279" s="8"/>
      <c r="G279" s="18" t="str">
        <f>IF(A279="","",IFERROR(INDEX(Trabajadores!$E$5:$E$204,MATCH(B279,Trabajadores!$A$5:$A$204,0))/Parámetros!$B$6,0)+IF(IFERROR(INDEX(Trabajadores!$E$5:$E$204,MATCH(B279,Trabajadores!$A$5:$A$204,0)),"")="",Parámetros!$B$7,0))</f>
        <v/>
      </c>
      <c r="H279" s="5" t="str">
        <f t="shared" si="80"/>
        <v/>
      </c>
      <c r="I279" s="5" t="str">
        <f>IF(A279="","",IF(COUNTIF(Festivos!$A$5:$A$451,A279)&gt;0,"Festivo",IF(WEEKDAY(A279,2)=7,"Domingo",IF(AND(AF279=1,AC279&gt;1),IF(COUNTIF(Festivos!$A$5:$A$451,A279+1)&gt;0,"Festivo","Domingo")&amp;" desde las 00:00",""))))</f>
        <v/>
      </c>
      <c r="J279" s="19" t="str">
        <f t="shared" si="81"/>
        <v/>
      </c>
      <c r="K279" s="19" t="str">
        <f t="shared" si="82"/>
        <v/>
      </c>
      <c r="L279" s="19" t="str">
        <f t="shared" si="83"/>
        <v/>
      </c>
      <c r="M279" s="19" t="str">
        <f t="shared" si="84"/>
        <v/>
      </c>
      <c r="N279" s="19" t="str">
        <f t="shared" si="85"/>
        <v/>
      </c>
      <c r="O279" s="19" t="str">
        <f t="shared" si="86"/>
        <v/>
      </c>
      <c r="P279" s="19" t="str">
        <f t="shared" si="87"/>
        <v/>
      </c>
      <c r="Q279" s="19" t="str">
        <f t="shared" si="88"/>
        <v/>
      </c>
      <c r="R279" s="19" t="str">
        <f t="shared" si="89"/>
        <v/>
      </c>
      <c r="S279" s="17" t="str">
        <f>IF(B279="","",IFERROR(INDEX(Trabajadores!$G$5:$G$204,MATCH(B279,Trabajadores!$A$5:$A$204,0)),""))</f>
        <v/>
      </c>
      <c r="T279" s="17" t="str">
        <f>IF(OR(OR(A279="",D279="",E279=""),S279=""),"",ROUND(S279*(N(L279)*Parámetros!$B$8+N(M279)*(1+Parámetros!$B$9)+N(N279)*(1+Parámetros!$B$10)+N(O279)*(1+AG279)+N(P279)*(1+AG279+Parámetros!$B$8)+N(Q279)*(1+AG279+Parámetros!$B$9)+N(R279)*(1+AG279+Parámetros!$B$10)),0))</f>
        <v/>
      </c>
      <c r="U279" s="5" t="str">
        <f>IF(OR(A279="",D279="",E279=""),"",IF(N(M279)+N(N279)+N(Q279)+N(R279)&gt;Parámetros!$B$12,"Supera el límite de horas extras diarias",IF(C279="Cédula no registrada","Registre la cédula en «Trabajadores»","")))</f>
        <v/>
      </c>
      <c r="X279" s="20">
        <f t="shared" si="90"/>
        <v>0</v>
      </c>
      <c r="Y279" s="20">
        <f t="shared" si="91"/>
        <v>0</v>
      </c>
      <c r="Z279" s="20">
        <f t="shared" si="92"/>
        <v>0</v>
      </c>
      <c r="AA279" s="20">
        <f t="shared" si="93"/>
        <v>0</v>
      </c>
      <c r="AB279" s="20">
        <f t="shared" si="94"/>
        <v>0</v>
      </c>
      <c r="AC279" s="20">
        <f t="shared" si="95"/>
        <v>0</v>
      </c>
      <c r="AD279" s="20">
        <f>IF(A279="",21/24,MOD(VLOOKUP(A279,Parámetros!$A$24:$B$25,2,TRUE()),1))</f>
        <v>0.875</v>
      </c>
      <c r="AE279" s="5">
        <f>IF(A279="",0,IF(OR(WEEKDAY(A279,2)=7,COUNTIF(Festivos!$A$5:$A$451,A279)&gt;0),1,0))</f>
        <v>0</v>
      </c>
      <c r="AF279" s="5">
        <f>IF(A279="",0,IF(OR(WEEKDAY(A279+1,2)=7,COUNTIF(Festivos!$A$5:$A$451,A279+1)&gt;0),1,0))</f>
        <v>0</v>
      </c>
      <c r="AG279" s="9">
        <f>IF(A279="",0,VLOOKUP(A279,Parámetros!$A$18:$B$21,2,TRUE()))</f>
        <v>0</v>
      </c>
      <c r="AH279" s="20">
        <f t="shared" si="96"/>
        <v>0</v>
      </c>
      <c r="AI279" s="20">
        <f>MAX(0,MIN(AB279,Parámetros!$B$11)-MAX(X279,0))+MAX(0,MIN(AB279,1+Parámetros!$B$11)-MAX(X279,AD279))+MAX(0,MIN(AB279,2)-MAX(X279,1+AD279))</f>
        <v>0</v>
      </c>
      <c r="AJ279" s="20">
        <f t="shared" si="97"/>
        <v>0</v>
      </c>
      <c r="AK279" s="20">
        <f>AE279*(MAX(0,MIN(AB279,Parámetros!$B$11)-MAX(X279,0))+MAX(0,MIN(AB279,1)-MAX(X279,AD279)))+AF279*(MAX(0,MIN(AB279,1+Parámetros!$B$11)-MAX(X279,1))+MAX(0,MIN(AB279,2)-MAX(X279,1+AD279)))</f>
        <v>0</v>
      </c>
      <c r="AL279" s="20">
        <f t="shared" si="98"/>
        <v>0</v>
      </c>
      <c r="AM279" s="20">
        <f>MAX(0,MIN(AC279,Parámetros!$B$11)-MAX(AB279,0))+MAX(0,MIN(AC279,1+Parámetros!$B$11)-MAX(AB279,AD279))+MAX(0,MIN(AC279,2)-MAX(AB279,1+AD279))</f>
        <v>0</v>
      </c>
      <c r="AN279" s="20">
        <f t="shared" si="99"/>
        <v>0</v>
      </c>
      <c r="AO279" s="20">
        <f>AE279*(MAX(0,MIN(AC279,Parámetros!$B$11)-MAX(AB279,0))+MAX(0,MIN(AC279,1)-MAX(AB279,AD279)))+AF279*(MAX(0,MIN(AC279,1+Parámetros!$B$11)-MAX(AB279,1))+MAX(0,MIN(AC279,2)-MAX(AB279,1+AD279)))</f>
        <v>0</v>
      </c>
    </row>
    <row r="280" spans="1:41" x14ac:dyDescent="0.25">
      <c r="A280" s="15"/>
      <c r="B280" s="8"/>
      <c r="C280" s="5" t="str">
        <f>IF(B280="","",IFERROR(INDEX(Trabajadores!$B$5:$B$204,MATCH(B280,Trabajadores!$A$5:$A$204,0)),"Cédula no registrada"))</f>
        <v/>
      </c>
      <c r="D280" s="11"/>
      <c r="E280" s="11"/>
      <c r="F280" s="8"/>
      <c r="G280" s="18" t="str">
        <f>IF(A280="","",IFERROR(INDEX(Trabajadores!$E$5:$E$204,MATCH(B280,Trabajadores!$A$5:$A$204,0))/Parámetros!$B$6,0)+IF(IFERROR(INDEX(Trabajadores!$E$5:$E$204,MATCH(B280,Trabajadores!$A$5:$A$204,0)),"")="",Parámetros!$B$7,0))</f>
        <v/>
      </c>
      <c r="H280" s="5" t="str">
        <f t="shared" si="80"/>
        <v/>
      </c>
      <c r="I280" s="5" t="str">
        <f>IF(A280="","",IF(COUNTIF(Festivos!$A$5:$A$451,A280)&gt;0,"Festivo",IF(WEEKDAY(A280,2)=7,"Domingo",IF(AND(AF280=1,AC280&gt;1),IF(COUNTIF(Festivos!$A$5:$A$451,A280+1)&gt;0,"Festivo","Domingo")&amp;" desde las 00:00",""))))</f>
        <v/>
      </c>
      <c r="J280" s="19" t="str">
        <f t="shared" si="81"/>
        <v/>
      </c>
      <c r="K280" s="19" t="str">
        <f t="shared" si="82"/>
        <v/>
      </c>
      <c r="L280" s="19" t="str">
        <f t="shared" si="83"/>
        <v/>
      </c>
      <c r="M280" s="19" t="str">
        <f t="shared" si="84"/>
        <v/>
      </c>
      <c r="N280" s="19" t="str">
        <f t="shared" si="85"/>
        <v/>
      </c>
      <c r="O280" s="19" t="str">
        <f t="shared" si="86"/>
        <v/>
      </c>
      <c r="P280" s="19" t="str">
        <f t="shared" si="87"/>
        <v/>
      </c>
      <c r="Q280" s="19" t="str">
        <f t="shared" si="88"/>
        <v/>
      </c>
      <c r="R280" s="19" t="str">
        <f t="shared" si="89"/>
        <v/>
      </c>
      <c r="S280" s="17" t="str">
        <f>IF(B280="","",IFERROR(INDEX(Trabajadores!$G$5:$G$204,MATCH(B280,Trabajadores!$A$5:$A$204,0)),""))</f>
        <v/>
      </c>
      <c r="T280" s="17" t="str">
        <f>IF(OR(OR(A280="",D280="",E280=""),S280=""),"",ROUND(S280*(N(L280)*Parámetros!$B$8+N(M280)*(1+Parámetros!$B$9)+N(N280)*(1+Parámetros!$B$10)+N(O280)*(1+AG280)+N(P280)*(1+AG280+Parámetros!$B$8)+N(Q280)*(1+AG280+Parámetros!$B$9)+N(R280)*(1+AG280+Parámetros!$B$10)),0))</f>
        <v/>
      </c>
      <c r="U280" s="5" t="str">
        <f>IF(OR(A280="",D280="",E280=""),"",IF(N(M280)+N(N280)+N(Q280)+N(R280)&gt;Parámetros!$B$12,"Supera el límite de horas extras diarias",IF(C280="Cédula no registrada","Registre la cédula en «Trabajadores»","")))</f>
        <v/>
      </c>
      <c r="X280" s="20">
        <f t="shared" si="90"/>
        <v>0</v>
      </c>
      <c r="Y280" s="20">
        <f t="shared" si="91"/>
        <v>0</v>
      </c>
      <c r="Z280" s="20">
        <f t="shared" si="92"/>
        <v>0</v>
      </c>
      <c r="AA280" s="20">
        <f t="shared" si="93"/>
        <v>0</v>
      </c>
      <c r="AB280" s="20">
        <f t="shared" si="94"/>
        <v>0</v>
      </c>
      <c r="AC280" s="20">
        <f t="shared" si="95"/>
        <v>0</v>
      </c>
      <c r="AD280" s="20">
        <f>IF(A280="",21/24,MOD(VLOOKUP(A280,Parámetros!$A$24:$B$25,2,TRUE()),1))</f>
        <v>0.875</v>
      </c>
      <c r="AE280" s="5">
        <f>IF(A280="",0,IF(OR(WEEKDAY(A280,2)=7,COUNTIF(Festivos!$A$5:$A$451,A280)&gt;0),1,0))</f>
        <v>0</v>
      </c>
      <c r="AF280" s="5">
        <f>IF(A280="",0,IF(OR(WEEKDAY(A280+1,2)=7,COUNTIF(Festivos!$A$5:$A$451,A280+1)&gt;0),1,0))</f>
        <v>0</v>
      </c>
      <c r="AG280" s="9">
        <f>IF(A280="",0,VLOOKUP(A280,Parámetros!$A$18:$B$21,2,TRUE()))</f>
        <v>0</v>
      </c>
      <c r="AH280" s="20">
        <f t="shared" si="96"/>
        <v>0</v>
      </c>
      <c r="AI280" s="20">
        <f>MAX(0,MIN(AB280,Parámetros!$B$11)-MAX(X280,0))+MAX(0,MIN(AB280,1+Parámetros!$B$11)-MAX(X280,AD280))+MAX(0,MIN(AB280,2)-MAX(X280,1+AD280))</f>
        <v>0</v>
      </c>
      <c r="AJ280" s="20">
        <f t="shared" si="97"/>
        <v>0</v>
      </c>
      <c r="AK280" s="20">
        <f>AE280*(MAX(0,MIN(AB280,Parámetros!$B$11)-MAX(X280,0))+MAX(0,MIN(AB280,1)-MAX(X280,AD280)))+AF280*(MAX(0,MIN(AB280,1+Parámetros!$B$11)-MAX(X280,1))+MAX(0,MIN(AB280,2)-MAX(X280,1+AD280)))</f>
        <v>0</v>
      </c>
      <c r="AL280" s="20">
        <f t="shared" si="98"/>
        <v>0</v>
      </c>
      <c r="AM280" s="20">
        <f>MAX(0,MIN(AC280,Parámetros!$B$11)-MAX(AB280,0))+MAX(0,MIN(AC280,1+Parámetros!$B$11)-MAX(AB280,AD280))+MAX(0,MIN(AC280,2)-MAX(AB280,1+AD280))</f>
        <v>0</v>
      </c>
      <c r="AN280" s="20">
        <f t="shared" si="99"/>
        <v>0</v>
      </c>
      <c r="AO280" s="20">
        <f>AE280*(MAX(0,MIN(AC280,Parámetros!$B$11)-MAX(AB280,0))+MAX(0,MIN(AC280,1)-MAX(AB280,AD280)))+AF280*(MAX(0,MIN(AC280,1+Parámetros!$B$11)-MAX(AB280,1))+MAX(0,MIN(AC280,2)-MAX(AB280,1+AD280)))</f>
        <v>0</v>
      </c>
    </row>
    <row r="281" spans="1:41" x14ac:dyDescent="0.25">
      <c r="A281" s="15"/>
      <c r="B281" s="8"/>
      <c r="C281" s="5" t="str">
        <f>IF(B281="","",IFERROR(INDEX(Trabajadores!$B$5:$B$204,MATCH(B281,Trabajadores!$A$5:$A$204,0)),"Cédula no registrada"))</f>
        <v/>
      </c>
      <c r="D281" s="11"/>
      <c r="E281" s="11"/>
      <c r="F281" s="8"/>
      <c r="G281" s="18" t="str">
        <f>IF(A281="","",IFERROR(INDEX(Trabajadores!$E$5:$E$204,MATCH(B281,Trabajadores!$A$5:$A$204,0))/Parámetros!$B$6,0)+IF(IFERROR(INDEX(Trabajadores!$E$5:$E$204,MATCH(B281,Trabajadores!$A$5:$A$204,0)),"")="",Parámetros!$B$7,0))</f>
        <v/>
      </c>
      <c r="H281" s="5" t="str">
        <f t="shared" si="80"/>
        <v/>
      </c>
      <c r="I281" s="5" t="str">
        <f>IF(A281="","",IF(COUNTIF(Festivos!$A$5:$A$451,A281)&gt;0,"Festivo",IF(WEEKDAY(A281,2)=7,"Domingo",IF(AND(AF281=1,AC281&gt;1),IF(COUNTIF(Festivos!$A$5:$A$451,A281+1)&gt;0,"Festivo","Domingo")&amp;" desde las 00:00",""))))</f>
        <v/>
      </c>
      <c r="J281" s="19" t="str">
        <f t="shared" si="81"/>
        <v/>
      </c>
      <c r="K281" s="19" t="str">
        <f t="shared" si="82"/>
        <v/>
      </c>
      <c r="L281" s="19" t="str">
        <f t="shared" si="83"/>
        <v/>
      </c>
      <c r="M281" s="19" t="str">
        <f t="shared" si="84"/>
        <v/>
      </c>
      <c r="N281" s="19" t="str">
        <f t="shared" si="85"/>
        <v/>
      </c>
      <c r="O281" s="19" t="str">
        <f t="shared" si="86"/>
        <v/>
      </c>
      <c r="P281" s="19" t="str">
        <f t="shared" si="87"/>
        <v/>
      </c>
      <c r="Q281" s="19" t="str">
        <f t="shared" si="88"/>
        <v/>
      </c>
      <c r="R281" s="19" t="str">
        <f t="shared" si="89"/>
        <v/>
      </c>
      <c r="S281" s="17" t="str">
        <f>IF(B281="","",IFERROR(INDEX(Trabajadores!$G$5:$G$204,MATCH(B281,Trabajadores!$A$5:$A$204,0)),""))</f>
        <v/>
      </c>
      <c r="T281" s="17" t="str">
        <f>IF(OR(OR(A281="",D281="",E281=""),S281=""),"",ROUND(S281*(N(L281)*Parámetros!$B$8+N(M281)*(1+Parámetros!$B$9)+N(N281)*(1+Parámetros!$B$10)+N(O281)*(1+AG281)+N(P281)*(1+AG281+Parámetros!$B$8)+N(Q281)*(1+AG281+Parámetros!$B$9)+N(R281)*(1+AG281+Parámetros!$B$10)),0))</f>
        <v/>
      </c>
      <c r="U281" s="5" t="str">
        <f>IF(OR(A281="",D281="",E281=""),"",IF(N(M281)+N(N281)+N(Q281)+N(R281)&gt;Parámetros!$B$12,"Supera el límite de horas extras diarias",IF(C281="Cédula no registrada","Registre la cédula en «Trabajadores»","")))</f>
        <v/>
      </c>
      <c r="X281" s="20">
        <f t="shared" si="90"/>
        <v>0</v>
      </c>
      <c r="Y281" s="20">
        <f t="shared" si="91"/>
        <v>0</v>
      </c>
      <c r="Z281" s="20">
        <f t="shared" si="92"/>
        <v>0</v>
      </c>
      <c r="AA281" s="20">
        <f t="shared" si="93"/>
        <v>0</v>
      </c>
      <c r="AB281" s="20">
        <f t="shared" si="94"/>
        <v>0</v>
      </c>
      <c r="AC281" s="20">
        <f t="shared" si="95"/>
        <v>0</v>
      </c>
      <c r="AD281" s="20">
        <f>IF(A281="",21/24,MOD(VLOOKUP(A281,Parámetros!$A$24:$B$25,2,TRUE()),1))</f>
        <v>0.875</v>
      </c>
      <c r="AE281" s="5">
        <f>IF(A281="",0,IF(OR(WEEKDAY(A281,2)=7,COUNTIF(Festivos!$A$5:$A$451,A281)&gt;0),1,0))</f>
        <v>0</v>
      </c>
      <c r="AF281" s="5">
        <f>IF(A281="",0,IF(OR(WEEKDAY(A281+1,2)=7,COUNTIF(Festivos!$A$5:$A$451,A281+1)&gt;0),1,0))</f>
        <v>0</v>
      </c>
      <c r="AG281" s="9">
        <f>IF(A281="",0,VLOOKUP(A281,Parámetros!$A$18:$B$21,2,TRUE()))</f>
        <v>0</v>
      </c>
      <c r="AH281" s="20">
        <f t="shared" si="96"/>
        <v>0</v>
      </c>
      <c r="AI281" s="20">
        <f>MAX(0,MIN(AB281,Parámetros!$B$11)-MAX(X281,0))+MAX(0,MIN(AB281,1+Parámetros!$B$11)-MAX(X281,AD281))+MAX(0,MIN(AB281,2)-MAX(X281,1+AD281))</f>
        <v>0</v>
      </c>
      <c r="AJ281" s="20">
        <f t="shared" si="97"/>
        <v>0</v>
      </c>
      <c r="AK281" s="20">
        <f>AE281*(MAX(0,MIN(AB281,Parámetros!$B$11)-MAX(X281,0))+MAX(0,MIN(AB281,1)-MAX(X281,AD281)))+AF281*(MAX(0,MIN(AB281,1+Parámetros!$B$11)-MAX(X281,1))+MAX(0,MIN(AB281,2)-MAX(X281,1+AD281)))</f>
        <v>0</v>
      </c>
      <c r="AL281" s="20">
        <f t="shared" si="98"/>
        <v>0</v>
      </c>
      <c r="AM281" s="20">
        <f>MAX(0,MIN(AC281,Parámetros!$B$11)-MAX(AB281,0))+MAX(0,MIN(AC281,1+Parámetros!$B$11)-MAX(AB281,AD281))+MAX(0,MIN(AC281,2)-MAX(AB281,1+AD281))</f>
        <v>0</v>
      </c>
      <c r="AN281" s="20">
        <f t="shared" si="99"/>
        <v>0</v>
      </c>
      <c r="AO281" s="20">
        <f>AE281*(MAX(0,MIN(AC281,Parámetros!$B$11)-MAX(AB281,0))+MAX(0,MIN(AC281,1)-MAX(AB281,AD281)))+AF281*(MAX(0,MIN(AC281,1+Parámetros!$B$11)-MAX(AB281,1))+MAX(0,MIN(AC281,2)-MAX(AB281,1+AD281)))</f>
        <v>0</v>
      </c>
    </row>
    <row r="282" spans="1:41" x14ac:dyDescent="0.25">
      <c r="A282" s="15"/>
      <c r="B282" s="8"/>
      <c r="C282" s="5" t="str">
        <f>IF(B282="","",IFERROR(INDEX(Trabajadores!$B$5:$B$204,MATCH(B282,Trabajadores!$A$5:$A$204,0)),"Cédula no registrada"))</f>
        <v/>
      </c>
      <c r="D282" s="11"/>
      <c r="E282" s="11"/>
      <c r="F282" s="8"/>
      <c r="G282" s="18" t="str">
        <f>IF(A282="","",IFERROR(INDEX(Trabajadores!$E$5:$E$204,MATCH(B282,Trabajadores!$A$5:$A$204,0))/Parámetros!$B$6,0)+IF(IFERROR(INDEX(Trabajadores!$E$5:$E$204,MATCH(B282,Trabajadores!$A$5:$A$204,0)),"")="",Parámetros!$B$7,0))</f>
        <v/>
      </c>
      <c r="H282" s="5" t="str">
        <f t="shared" si="80"/>
        <v/>
      </c>
      <c r="I282" s="5" t="str">
        <f>IF(A282="","",IF(COUNTIF(Festivos!$A$5:$A$451,A282)&gt;0,"Festivo",IF(WEEKDAY(A282,2)=7,"Domingo",IF(AND(AF282=1,AC282&gt;1),IF(COUNTIF(Festivos!$A$5:$A$451,A282+1)&gt;0,"Festivo","Domingo")&amp;" desde las 00:00",""))))</f>
        <v/>
      </c>
      <c r="J282" s="19" t="str">
        <f t="shared" si="81"/>
        <v/>
      </c>
      <c r="K282" s="19" t="str">
        <f t="shared" si="82"/>
        <v/>
      </c>
      <c r="L282" s="19" t="str">
        <f t="shared" si="83"/>
        <v/>
      </c>
      <c r="M282" s="19" t="str">
        <f t="shared" si="84"/>
        <v/>
      </c>
      <c r="N282" s="19" t="str">
        <f t="shared" si="85"/>
        <v/>
      </c>
      <c r="O282" s="19" t="str">
        <f t="shared" si="86"/>
        <v/>
      </c>
      <c r="P282" s="19" t="str">
        <f t="shared" si="87"/>
        <v/>
      </c>
      <c r="Q282" s="19" t="str">
        <f t="shared" si="88"/>
        <v/>
      </c>
      <c r="R282" s="19" t="str">
        <f t="shared" si="89"/>
        <v/>
      </c>
      <c r="S282" s="17" t="str">
        <f>IF(B282="","",IFERROR(INDEX(Trabajadores!$G$5:$G$204,MATCH(B282,Trabajadores!$A$5:$A$204,0)),""))</f>
        <v/>
      </c>
      <c r="T282" s="17" t="str">
        <f>IF(OR(OR(A282="",D282="",E282=""),S282=""),"",ROUND(S282*(N(L282)*Parámetros!$B$8+N(M282)*(1+Parámetros!$B$9)+N(N282)*(1+Parámetros!$B$10)+N(O282)*(1+AG282)+N(P282)*(1+AG282+Parámetros!$B$8)+N(Q282)*(1+AG282+Parámetros!$B$9)+N(R282)*(1+AG282+Parámetros!$B$10)),0))</f>
        <v/>
      </c>
      <c r="U282" s="5" t="str">
        <f>IF(OR(A282="",D282="",E282=""),"",IF(N(M282)+N(N282)+N(Q282)+N(R282)&gt;Parámetros!$B$12,"Supera el límite de horas extras diarias",IF(C282="Cédula no registrada","Registre la cédula en «Trabajadores»","")))</f>
        <v/>
      </c>
      <c r="X282" s="20">
        <f t="shared" si="90"/>
        <v>0</v>
      </c>
      <c r="Y282" s="20">
        <f t="shared" si="91"/>
        <v>0</v>
      </c>
      <c r="Z282" s="20">
        <f t="shared" si="92"/>
        <v>0</v>
      </c>
      <c r="AA282" s="20">
        <f t="shared" si="93"/>
        <v>0</v>
      </c>
      <c r="AB282" s="20">
        <f t="shared" si="94"/>
        <v>0</v>
      </c>
      <c r="AC282" s="20">
        <f t="shared" si="95"/>
        <v>0</v>
      </c>
      <c r="AD282" s="20">
        <f>IF(A282="",21/24,MOD(VLOOKUP(A282,Parámetros!$A$24:$B$25,2,TRUE()),1))</f>
        <v>0.875</v>
      </c>
      <c r="AE282" s="5">
        <f>IF(A282="",0,IF(OR(WEEKDAY(A282,2)=7,COUNTIF(Festivos!$A$5:$A$451,A282)&gt;0),1,0))</f>
        <v>0</v>
      </c>
      <c r="AF282" s="5">
        <f>IF(A282="",0,IF(OR(WEEKDAY(A282+1,2)=7,COUNTIF(Festivos!$A$5:$A$451,A282+1)&gt;0),1,0))</f>
        <v>0</v>
      </c>
      <c r="AG282" s="9">
        <f>IF(A282="",0,VLOOKUP(A282,Parámetros!$A$18:$B$21,2,TRUE()))</f>
        <v>0</v>
      </c>
      <c r="AH282" s="20">
        <f t="shared" si="96"/>
        <v>0</v>
      </c>
      <c r="AI282" s="20">
        <f>MAX(0,MIN(AB282,Parámetros!$B$11)-MAX(X282,0))+MAX(0,MIN(AB282,1+Parámetros!$B$11)-MAX(X282,AD282))+MAX(0,MIN(AB282,2)-MAX(X282,1+AD282))</f>
        <v>0</v>
      </c>
      <c r="AJ282" s="20">
        <f t="shared" si="97"/>
        <v>0</v>
      </c>
      <c r="AK282" s="20">
        <f>AE282*(MAX(0,MIN(AB282,Parámetros!$B$11)-MAX(X282,0))+MAX(0,MIN(AB282,1)-MAX(X282,AD282)))+AF282*(MAX(0,MIN(AB282,1+Parámetros!$B$11)-MAX(X282,1))+MAX(0,MIN(AB282,2)-MAX(X282,1+AD282)))</f>
        <v>0</v>
      </c>
      <c r="AL282" s="20">
        <f t="shared" si="98"/>
        <v>0</v>
      </c>
      <c r="AM282" s="20">
        <f>MAX(0,MIN(AC282,Parámetros!$B$11)-MAX(AB282,0))+MAX(0,MIN(AC282,1+Parámetros!$B$11)-MAX(AB282,AD282))+MAX(0,MIN(AC282,2)-MAX(AB282,1+AD282))</f>
        <v>0</v>
      </c>
      <c r="AN282" s="20">
        <f t="shared" si="99"/>
        <v>0</v>
      </c>
      <c r="AO282" s="20">
        <f>AE282*(MAX(0,MIN(AC282,Parámetros!$B$11)-MAX(AB282,0))+MAX(0,MIN(AC282,1)-MAX(AB282,AD282)))+AF282*(MAX(0,MIN(AC282,1+Parámetros!$B$11)-MAX(AB282,1))+MAX(0,MIN(AC282,2)-MAX(AB282,1+AD282)))</f>
        <v>0</v>
      </c>
    </row>
    <row r="283" spans="1:41" x14ac:dyDescent="0.25">
      <c r="A283" s="15"/>
      <c r="B283" s="8"/>
      <c r="C283" s="5" t="str">
        <f>IF(B283="","",IFERROR(INDEX(Trabajadores!$B$5:$B$204,MATCH(B283,Trabajadores!$A$5:$A$204,0)),"Cédula no registrada"))</f>
        <v/>
      </c>
      <c r="D283" s="11"/>
      <c r="E283" s="11"/>
      <c r="F283" s="8"/>
      <c r="G283" s="18" t="str">
        <f>IF(A283="","",IFERROR(INDEX(Trabajadores!$E$5:$E$204,MATCH(B283,Trabajadores!$A$5:$A$204,0))/Parámetros!$B$6,0)+IF(IFERROR(INDEX(Trabajadores!$E$5:$E$204,MATCH(B283,Trabajadores!$A$5:$A$204,0)),"")="",Parámetros!$B$7,0))</f>
        <v/>
      </c>
      <c r="H283" s="5" t="str">
        <f t="shared" si="80"/>
        <v/>
      </c>
      <c r="I283" s="5" t="str">
        <f>IF(A283="","",IF(COUNTIF(Festivos!$A$5:$A$451,A283)&gt;0,"Festivo",IF(WEEKDAY(A283,2)=7,"Domingo",IF(AND(AF283=1,AC283&gt;1),IF(COUNTIF(Festivos!$A$5:$A$451,A283+1)&gt;0,"Festivo","Domingo")&amp;" desde las 00:00",""))))</f>
        <v/>
      </c>
      <c r="J283" s="19" t="str">
        <f t="shared" si="81"/>
        <v/>
      </c>
      <c r="K283" s="19" t="str">
        <f t="shared" si="82"/>
        <v/>
      </c>
      <c r="L283" s="19" t="str">
        <f t="shared" si="83"/>
        <v/>
      </c>
      <c r="M283" s="19" t="str">
        <f t="shared" si="84"/>
        <v/>
      </c>
      <c r="N283" s="19" t="str">
        <f t="shared" si="85"/>
        <v/>
      </c>
      <c r="O283" s="19" t="str">
        <f t="shared" si="86"/>
        <v/>
      </c>
      <c r="P283" s="19" t="str">
        <f t="shared" si="87"/>
        <v/>
      </c>
      <c r="Q283" s="19" t="str">
        <f t="shared" si="88"/>
        <v/>
      </c>
      <c r="R283" s="19" t="str">
        <f t="shared" si="89"/>
        <v/>
      </c>
      <c r="S283" s="17" t="str">
        <f>IF(B283="","",IFERROR(INDEX(Trabajadores!$G$5:$G$204,MATCH(B283,Trabajadores!$A$5:$A$204,0)),""))</f>
        <v/>
      </c>
      <c r="T283" s="17" t="str">
        <f>IF(OR(OR(A283="",D283="",E283=""),S283=""),"",ROUND(S283*(N(L283)*Parámetros!$B$8+N(M283)*(1+Parámetros!$B$9)+N(N283)*(1+Parámetros!$B$10)+N(O283)*(1+AG283)+N(P283)*(1+AG283+Parámetros!$B$8)+N(Q283)*(1+AG283+Parámetros!$B$9)+N(R283)*(1+AG283+Parámetros!$B$10)),0))</f>
        <v/>
      </c>
      <c r="U283" s="5" t="str">
        <f>IF(OR(A283="",D283="",E283=""),"",IF(N(M283)+N(N283)+N(Q283)+N(R283)&gt;Parámetros!$B$12,"Supera el límite de horas extras diarias",IF(C283="Cédula no registrada","Registre la cédula en «Trabajadores»","")))</f>
        <v/>
      </c>
      <c r="X283" s="20">
        <f t="shared" si="90"/>
        <v>0</v>
      </c>
      <c r="Y283" s="20">
        <f t="shared" si="91"/>
        <v>0</v>
      </c>
      <c r="Z283" s="20">
        <f t="shared" si="92"/>
        <v>0</v>
      </c>
      <c r="AA283" s="20">
        <f t="shared" si="93"/>
        <v>0</v>
      </c>
      <c r="AB283" s="20">
        <f t="shared" si="94"/>
        <v>0</v>
      </c>
      <c r="AC283" s="20">
        <f t="shared" si="95"/>
        <v>0</v>
      </c>
      <c r="AD283" s="20">
        <f>IF(A283="",21/24,MOD(VLOOKUP(A283,Parámetros!$A$24:$B$25,2,TRUE()),1))</f>
        <v>0.875</v>
      </c>
      <c r="AE283" s="5">
        <f>IF(A283="",0,IF(OR(WEEKDAY(A283,2)=7,COUNTIF(Festivos!$A$5:$A$451,A283)&gt;0),1,0))</f>
        <v>0</v>
      </c>
      <c r="AF283" s="5">
        <f>IF(A283="",0,IF(OR(WEEKDAY(A283+1,2)=7,COUNTIF(Festivos!$A$5:$A$451,A283+1)&gt;0),1,0))</f>
        <v>0</v>
      </c>
      <c r="AG283" s="9">
        <f>IF(A283="",0,VLOOKUP(A283,Parámetros!$A$18:$B$21,2,TRUE()))</f>
        <v>0</v>
      </c>
      <c r="AH283" s="20">
        <f t="shared" si="96"/>
        <v>0</v>
      </c>
      <c r="AI283" s="20">
        <f>MAX(0,MIN(AB283,Parámetros!$B$11)-MAX(X283,0))+MAX(0,MIN(AB283,1+Parámetros!$B$11)-MAX(X283,AD283))+MAX(0,MIN(AB283,2)-MAX(X283,1+AD283))</f>
        <v>0</v>
      </c>
      <c r="AJ283" s="20">
        <f t="shared" si="97"/>
        <v>0</v>
      </c>
      <c r="AK283" s="20">
        <f>AE283*(MAX(0,MIN(AB283,Parámetros!$B$11)-MAX(X283,0))+MAX(0,MIN(AB283,1)-MAX(X283,AD283)))+AF283*(MAX(0,MIN(AB283,1+Parámetros!$B$11)-MAX(X283,1))+MAX(0,MIN(AB283,2)-MAX(X283,1+AD283)))</f>
        <v>0</v>
      </c>
      <c r="AL283" s="20">
        <f t="shared" si="98"/>
        <v>0</v>
      </c>
      <c r="AM283" s="20">
        <f>MAX(0,MIN(AC283,Parámetros!$B$11)-MAX(AB283,0))+MAX(0,MIN(AC283,1+Parámetros!$B$11)-MAX(AB283,AD283))+MAX(0,MIN(AC283,2)-MAX(AB283,1+AD283))</f>
        <v>0</v>
      </c>
      <c r="AN283" s="20">
        <f t="shared" si="99"/>
        <v>0</v>
      </c>
      <c r="AO283" s="20">
        <f>AE283*(MAX(0,MIN(AC283,Parámetros!$B$11)-MAX(AB283,0))+MAX(0,MIN(AC283,1)-MAX(AB283,AD283)))+AF283*(MAX(0,MIN(AC283,1+Parámetros!$B$11)-MAX(AB283,1))+MAX(0,MIN(AC283,2)-MAX(AB283,1+AD283)))</f>
        <v>0</v>
      </c>
    </row>
    <row r="284" spans="1:41" x14ac:dyDescent="0.25">
      <c r="A284" s="15"/>
      <c r="B284" s="8"/>
      <c r="C284" s="5" t="str">
        <f>IF(B284="","",IFERROR(INDEX(Trabajadores!$B$5:$B$204,MATCH(B284,Trabajadores!$A$5:$A$204,0)),"Cédula no registrada"))</f>
        <v/>
      </c>
      <c r="D284" s="11"/>
      <c r="E284" s="11"/>
      <c r="F284" s="8"/>
      <c r="G284" s="18" t="str">
        <f>IF(A284="","",IFERROR(INDEX(Trabajadores!$E$5:$E$204,MATCH(B284,Trabajadores!$A$5:$A$204,0))/Parámetros!$B$6,0)+IF(IFERROR(INDEX(Trabajadores!$E$5:$E$204,MATCH(B284,Trabajadores!$A$5:$A$204,0)),"")="",Parámetros!$B$7,0))</f>
        <v/>
      </c>
      <c r="H284" s="5" t="str">
        <f t="shared" si="80"/>
        <v/>
      </c>
      <c r="I284" s="5" t="str">
        <f>IF(A284="","",IF(COUNTIF(Festivos!$A$5:$A$451,A284)&gt;0,"Festivo",IF(WEEKDAY(A284,2)=7,"Domingo",IF(AND(AF284=1,AC284&gt;1),IF(COUNTIF(Festivos!$A$5:$A$451,A284+1)&gt;0,"Festivo","Domingo")&amp;" desde las 00:00",""))))</f>
        <v/>
      </c>
      <c r="J284" s="19" t="str">
        <f t="shared" si="81"/>
        <v/>
      </c>
      <c r="K284" s="19" t="str">
        <f t="shared" si="82"/>
        <v/>
      </c>
      <c r="L284" s="19" t="str">
        <f t="shared" si="83"/>
        <v/>
      </c>
      <c r="M284" s="19" t="str">
        <f t="shared" si="84"/>
        <v/>
      </c>
      <c r="N284" s="19" t="str">
        <f t="shared" si="85"/>
        <v/>
      </c>
      <c r="O284" s="19" t="str">
        <f t="shared" si="86"/>
        <v/>
      </c>
      <c r="P284" s="19" t="str">
        <f t="shared" si="87"/>
        <v/>
      </c>
      <c r="Q284" s="19" t="str">
        <f t="shared" si="88"/>
        <v/>
      </c>
      <c r="R284" s="19" t="str">
        <f t="shared" si="89"/>
        <v/>
      </c>
      <c r="S284" s="17" t="str">
        <f>IF(B284="","",IFERROR(INDEX(Trabajadores!$G$5:$G$204,MATCH(B284,Trabajadores!$A$5:$A$204,0)),""))</f>
        <v/>
      </c>
      <c r="T284" s="17" t="str">
        <f>IF(OR(OR(A284="",D284="",E284=""),S284=""),"",ROUND(S284*(N(L284)*Parámetros!$B$8+N(M284)*(1+Parámetros!$B$9)+N(N284)*(1+Parámetros!$B$10)+N(O284)*(1+AG284)+N(P284)*(1+AG284+Parámetros!$B$8)+N(Q284)*(1+AG284+Parámetros!$B$9)+N(R284)*(1+AG284+Parámetros!$B$10)),0))</f>
        <v/>
      </c>
      <c r="U284" s="5" t="str">
        <f>IF(OR(A284="",D284="",E284=""),"",IF(N(M284)+N(N284)+N(Q284)+N(R284)&gt;Parámetros!$B$12,"Supera el límite de horas extras diarias",IF(C284="Cédula no registrada","Registre la cédula en «Trabajadores»","")))</f>
        <v/>
      </c>
      <c r="X284" s="20">
        <f t="shared" si="90"/>
        <v>0</v>
      </c>
      <c r="Y284" s="20">
        <f t="shared" si="91"/>
        <v>0</v>
      </c>
      <c r="Z284" s="20">
        <f t="shared" si="92"/>
        <v>0</v>
      </c>
      <c r="AA284" s="20">
        <f t="shared" si="93"/>
        <v>0</v>
      </c>
      <c r="AB284" s="20">
        <f t="shared" si="94"/>
        <v>0</v>
      </c>
      <c r="AC284" s="20">
        <f t="shared" si="95"/>
        <v>0</v>
      </c>
      <c r="AD284" s="20">
        <f>IF(A284="",21/24,MOD(VLOOKUP(A284,Parámetros!$A$24:$B$25,2,TRUE()),1))</f>
        <v>0.875</v>
      </c>
      <c r="AE284" s="5">
        <f>IF(A284="",0,IF(OR(WEEKDAY(A284,2)=7,COUNTIF(Festivos!$A$5:$A$451,A284)&gt;0),1,0))</f>
        <v>0</v>
      </c>
      <c r="AF284" s="5">
        <f>IF(A284="",0,IF(OR(WEEKDAY(A284+1,2)=7,COUNTIF(Festivos!$A$5:$A$451,A284+1)&gt;0),1,0))</f>
        <v>0</v>
      </c>
      <c r="AG284" s="9">
        <f>IF(A284="",0,VLOOKUP(A284,Parámetros!$A$18:$B$21,2,TRUE()))</f>
        <v>0</v>
      </c>
      <c r="AH284" s="20">
        <f t="shared" si="96"/>
        <v>0</v>
      </c>
      <c r="AI284" s="20">
        <f>MAX(0,MIN(AB284,Parámetros!$B$11)-MAX(X284,0))+MAX(0,MIN(AB284,1+Parámetros!$B$11)-MAX(X284,AD284))+MAX(0,MIN(AB284,2)-MAX(X284,1+AD284))</f>
        <v>0</v>
      </c>
      <c r="AJ284" s="20">
        <f t="shared" si="97"/>
        <v>0</v>
      </c>
      <c r="AK284" s="20">
        <f>AE284*(MAX(0,MIN(AB284,Parámetros!$B$11)-MAX(X284,0))+MAX(0,MIN(AB284,1)-MAX(X284,AD284)))+AF284*(MAX(0,MIN(AB284,1+Parámetros!$B$11)-MAX(X284,1))+MAX(0,MIN(AB284,2)-MAX(X284,1+AD284)))</f>
        <v>0</v>
      </c>
      <c r="AL284" s="20">
        <f t="shared" si="98"/>
        <v>0</v>
      </c>
      <c r="AM284" s="20">
        <f>MAX(0,MIN(AC284,Parámetros!$B$11)-MAX(AB284,0))+MAX(0,MIN(AC284,1+Parámetros!$B$11)-MAX(AB284,AD284))+MAX(0,MIN(AC284,2)-MAX(AB284,1+AD284))</f>
        <v>0</v>
      </c>
      <c r="AN284" s="20">
        <f t="shared" si="99"/>
        <v>0</v>
      </c>
      <c r="AO284" s="20">
        <f>AE284*(MAX(0,MIN(AC284,Parámetros!$B$11)-MAX(AB284,0))+MAX(0,MIN(AC284,1)-MAX(AB284,AD284)))+AF284*(MAX(0,MIN(AC284,1+Parámetros!$B$11)-MAX(AB284,1))+MAX(0,MIN(AC284,2)-MAX(AB284,1+AD284)))</f>
        <v>0</v>
      </c>
    </row>
    <row r="285" spans="1:41" x14ac:dyDescent="0.25">
      <c r="A285" s="15"/>
      <c r="B285" s="8"/>
      <c r="C285" s="5" t="str">
        <f>IF(B285="","",IFERROR(INDEX(Trabajadores!$B$5:$B$204,MATCH(B285,Trabajadores!$A$5:$A$204,0)),"Cédula no registrada"))</f>
        <v/>
      </c>
      <c r="D285" s="11"/>
      <c r="E285" s="11"/>
      <c r="F285" s="8"/>
      <c r="G285" s="18" t="str">
        <f>IF(A285="","",IFERROR(INDEX(Trabajadores!$E$5:$E$204,MATCH(B285,Trabajadores!$A$5:$A$204,0))/Parámetros!$B$6,0)+IF(IFERROR(INDEX(Trabajadores!$E$5:$E$204,MATCH(B285,Trabajadores!$A$5:$A$204,0)),"")="",Parámetros!$B$7,0))</f>
        <v/>
      </c>
      <c r="H285" s="5" t="str">
        <f t="shared" si="80"/>
        <v/>
      </c>
      <c r="I285" s="5" t="str">
        <f>IF(A285="","",IF(COUNTIF(Festivos!$A$5:$A$451,A285)&gt;0,"Festivo",IF(WEEKDAY(A285,2)=7,"Domingo",IF(AND(AF285=1,AC285&gt;1),IF(COUNTIF(Festivos!$A$5:$A$451,A285+1)&gt;0,"Festivo","Domingo")&amp;" desde las 00:00",""))))</f>
        <v/>
      </c>
      <c r="J285" s="19" t="str">
        <f t="shared" si="81"/>
        <v/>
      </c>
      <c r="K285" s="19" t="str">
        <f t="shared" si="82"/>
        <v/>
      </c>
      <c r="L285" s="19" t="str">
        <f t="shared" si="83"/>
        <v/>
      </c>
      <c r="M285" s="19" t="str">
        <f t="shared" si="84"/>
        <v/>
      </c>
      <c r="N285" s="19" t="str">
        <f t="shared" si="85"/>
        <v/>
      </c>
      <c r="O285" s="19" t="str">
        <f t="shared" si="86"/>
        <v/>
      </c>
      <c r="P285" s="19" t="str">
        <f t="shared" si="87"/>
        <v/>
      </c>
      <c r="Q285" s="19" t="str">
        <f t="shared" si="88"/>
        <v/>
      </c>
      <c r="R285" s="19" t="str">
        <f t="shared" si="89"/>
        <v/>
      </c>
      <c r="S285" s="17" t="str">
        <f>IF(B285="","",IFERROR(INDEX(Trabajadores!$G$5:$G$204,MATCH(B285,Trabajadores!$A$5:$A$204,0)),""))</f>
        <v/>
      </c>
      <c r="T285" s="17" t="str">
        <f>IF(OR(OR(A285="",D285="",E285=""),S285=""),"",ROUND(S285*(N(L285)*Parámetros!$B$8+N(M285)*(1+Parámetros!$B$9)+N(N285)*(1+Parámetros!$B$10)+N(O285)*(1+AG285)+N(P285)*(1+AG285+Parámetros!$B$8)+N(Q285)*(1+AG285+Parámetros!$B$9)+N(R285)*(1+AG285+Parámetros!$B$10)),0))</f>
        <v/>
      </c>
      <c r="U285" s="5" t="str">
        <f>IF(OR(A285="",D285="",E285=""),"",IF(N(M285)+N(N285)+N(Q285)+N(R285)&gt;Parámetros!$B$12,"Supera el límite de horas extras diarias",IF(C285="Cédula no registrada","Registre la cédula en «Trabajadores»","")))</f>
        <v/>
      </c>
      <c r="X285" s="20">
        <f t="shared" si="90"/>
        <v>0</v>
      </c>
      <c r="Y285" s="20">
        <f t="shared" si="91"/>
        <v>0</v>
      </c>
      <c r="Z285" s="20">
        <f t="shared" si="92"/>
        <v>0</v>
      </c>
      <c r="AA285" s="20">
        <f t="shared" si="93"/>
        <v>0</v>
      </c>
      <c r="AB285" s="20">
        <f t="shared" si="94"/>
        <v>0</v>
      </c>
      <c r="AC285" s="20">
        <f t="shared" si="95"/>
        <v>0</v>
      </c>
      <c r="AD285" s="20">
        <f>IF(A285="",21/24,MOD(VLOOKUP(A285,Parámetros!$A$24:$B$25,2,TRUE()),1))</f>
        <v>0.875</v>
      </c>
      <c r="AE285" s="5">
        <f>IF(A285="",0,IF(OR(WEEKDAY(A285,2)=7,COUNTIF(Festivos!$A$5:$A$451,A285)&gt;0),1,0))</f>
        <v>0</v>
      </c>
      <c r="AF285" s="5">
        <f>IF(A285="",0,IF(OR(WEEKDAY(A285+1,2)=7,COUNTIF(Festivos!$A$5:$A$451,A285+1)&gt;0),1,0))</f>
        <v>0</v>
      </c>
      <c r="AG285" s="9">
        <f>IF(A285="",0,VLOOKUP(A285,Parámetros!$A$18:$B$21,2,TRUE()))</f>
        <v>0</v>
      </c>
      <c r="AH285" s="20">
        <f t="shared" si="96"/>
        <v>0</v>
      </c>
      <c r="AI285" s="20">
        <f>MAX(0,MIN(AB285,Parámetros!$B$11)-MAX(X285,0))+MAX(0,MIN(AB285,1+Parámetros!$B$11)-MAX(X285,AD285))+MAX(0,MIN(AB285,2)-MAX(X285,1+AD285))</f>
        <v>0</v>
      </c>
      <c r="AJ285" s="20">
        <f t="shared" si="97"/>
        <v>0</v>
      </c>
      <c r="AK285" s="20">
        <f>AE285*(MAX(0,MIN(AB285,Parámetros!$B$11)-MAX(X285,0))+MAX(0,MIN(AB285,1)-MAX(X285,AD285)))+AF285*(MAX(0,MIN(AB285,1+Parámetros!$B$11)-MAX(X285,1))+MAX(0,MIN(AB285,2)-MAX(X285,1+AD285)))</f>
        <v>0</v>
      </c>
      <c r="AL285" s="20">
        <f t="shared" si="98"/>
        <v>0</v>
      </c>
      <c r="AM285" s="20">
        <f>MAX(0,MIN(AC285,Parámetros!$B$11)-MAX(AB285,0))+MAX(0,MIN(AC285,1+Parámetros!$B$11)-MAX(AB285,AD285))+MAX(0,MIN(AC285,2)-MAX(AB285,1+AD285))</f>
        <v>0</v>
      </c>
      <c r="AN285" s="20">
        <f t="shared" si="99"/>
        <v>0</v>
      </c>
      <c r="AO285" s="20">
        <f>AE285*(MAX(0,MIN(AC285,Parámetros!$B$11)-MAX(AB285,0))+MAX(0,MIN(AC285,1)-MAX(AB285,AD285)))+AF285*(MAX(0,MIN(AC285,1+Parámetros!$B$11)-MAX(AB285,1))+MAX(0,MIN(AC285,2)-MAX(AB285,1+AD285)))</f>
        <v>0</v>
      </c>
    </row>
    <row r="286" spans="1:41" x14ac:dyDescent="0.25">
      <c r="A286" s="15"/>
      <c r="B286" s="8"/>
      <c r="C286" s="5" t="str">
        <f>IF(B286="","",IFERROR(INDEX(Trabajadores!$B$5:$B$204,MATCH(B286,Trabajadores!$A$5:$A$204,0)),"Cédula no registrada"))</f>
        <v/>
      </c>
      <c r="D286" s="11"/>
      <c r="E286" s="11"/>
      <c r="F286" s="8"/>
      <c r="G286" s="18" t="str">
        <f>IF(A286="","",IFERROR(INDEX(Trabajadores!$E$5:$E$204,MATCH(B286,Trabajadores!$A$5:$A$204,0))/Parámetros!$B$6,0)+IF(IFERROR(INDEX(Trabajadores!$E$5:$E$204,MATCH(B286,Trabajadores!$A$5:$A$204,0)),"")="",Parámetros!$B$7,0))</f>
        <v/>
      </c>
      <c r="H286" s="5" t="str">
        <f t="shared" si="80"/>
        <v/>
      </c>
      <c r="I286" s="5" t="str">
        <f>IF(A286="","",IF(COUNTIF(Festivos!$A$5:$A$451,A286)&gt;0,"Festivo",IF(WEEKDAY(A286,2)=7,"Domingo",IF(AND(AF286=1,AC286&gt;1),IF(COUNTIF(Festivos!$A$5:$A$451,A286+1)&gt;0,"Festivo","Domingo")&amp;" desde las 00:00",""))))</f>
        <v/>
      </c>
      <c r="J286" s="19" t="str">
        <f t="shared" si="81"/>
        <v/>
      </c>
      <c r="K286" s="19" t="str">
        <f t="shared" si="82"/>
        <v/>
      </c>
      <c r="L286" s="19" t="str">
        <f t="shared" si="83"/>
        <v/>
      </c>
      <c r="M286" s="19" t="str">
        <f t="shared" si="84"/>
        <v/>
      </c>
      <c r="N286" s="19" t="str">
        <f t="shared" si="85"/>
        <v/>
      </c>
      <c r="O286" s="19" t="str">
        <f t="shared" si="86"/>
        <v/>
      </c>
      <c r="P286" s="19" t="str">
        <f t="shared" si="87"/>
        <v/>
      </c>
      <c r="Q286" s="19" t="str">
        <f t="shared" si="88"/>
        <v/>
      </c>
      <c r="R286" s="19" t="str">
        <f t="shared" si="89"/>
        <v/>
      </c>
      <c r="S286" s="17" t="str">
        <f>IF(B286="","",IFERROR(INDEX(Trabajadores!$G$5:$G$204,MATCH(B286,Trabajadores!$A$5:$A$204,0)),""))</f>
        <v/>
      </c>
      <c r="T286" s="17" t="str">
        <f>IF(OR(OR(A286="",D286="",E286=""),S286=""),"",ROUND(S286*(N(L286)*Parámetros!$B$8+N(M286)*(1+Parámetros!$B$9)+N(N286)*(1+Parámetros!$B$10)+N(O286)*(1+AG286)+N(P286)*(1+AG286+Parámetros!$B$8)+N(Q286)*(1+AG286+Parámetros!$B$9)+N(R286)*(1+AG286+Parámetros!$B$10)),0))</f>
        <v/>
      </c>
      <c r="U286" s="5" t="str">
        <f>IF(OR(A286="",D286="",E286=""),"",IF(N(M286)+N(N286)+N(Q286)+N(R286)&gt;Parámetros!$B$12,"Supera el límite de horas extras diarias",IF(C286="Cédula no registrada","Registre la cédula en «Trabajadores»","")))</f>
        <v/>
      </c>
      <c r="X286" s="20">
        <f t="shared" si="90"/>
        <v>0</v>
      </c>
      <c r="Y286" s="20">
        <f t="shared" si="91"/>
        <v>0</v>
      </c>
      <c r="Z286" s="20">
        <f t="shared" si="92"/>
        <v>0</v>
      </c>
      <c r="AA286" s="20">
        <f t="shared" si="93"/>
        <v>0</v>
      </c>
      <c r="AB286" s="20">
        <f t="shared" si="94"/>
        <v>0</v>
      </c>
      <c r="AC286" s="20">
        <f t="shared" si="95"/>
        <v>0</v>
      </c>
      <c r="AD286" s="20">
        <f>IF(A286="",21/24,MOD(VLOOKUP(A286,Parámetros!$A$24:$B$25,2,TRUE()),1))</f>
        <v>0.875</v>
      </c>
      <c r="AE286" s="5">
        <f>IF(A286="",0,IF(OR(WEEKDAY(A286,2)=7,COUNTIF(Festivos!$A$5:$A$451,A286)&gt;0),1,0))</f>
        <v>0</v>
      </c>
      <c r="AF286" s="5">
        <f>IF(A286="",0,IF(OR(WEEKDAY(A286+1,2)=7,COUNTIF(Festivos!$A$5:$A$451,A286+1)&gt;0),1,0))</f>
        <v>0</v>
      </c>
      <c r="AG286" s="9">
        <f>IF(A286="",0,VLOOKUP(A286,Parámetros!$A$18:$B$21,2,TRUE()))</f>
        <v>0</v>
      </c>
      <c r="AH286" s="20">
        <f t="shared" si="96"/>
        <v>0</v>
      </c>
      <c r="AI286" s="20">
        <f>MAX(0,MIN(AB286,Parámetros!$B$11)-MAX(X286,0))+MAX(0,MIN(AB286,1+Parámetros!$B$11)-MAX(X286,AD286))+MAX(0,MIN(AB286,2)-MAX(X286,1+AD286))</f>
        <v>0</v>
      </c>
      <c r="AJ286" s="20">
        <f t="shared" si="97"/>
        <v>0</v>
      </c>
      <c r="AK286" s="20">
        <f>AE286*(MAX(0,MIN(AB286,Parámetros!$B$11)-MAX(X286,0))+MAX(0,MIN(AB286,1)-MAX(X286,AD286)))+AF286*(MAX(0,MIN(AB286,1+Parámetros!$B$11)-MAX(X286,1))+MAX(0,MIN(AB286,2)-MAX(X286,1+AD286)))</f>
        <v>0</v>
      </c>
      <c r="AL286" s="20">
        <f t="shared" si="98"/>
        <v>0</v>
      </c>
      <c r="AM286" s="20">
        <f>MAX(0,MIN(AC286,Parámetros!$B$11)-MAX(AB286,0))+MAX(0,MIN(AC286,1+Parámetros!$B$11)-MAX(AB286,AD286))+MAX(0,MIN(AC286,2)-MAX(AB286,1+AD286))</f>
        <v>0</v>
      </c>
      <c r="AN286" s="20">
        <f t="shared" si="99"/>
        <v>0</v>
      </c>
      <c r="AO286" s="20">
        <f>AE286*(MAX(0,MIN(AC286,Parámetros!$B$11)-MAX(AB286,0))+MAX(0,MIN(AC286,1)-MAX(AB286,AD286)))+AF286*(MAX(0,MIN(AC286,1+Parámetros!$B$11)-MAX(AB286,1))+MAX(0,MIN(AC286,2)-MAX(AB286,1+AD286)))</f>
        <v>0</v>
      </c>
    </row>
    <row r="287" spans="1:41" x14ac:dyDescent="0.25">
      <c r="A287" s="15"/>
      <c r="B287" s="8"/>
      <c r="C287" s="5" t="str">
        <f>IF(B287="","",IFERROR(INDEX(Trabajadores!$B$5:$B$204,MATCH(B287,Trabajadores!$A$5:$A$204,0)),"Cédula no registrada"))</f>
        <v/>
      </c>
      <c r="D287" s="11"/>
      <c r="E287" s="11"/>
      <c r="F287" s="8"/>
      <c r="G287" s="18" t="str">
        <f>IF(A287="","",IFERROR(INDEX(Trabajadores!$E$5:$E$204,MATCH(B287,Trabajadores!$A$5:$A$204,0))/Parámetros!$B$6,0)+IF(IFERROR(INDEX(Trabajadores!$E$5:$E$204,MATCH(B287,Trabajadores!$A$5:$A$204,0)),"")="",Parámetros!$B$7,0))</f>
        <v/>
      </c>
      <c r="H287" s="5" t="str">
        <f t="shared" si="80"/>
        <v/>
      </c>
      <c r="I287" s="5" t="str">
        <f>IF(A287="","",IF(COUNTIF(Festivos!$A$5:$A$451,A287)&gt;0,"Festivo",IF(WEEKDAY(A287,2)=7,"Domingo",IF(AND(AF287=1,AC287&gt;1),IF(COUNTIF(Festivos!$A$5:$A$451,A287+1)&gt;0,"Festivo","Domingo")&amp;" desde las 00:00",""))))</f>
        <v/>
      </c>
      <c r="J287" s="19" t="str">
        <f t="shared" si="81"/>
        <v/>
      </c>
      <c r="K287" s="19" t="str">
        <f t="shared" si="82"/>
        <v/>
      </c>
      <c r="L287" s="19" t="str">
        <f t="shared" si="83"/>
        <v/>
      </c>
      <c r="M287" s="19" t="str">
        <f t="shared" si="84"/>
        <v/>
      </c>
      <c r="N287" s="19" t="str">
        <f t="shared" si="85"/>
        <v/>
      </c>
      <c r="O287" s="19" t="str">
        <f t="shared" si="86"/>
        <v/>
      </c>
      <c r="P287" s="19" t="str">
        <f t="shared" si="87"/>
        <v/>
      </c>
      <c r="Q287" s="19" t="str">
        <f t="shared" si="88"/>
        <v/>
      </c>
      <c r="R287" s="19" t="str">
        <f t="shared" si="89"/>
        <v/>
      </c>
      <c r="S287" s="17" t="str">
        <f>IF(B287="","",IFERROR(INDEX(Trabajadores!$G$5:$G$204,MATCH(B287,Trabajadores!$A$5:$A$204,0)),""))</f>
        <v/>
      </c>
      <c r="T287" s="17" t="str">
        <f>IF(OR(OR(A287="",D287="",E287=""),S287=""),"",ROUND(S287*(N(L287)*Parámetros!$B$8+N(M287)*(1+Parámetros!$B$9)+N(N287)*(1+Parámetros!$B$10)+N(O287)*(1+AG287)+N(P287)*(1+AG287+Parámetros!$B$8)+N(Q287)*(1+AG287+Parámetros!$B$9)+N(R287)*(1+AG287+Parámetros!$B$10)),0))</f>
        <v/>
      </c>
      <c r="U287" s="5" t="str">
        <f>IF(OR(A287="",D287="",E287=""),"",IF(N(M287)+N(N287)+N(Q287)+N(R287)&gt;Parámetros!$B$12,"Supera el límite de horas extras diarias",IF(C287="Cédula no registrada","Registre la cédula en «Trabajadores»","")))</f>
        <v/>
      </c>
      <c r="X287" s="20">
        <f t="shared" si="90"/>
        <v>0</v>
      </c>
      <c r="Y287" s="20">
        <f t="shared" si="91"/>
        <v>0</v>
      </c>
      <c r="Z287" s="20">
        <f t="shared" si="92"/>
        <v>0</v>
      </c>
      <c r="AA287" s="20">
        <f t="shared" si="93"/>
        <v>0</v>
      </c>
      <c r="AB287" s="20">
        <f t="shared" si="94"/>
        <v>0</v>
      </c>
      <c r="AC287" s="20">
        <f t="shared" si="95"/>
        <v>0</v>
      </c>
      <c r="AD287" s="20">
        <f>IF(A287="",21/24,MOD(VLOOKUP(A287,Parámetros!$A$24:$B$25,2,TRUE()),1))</f>
        <v>0.875</v>
      </c>
      <c r="AE287" s="5">
        <f>IF(A287="",0,IF(OR(WEEKDAY(A287,2)=7,COUNTIF(Festivos!$A$5:$A$451,A287)&gt;0),1,0))</f>
        <v>0</v>
      </c>
      <c r="AF287" s="5">
        <f>IF(A287="",0,IF(OR(WEEKDAY(A287+1,2)=7,COUNTIF(Festivos!$A$5:$A$451,A287+1)&gt;0),1,0))</f>
        <v>0</v>
      </c>
      <c r="AG287" s="9">
        <f>IF(A287="",0,VLOOKUP(A287,Parámetros!$A$18:$B$21,2,TRUE()))</f>
        <v>0</v>
      </c>
      <c r="AH287" s="20">
        <f t="shared" si="96"/>
        <v>0</v>
      </c>
      <c r="AI287" s="20">
        <f>MAX(0,MIN(AB287,Parámetros!$B$11)-MAX(X287,0))+MAX(0,MIN(AB287,1+Parámetros!$B$11)-MAX(X287,AD287))+MAX(0,MIN(AB287,2)-MAX(X287,1+AD287))</f>
        <v>0</v>
      </c>
      <c r="AJ287" s="20">
        <f t="shared" si="97"/>
        <v>0</v>
      </c>
      <c r="AK287" s="20">
        <f>AE287*(MAX(0,MIN(AB287,Parámetros!$B$11)-MAX(X287,0))+MAX(0,MIN(AB287,1)-MAX(X287,AD287)))+AF287*(MAX(0,MIN(AB287,1+Parámetros!$B$11)-MAX(X287,1))+MAX(0,MIN(AB287,2)-MAX(X287,1+AD287)))</f>
        <v>0</v>
      </c>
      <c r="AL287" s="20">
        <f t="shared" si="98"/>
        <v>0</v>
      </c>
      <c r="AM287" s="20">
        <f>MAX(0,MIN(AC287,Parámetros!$B$11)-MAX(AB287,0))+MAX(0,MIN(AC287,1+Parámetros!$B$11)-MAX(AB287,AD287))+MAX(0,MIN(AC287,2)-MAX(AB287,1+AD287))</f>
        <v>0</v>
      </c>
      <c r="AN287" s="20">
        <f t="shared" si="99"/>
        <v>0</v>
      </c>
      <c r="AO287" s="20">
        <f>AE287*(MAX(0,MIN(AC287,Parámetros!$B$11)-MAX(AB287,0))+MAX(0,MIN(AC287,1)-MAX(AB287,AD287)))+AF287*(MAX(0,MIN(AC287,1+Parámetros!$B$11)-MAX(AB287,1))+MAX(0,MIN(AC287,2)-MAX(AB287,1+AD287)))</f>
        <v>0</v>
      </c>
    </row>
    <row r="288" spans="1:41" x14ac:dyDescent="0.25">
      <c r="A288" s="15"/>
      <c r="B288" s="8"/>
      <c r="C288" s="5" t="str">
        <f>IF(B288="","",IFERROR(INDEX(Trabajadores!$B$5:$B$204,MATCH(B288,Trabajadores!$A$5:$A$204,0)),"Cédula no registrada"))</f>
        <v/>
      </c>
      <c r="D288" s="11"/>
      <c r="E288" s="11"/>
      <c r="F288" s="8"/>
      <c r="G288" s="18" t="str">
        <f>IF(A288="","",IFERROR(INDEX(Trabajadores!$E$5:$E$204,MATCH(B288,Trabajadores!$A$5:$A$204,0))/Parámetros!$B$6,0)+IF(IFERROR(INDEX(Trabajadores!$E$5:$E$204,MATCH(B288,Trabajadores!$A$5:$A$204,0)),"")="",Parámetros!$B$7,0))</f>
        <v/>
      </c>
      <c r="H288" s="5" t="str">
        <f t="shared" si="80"/>
        <v/>
      </c>
      <c r="I288" s="5" t="str">
        <f>IF(A288="","",IF(COUNTIF(Festivos!$A$5:$A$451,A288)&gt;0,"Festivo",IF(WEEKDAY(A288,2)=7,"Domingo",IF(AND(AF288=1,AC288&gt;1),IF(COUNTIF(Festivos!$A$5:$A$451,A288+1)&gt;0,"Festivo","Domingo")&amp;" desde las 00:00",""))))</f>
        <v/>
      </c>
      <c r="J288" s="19" t="str">
        <f t="shared" si="81"/>
        <v/>
      </c>
      <c r="K288" s="19" t="str">
        <f t="shared" si="82"/>
        <v/>
      </c>
      <c r="L288" s="19" t="str">
        <f t="shared" si="83"/>
        <v/>
      </c>
      <c r="M288" s="19" t="str">
        <f t="shared" si="84"/>
        <v/>
      </c>
      <c r="N288" s="19" t="str">
        <f t="shared" si="85"/>
        <v/>
      </c>
      <c r="O288" s="19" t="str">
        <f t="shared" si="86"/>
        <v/>
      </c>
      <c r="P288" s="19" t="str">
        <f t="shared" si="87"/>
        <v/>
      </c>
      <c r="Q288" s="19" t="str">
        <f t="shared" si="88"/>
        <v/>
      </c>
      <c r="R288" s="19" t="str">
        <f t="shared" si="89"/>
        <v/>
      </c>
      <c r="S288" s="17" t="str">
        <f>IF(B288="","",IFERROR(INDEX(Trabajadores!$G$5:$G$204,MATCH(B288,Trabajadores!$A$5:$A$204,0)),""))</f>
        <v/>
      </c>
      <c r="T288" s="17" t="str">
        <f>IF(OR(OR(A288="",D288="",E288=""),S288=""),"",ROUND(S288*(N(L288)*Parámetros!$B$8+N(M288)*(1+Parámetros!$B$9)+N(N288)*(1+Parámetros!$B$10)+N(O288)*(1+AG288)+N(P288)*(1+AG288+Parámetros!$B$8)+N(Q288)*(1+AG288+Parámetros!$B$9)+N(R288)*(1+AG288+Parámetros!$B$10)),0))</f>
        <v/>
      </c>
      <c r="U288" s="5" t="str">
        <f>IF(OR(A288="",D288="",E288=""),"",IF(N(M288)+N(N288)+N(Q288)+N(R288)&gt;Parámetros!$B$12,"Supera el límite de horas extras diarias",IF(C288="Cédula no registrada","Registre la cédula en «Trabajadores»","")))</f>
        <v/>
      </c>
      <c r="X288" s="20">
        <f t="shared" si="90"/>
        <v>0</v>
      </c>
      <c r="Y288" s="20">
        <f t="shared" si="91"/>
        <v>0</v>
      </c>
      <c r="Z288" s="20">
        <f t="shared" si="92"/>
        <v>0</v>
      </c>
      <c r="AA288" s="20">
        <f t="shared" si="93"/>
        <v>0</v>
      </c>
      <c r="AB288" s="20">
        <f t="shared" si="94"/>
        <v>0</v>
      </c>
      <c r="AC288" s="20">
        <f t="shared" si="95"/>
        <v>0</v>
      </c>
      <c r="AD288" s="20">
        <f>IF(A288="",21/24,MOD(VLOOKUP(A288,Parámetros!$A$24:$B$25,2,TRUE()),1))</f>
        <v>0.875</v>
      </c>
      <c r="AE288" s="5">
        <f>IF(A288="",0,IF(OR(WEEKDAY(A288,2)=7,COUNTIF(Festivos!$A$5:$A$451,A288)&gt;0),1,0))</f>
        <v>0</v>
      </c>
      <c r="AF288" s="5">
        <f>IF(A288="",0,IF(OR(WEEKDAY(A288+1,2)=7,COUNTIF(Festivos!$A$5:$A$451,A288+1)&gt;0),1,0))</f>
        <v>0</v>
      </c>
      <c r="AG288" s="9">
        <f>IF(A288="",0,VLOOKUP(A288,Parámetros!$A$18:$B$21,2,TRUE()))</f>
        <v>0</v>
      </c>
      <c r="AH288" s="20">
        <f t="shared" si="96"/>
        <v>0</v>
      </c>
      <c r="AI288" s="20">
        <f>MAX(0,MIN(AB288,Parámetros!$B$11)-MAX(X288,0))+MAX(0,MIN(AB288,1+Parámetros!$B$11)-MAX(X288,AD288))+MAX(0,MIN(AB288,2)-MAX(X288,1+AD288))</f>
        <v>0</v>
      </c>
      <c r="AJ288" s="20">
        <f t="shared" si="97"/>
        <v>0</v>
      </c>
      <c r="AK288" s="20">
        <f>AE288*(MAX(0,MIN(AB288,Parámetros!$B$11)-MAX(X288,0))+MAX(0,MIN(AB288,1)-MAX(X288,AD288)))+AF288*(MAX(0,MIN(AB288,1+Parámetros!$B$11)-MAX(X288,1))+MAX(0,MIN(AB288,2)-MAX(X288,1+AD288)))</f>
        <v>0</v>
      </c>
      <c r="AL288" s="20">
        <f t="shared" si="98"/>
        <v>0</v>
      </c>
      <c r="AM288" s="20">
        <f>MAX(0,MIN(AC288,Parámetros!$B$11)-MAX(AB288,0))+MAX(0,MIN(AC288,1+Parámetros!$B$11)-MAX(AB288,AD288))+MAX(0,MIN(AC288,2)-MAX(AB288,1+AD288))</f>
        <v>0</v>
      </c>
      <c r="AN288" s="20">
        <f t="shared" si="99"/>
        <v>0</v>
      </c>
      <c r="AO288" s="20">
        <f>AE288*(MAX(0,MIN(AC288,Parámetros!$B$11)-MAX(AB288,0))+MAX(0,MIN(AC288,1)-MAX(AB288,AD288)))+AF288*(MAX(0,MIN(AC288,1+Parámetros!$B$11)-MAX(AB288,1))+MAX(0,MIN(AC288,2)-MAX(AB288,1+AD288)))</f>
        <v>0</v>
      </c>
    </row>
    <row r="289" spans="1:41" x14ac:dyDescent="0.25">
      <c r="A289" s="15"/>
      <c r="B289" s="8"/>
      <c r="C289" s="5" t="str">
        <f>IF(B289="","",IFERROR(INDEX(Trabajadores!$B$5:$B$204,MATCH(B289,Trabajadores!$A$5:$A$204,0)),"Cédula no registrada"))</f>
        <v/>
      </c>
      <c r="D289" s="11"/>
      <c r="E289" s="11"/>
      <c r="F289" s="8"/>
      <c r="G289" s="18" t="str">
        <f>IF(A289="","",IFERROR(INDEX(Trabajadores!$E$5:$E$204,MATCH(B289,Trabajadores!$A$5:$A$204,0))/Parámetros!$B$6,0)+IF(IFERROR(INDEX(Trabajadores!$E$5:$E$204,MATCH(B289,Trabajadores!$A$5:$A$204,0)),"")="",Parámetros!$B$7,0))</f>
        <v/>
      </c>
      <c r="H289" s="5" t="str">
        <f t="shared" si="80"/>
        <v/>
      </c>
      <c r="I289" s="5" t="str">
        <f>IF(A289="","",IF(COUNTIF(Festivos!$A$5:$A$451,A289)&gt;0,"Festivo",IF(WEEKDAY(A289,2)=7,"Domingo",IF(AND(AF289=1,AC289&gt;1),IF(COUNTIF(Festivos!$A$5:$A$451,A289+1)&gt;0,"Festivo","Domingo")&amp;" desde las 00:00",""))))</f>
        <v/>
      </c>
      <c r="J289" s="19" t="str">
        <f t="shared" si="81"/>
        <v/>
      </c>
      <c r="K289" s="19" t="str">
        <f t="shared" si="82"/>
        <v/>
      </c>
      <c r="L289" s="19" t="str">
        <f t="shared" si="83"/>
        <v/>
      </c>
      <c r="M289" s="19" t="str">
        <f t="shared" si="84"/>
        <v/>
      </c>
      <c r="N289" s="19" t="str">
        <f t="shared" si="85"/>
        <v/>
      </c>
      <c r="O289" s="19" t="str">
        <f t="shared" si="86"/>
        <v/>
      </c>
      <c r="P289" s="19" t="str">
        <f t="shared" si="87"/>
        <v/>
      </c>
      <c r="Q289" s="19" t="str">
        <f t="shared" si="88"/>
        <v/>
      </c>
      <c r="R289" s="19" t="str">
        <f t="shared" si="89"/>
        <v/>
      </c>
      <c r="S289" s="17" t="str">
        <f>IF(B289="","",IFERROR(INDEX(Trabajadores!$G$5:$G$204,MATCH(B289,Trabajadores!$A$5:$A$204,0)),""))</f>
        <v/>
      </c>
      <c r="T289" s="17" t="str">
        <f>IF(OR(OR(A289="",D289="",E289=""),S289=""),"",ROUND(S289*(N(L289)*Parámetros!$B$8+N(M289)*(1+Parámetros!$B$9)+N(N289)*(1+Parámetros!$B$10)+N(O289)*(1+AG289)+N(P289)*(1+AG289+Parámetros!$B$8)+N(Q289)*(1+AG289+Parámetros!$B$9)+N(R289)*(1+AG289+Parámetros!$B$10)),0))</f>
        <v/>
      </c>
      <c r="U289" s="5" t="str">
        <f>IF(OR(A289="",D289="",E289=""),"",IF(N(M289)+N(N289)+N(Q289)+N(R289)&gt;Parámetros!$B$12,"Supera el límite de horas extras diarias",IF(C289="Cédula no registrada","Registre la cédula en «Trabajadores»","")))</f>
        <v/>
      </c>
      <c r="X289" s="20">
        <f t="shared" si="90"/>
        <v>0</v>
      </c>
      <c r="Y289" s="20">
        <f t="shared" si="91"/>
        <v>0</v>
      </c>
      <c r="Z289" s="20">
        <f t="shared" si="92"/>
        <v>0</v>
      </c>
      <c r="AA289" s="20">
        <f t="shared" si="93"/>
        <v>0</v>
      </c>
      <c r="AB289" s="20">
        <f t="shared" si="94"/>
        <v>0</v>
      </c>
      <c r="AC289" s="20">
        <f t="shared" si="95"/>
        <v>0</v>
      </c>
      <c r="AD289" s="20">
        <f>IF(A289="",21/24,MOD(VLOOKUP(A289,Parámetros!$A$24:$B$25,2,TRUE()),1))</f>
        <v>0.875</v>
      </c>
      <c r="AE289" s="5">
        <f>IF(A289="",0,IF(OR(WEEKDAY(A289,2)=7,COUNTIF(Festivos!$A$5:$A$451,A289)&gt;0),1,0))</f>
        <v>0</v>
      </c>
      <c r="AF289" s="5">
        <f>IF(A289="",0,IF(OR(WEEKDAY(A289+1,2)=7,COUNTIF(Festivos!$A$5:$A$451,A289+1)&gt;0),1,0))</f>
        <v>0</v>
      </c>
      <c r="AG289" s="9">
        <f>IF(A289="",0,VLOOKUP(A289,Parámetros!$A$18:$B$21,2,TRUE()))</f>
        <v>0</v>
      </c>
      <c r="AH289" s="20">
        <f t="shared" si="96"/>
        <v>0</v>
      </c>
      <c r="AI289" s="20">
        <f>MAX(0,MIN(AB289,Parámetros!$B$11)-MAX(X289,0))+MAX(0,MIN(AB289,1+Parámetros!$B$11)-MAX(X289,AD289))+MAX(0,MIN(AB289,2)-MAX(X289,1+AD289))</f>
        <v>0</v>
      </c>
      <c r="AJ289" s="20">
        <f t="shared" si="97"/>
        <v>0</v>
      </c>
      <c r="AK289" s="20">
        <f>AE289*(MAX(0,MIN(AB289,Parámetros!$B$11)-MAX(X289,0))+MAX(0,MIN(AB289,1)-MAX(X289,AD289)))+AF289*(MAX(0,MIN(AB289,1+Parámetros!$B$11)-MAX(X289,1))+MAX(0,MIN(AB289,2)-MAX(X289,1+AD289)))</f>
        <v>0</v>
      </c>
      <c r="AL289" s="20">
        <f t="shared" si="98"/>
        <v>0</v>
      </c>
      <c r="AM289" s="20">
        <f>MAX(0,MIN(AC289,Parámetros!$B$11)-MAX(AB289,0))+MAX(0,MIN(AC289,1+Parámetros!$B$11)-MAX(AB289,AD289))+MAX(0,MIN(AC289,2)-MAX(AB289,1+AD289))</f>
        <v>0</v>
      </c>
      <c r="AN289" s="20">
        <f t="shared" si="99"/>
        <v>0</v>
      </c>
      <c r="AO289" s="20">
        <f>AE289*(MAX(0,MIN(AC289,Parámetros!$B$11)-MAX(AB289,0))+MAX(0,MIN(AC289,1)-MAX(AB289,AD289)))+AF289*(MAX(0,MIN(AC289,1+Parámetros!$B$11)-MAX(AB289,1))+MAX(0,MIN(AC289,2)-MAX(AB289,1+AD289)))</f>
        <v>0</v>
      </c>
    </row>
    <row r="290" spans="1:41" x14ac:dyDescent="0.25">
      <c r="A290" s="15"/>
      <c r="B290" s="8"/>
      <c r="C290" s="5" t="str">
        <f>IF(B290="","",IFERROR(INDEX(Trabajadores!$B$5:$B$204,MATCH(B290,Trabajadores!$A$5:$A$204,0)),"Cédula no registrada"))</f>
        <v/>
      </c>
      <c r="D290" s="11"/>
      <c r="E290" s="11"/>
      <c r="F290" s="8"/>
      <c r="G290" s="18" t="str">
        <f>IF(A290="","",IFERROR(INDEX(Trabajadores!$E$5:$E$204,MATCH(B290,Trabajadores!$A$5:$A$204,0))/Parámetros!$B$6,0)+IF(IFERROR(INDEX(Trabajadores!$E$5:$E$204,MATCH(B290,Trabajadores!$A$5:$A$204,0)),"")="",Parámetros!$B$7,0))</f>
        <v/>
      </c>
      <c r="H290" s="5" t="str">
        <f t="shared" si="80"/>
        <v/>
      </c>
      <c r="I290" s="5" t="str">
        <f>IF(A290="","",IF(COUNTIF(Festivos!$A$5:$A$451,A290)&gt;0,"Festivo",IF(WEEKDAY(A290,2)=7,"Domingo",IF(AND(AF290=1,AC290&gt;1),IF(COUNTIF(Festivos!$A$5:$A$451,A290+1)&gt;0,"Festivo","Domingo")&amp;" desde las 00:00",""))))</f>
        <v/>
      </c>
      <c r="J290" s="19" t="str">
        <f t="shared" si="81"/>
        <v/>
      </c>
      <c r="K290" s="19" t="str">
        <f t="shared" si="82"/>
        <v/>
      </c>
      <c r="L290" s="19" t="str">
        <f t="shared" si="83"/>
        <v/>
      </c>
      <c r="M290" s="19" t="str">
        <f t="shared" si="84"/>
        <v/>
      </c>
      <c r="N290" s="19" t="str">
        <f t="shared" si="85"/>
        <v/>
      </c>
      <c r="O290" s="19" t="str">
        <f t="shared" si="86"/>
        <v/>
      </c>
      <c r="P290" s="19" t="str">
        <f t="shared" si="87"/>
        <v/>
      </c>
      <c r="Q290" s="19" t="str">
        <f t="shared" si="88"/>
        <v/>
      </c>
      <c r="R290" s="19" t="str">
        <f t="shared" si="89"/>
        <v/>
      </c>
      <c r="S290" s="17" t="str">
        <f>IF(B290="","",IFERROR(INDEX(Trabajadores!$G$5:$G$204,MATCH(B290,Trabajadores!$A$5:$A$204,0)),""))</f>
        <v/>
      </c>
      <c r="T290" s="17" t="str">
        <f>IF(OR(OR(A290="",D290="",E290=""),S290=""),"",ROUND(S290*(N(L290)*Parámetros!$B$8+N(M290)*(1+Parámetros!$B$9)+N(N290)*(1+Parámetros!$B$10)+N(O290)*(1+AG290)+N(P290)*(1+AG290+Parámetros!$B$8)+N(Q290)*(1+AG290+Parámetros!$B$9)+N(R290)*(1+AG290+Parámetros!$B$10)),0))</f>
        <v/>
      </c>
      <c r="U290" s="5" t="str">
        <f>IF(OR(A290="",D290="",E290=""),"",IF(N(M290)+N(N290)+N(Q290)+N(R290)&gt;Parámetros!$B$12,"Supera el límite de horas extras diarias",IF(C290="Cédula no registrada","Registre la cédula en «Trabajadores»","")))</f>
        <v/>
      </c>
      <c r="X290" s="20">
        <f t="shared" si="90"/>
        <v>0</v>
      </c>
      <c r="Y290" s="20">
        <f t="shared" si="91"/>
        <v>0</v>
      </c>
      <c r="Z290" s="20">
        <f t="shared" si="92"/>
        <v>0</v>
      </c>
      <c r="AA290" s="20">
        <f t="shared" si="93"/>
        <v>0</v>
      </c>
      <c r="AB290" s="20">
        <f t="shared" si="94"/>
        <v>0</v>
      </c>
      <c r="AC290" s="20">
        <f t="shared" si="95"/>
        <v>0</v>
      </c>
      <c r="AD290" s="20">
        <f>IF(A290="",21/24,MOD(VLOOKUP(A290,Parámetros!$A$24:$B$25,2,TRUE()),1))</f>
        <v>0.875</v>
      </c>
      <c r="AE290" s="5">
        <f>IF(A290="",0,IF(OR(WEEKDAY(A290,2)=7,COUNTIF(Festivos!$A$5:$A$451,A290)&gt;0),1,0))</f>
        <v>0</v>
      </c>
      <c r="AF290" s="5">
        <f>IF(A290="",0,IF(OR(WEEKDAY(A290+1,2)=7,COUNTIF(Festivos!$A$5:$A$451,A290+1)&gt;0),1,0))</f>
        <v>0</v>
      </c>
      <c r="AG290" s="9">
        <f>IF(A290="",0,VLOOKUP(A290,Parámetros!$A$18:$B$21,2,TRUE()))</f>
        <v>0</v>
      </c>
      <c r="AH290" s="20">
        <f t="shared" si="96"/>
        <v>0</v>
      </c>
      <c r="AI290" s="20">
        <f>MAX(0,MIN(AB290,Parámetros!$B$11)-MAX(X290,0))+MAX(0,MIN(AB290,1+Parámetros!$B$11)-MAX(X290,AD290))+MAX(0,MIN(AB290,2)-MAX(X290,1+AD290))</f>
        <v>0</v>
      </c>
      <c r="AJ290" s="20">
        <f t="shared" si="97"/>
        <v>0</v>
      </c>
      <c r="AK290" s="20">
        <f>AE290*(MAX(0,MIN(AB290,Parámetros!$B$11)-MAX(X290,0))+MAX(0,MIN(AB290,1)-MAX(X290,AD290)))+AF290*(MAX(0,MIN(AB290,1+Parámetros!$B$11)-MAX(X290,1))+MAX(0,MIN(AB290,2)-MAX(X290,1+AD290)))</f>
        <v>0</v>
      </c>
      <c r="AL290" s="20">
        <f t="shared" si="98"/>
        <v>0</v>
      </c>
      <c r="AM290" s="20">
        <f>MAX(0,MIN(AC290,Parámetros!$B$11)-MAX(AB290,0))+MAX(0,MIN(AC290,1+Parámetros!$B$11)-MAX(AB290,AD290))+MAX(0,MIN(AC290,2)-MAX(AB290,1+AD290))</f>
        <v>0</v>
      </c>
      <c r="AN290" s="20">
        <f t="shared" si="99"/>
        <v>0</v>
      </c>
      <c r="AO290" s="20">
        <f>AE290*(MAX(0,MIN(AC290,Parámetros!$B$11)-MAX(AB290,0))+MAX(0,MIN(AC290,1)-MAX(AB290,AD290)))+AF290*(MAX(0,MIN(AC290,1+Parámetros!$B$11)-MAX(AB290,1))+MAX(0,MIN(AC290,2)-MAX(AB290,1+AD290)))</f>
        <v>0</v>
      </c>
    </row>
    <row r="291" spans="1:41" x14ac:dyDescent="0.25">
      <c r="A291" s="15"/>
      <c r="B291" s="8"/>
      <c r="C291" s="5" t="str">
        <f>IF(B291="","",IFERROR(INDEX(Trabajadores!$B$5:$B$204,MATCH(B291,Trabajadores!$A$5:$A$204,0)),"Cédula no registrada"))</f>
        <v/>
      </c>
      <c r="D291" s="11"/>
      <c r="E291" s="11"/>
      <c r="F291" s="8"/>
      <c r="G291" s="18" t="str">
        <f>IF(A291="","",IFERROR(INDEX(Trabajadores!$E$5:$E$204,MATCH(B291,Trabajadores!$A$5:$A$204,0))/Parámetros!$B$6,0)+IF(IFERROR(INDEX(Trabajadores!$E$5:$E$204,MATCH(B291,Trabajadores!$A$5:$A$204,0)),"")="",Parámetros!$B$7,0))</f>
        <v/>
      </c>
      <c r="H291" s="5" t="str">
        <f t="shared" si="80"/>
        <v/>
      </c>
      <c r="I291" s="5" t="str">
        <f>IF(A291="","",IF(COUNTIF(Festivos!$A$5:$A$451,A291)&gt;0,"Festivo",IF(WEEKDAY(A291,2)=7,"Domingo",IF(AND(AF291=1,AC291&gt;1),IF(COUNTIF(Festivos!$A$5:$A$451,A291+1)&gt;0,"Festivo","Domingo")&amp;" desde las 00:00",""))))</f>
        <v/>
      </c>
      <c r="J291" s="19" t="str">
        <f t="shared" si="81"/>
        <v/>
      </c>
      <c r="K291" s="19" t="str">
        <f t="shared" si="82"/>
        <v/>
      </c>
      <c r="L291" s="19" t="str">
        <f t="shared" si="83"/>
        <v/>
      </c>
      <c r="M291" s="19" t="str">
        <f t="shared" si="84"/>
        <v/>
      </c>
      <c r="N291" s="19" t="str">
        <f t="shared" si="85"/>
        <v/>
      </c>
      <c r="O291" s="19" t="str">
        <f t="shared" si="86"/>
        <v/>
      </c>
      <c r="P291" s="19" t="str">
        <f t="shared" si="87"/>
        <v/>
      </c>
      <c r="Q291" s="19" t="str">
        <f t="shared" si="88"/>
        <v/>
      </c>
      <c r="R291" s="19" t="str">
        <f t="shared" si="89"/>
        <v/>
      </c>
      <c r="S291" s="17" t="str">
        <f>IF(B291="","",IFERROR(INDEX(Trabajadores!$G$5:$G$204,MATCH(B291,Trabajadores!$A$5:$A$204,0)),""))</f>
        <v/>
      </c>
      <c r="T291" s="17" t="str">
        <f>IF(OR(OR(A291="",D291="",E291=""),S291=""),"",ROUND(S291*(N(L291)*Parámetros!$B$8+N(M291)*(1+Parámetros!$B$9)+N(N291)*(1+Parámetros!$B$10)+N(O291)*(1+AG291)+N(P291)*(1+AG291+Parámetros!$B$8)+N(Q291)*(1+AG291+Parámetros!$B$9)+N(R291)*(1+AG291+Parámetros!$B$10)),0))</f>
        <v/>
      </c>
      <c r="U291" s="5" t="str">
        <f>IF(OR(A291="",D291="",E291=""),"",IF(N(M291)+N(N291)+N(Q291)+N(R291)&gt;Parámetros!$B$12,"Supera el límite de horas extras diarias",IF(C291="Cédula no registrada","Registre la cédula en «Trabajadores»","")))</f>
        <v/>
      </c>
      <c r="X291" s="20">
        <f t="shared" si="90"/>
        <v>0</v>
      </c>
      <c r="Y291" s="20">
        <f t="shared" si="91"/>
        <v>0</v>
      </c>
      <c r="Z291" s="20">
        <f t="shared" si="92"/>
        <v>0</v>
      </c>
      <c r="AA291" s="20">
        <f t="shared" si="93"/>
        <v>0</v>
      </c>
      <c r="AB291" s="20">
        <f t="shared" si="94"/>
        <v>0</v>
      </c>
      <c r="AC291" s="20">
        <f t="shared" si="95"/>
        <v>0</v>
      </c>
      <c r="AD291" s="20">
        <f>IF(A291="",21/24,MOD(VLOOKUP(A291,Parámetros!$A$24:$B$25,2,TRUE()),1))</f>
        <v>0.875</v>
      </c>
      <c r="AE291" s="5">
        <f>IF(A291="",0,IF(OR(WEEKDAY(A291,2)=7,COUNTIF(Festivos!$A$5:$A$451,A291)&gt;0),1,0))</f>
        <v>0</v>
      </c>
      <c r="AF291" s="5">
        <f>IF(A291="",0,IF(OR(WEEKDAY(A291+1,2)=7,COUNTIF(Festivos!$A$5:$A$451,A291+1)&gt;0),1,0))</f>
        <v>0</v>
      </c>
      <c r="AG291" s="9">
        <f>IF(A291="",0,VLOOKUP(A291,Parámetros!$A$18:$B$21,2,TRUE()))</f>
        <v>0</v>
      </c>
      <c r="AH291" s="20">
        <f t="shared" si="96"/>
        <v>0</v>
      </c>
      <c r="AI291" s="20">
        <f>MAX(0,MIN(AB291,Parámetros!$B$11)-MAX(X291,0))+MAX(0,MIN(AB291,1+Parámetros!$B$11)-MAX(X291,AD291))+MAX(0,MIN(AB291,2)-MAX(X291,1+AD291))</f>
        <v>0</v>
      </c>
      <c r="AJ291" s="20">
        <f t="shared" si="97"/>
        <v>0</v>
      </c>
      <c r="AK291" s="20">
        <f>AE291*(MAX(0,MIN(AB291,Parámetros!$B$11)-MAX(X291,0))+MAX(0,MIN(AB291,1)-MAX(X291,AD291)))+AF291*(MAX(0,MIN(AB291,1+Parámetros!$B$11)-MAX(X291,1))+MAX(0,MIN(AB291,2)-MAX(X291,1+AD291)))</f>
        <v>0</v>
      </c>
      <c r="AL291" s="20">
        <f t="shared" si="98"/>
        <v>0</v>
      </c>
      <c r="AM291" s="20">
        <f>MAX(0,MIN(AC291,Parámetros!$B$11)-MAX(AB291,0))+MAX(0,MIN(AC291,1+Parámetros!$B$11)-MAX(AB291,AD291))+MAX(0,MIN(AC291,2)-MAX(AB291,1+AD291))</f>
        <v>0</v>
      </c>
      <c r="AN291" s="20">
        <f t="shared" si="99"/>
        <v>0</v>
      </c>
      <c r="AO291" s="20">
        <f>AE291*(MAX(0,MIN(AC291,Parámetros!$B$11)-MAX(AB291,0))+MAX(0,MIN(AC291,1)-MAX(AB291,AD291)))+AF291*(MAX(0,MIN(AC291,1+Parámetros!$B$11)-MAX(AB291,1))+MAX(0,MIN(AC291,2)-MAX(AB291,1+AD291)))</f>
        <v>0</v>
      </c>
    </row>
    <row r="292" spans="1:41" x14ac:dyDescent="0.25">
      <c r="A292" s="15"/>
      <c r="B292" s="8"/>
      <c r="C292" s="5" t="str">
        <f>IF(B292="","",IFERROR(INDEX(Trabajadores!$B$5:$B$204,MATCH(B292,Trabajadores!$A$5:$A$204,0)),"Cédula no registrada"))</f>
        <v/>
      </c>
      <c r="D292" s="11"/>
      <c r="E292" s="11"/>
      <c r="F292" s="8"/>
      <c r="G292" s="18" t="str">
        <f>IF(A292="","",IFERROR(INDEX(Trabajadores!$E$5:$E$204,MATCH(B292,Trabajadores!$A$5:$A$204,0))/Parámetros!$B$6,0)+IF(IFERROR(INDEX(Trabajadores!$E$5:$E$204,MATCH(B292,Trabajadores!$A$5:$A$204,0)),"")="",Parámetros!$B$7,0))</f>
        <v/>
      </c>
      <c r="H292" s="5" t="str">
        <f t="shared" si="80"/>
        <v/>
      </c>
      <c r="I292" s="5" t="str">
        <f>IF(A292="","",IF(COUNTIF(Festivos!$A$5:$A$451,A292)&gt;0,"Festivo",IF(WEEKDAY(A292,2)=7,"Domingo",IF(AND(AF292=1,AC292&gt;1),IF(COUNTIF(Festivos!$A$5:$A$451,A292+1)&gt;0,"Festivo","Domingo")&amp;" desde las 00:00",""))))</f>
        <v/>
      </c>
      <c r="J292" s="19" t="str">
        <f t="shared" si="81"/>
        <v/>
      </c>
      <c r="K292" s="19" t="str">
        <f t="shared" si="82"/>
        <v/>
      </c>
      <c r="L292" s="19" t="str">
        <f t="shared" si="83"/>
        <v/>
      </c>
      <c r="M292" s="19" t="str">
        <f t="shared" si="84"/>
        <v/>
      </c>
      <c r="N292" s="19" t="str">
        <f t="shared" si="85"/>
        <v/>
      </c>
      <c r="O292" s="19" t="str">
        <f t="shared" si="86"/>
        <v/>
      </c>
      <c r="P292" s="19" t="str">
        <f t="shared" si="87"/>
        <v/>
      </c>
      <c r="Q292" s="19" t="str">
        <f t="shared" si="88"/>
        <v/>
      </c>
      <c r="R292" s="19" t="str">
        <f t="shared" si="89"/>
        <v/>
      </c>
      <c r="S292" s="17" t="str">
        <f>IF(B292="","",IFERROR(INDEX(Trabajadores!$G$5:$G$204,MATCH(B292,Trabajadores!$A$5:$A$204,0)),""))</f>
        <v/>
      </c>
      <c r="T292" s="17" t="str">
        <f>IF(OR(OR(A292="",D292="",E292=""),S292=""),"",ROUND(S292*(N(L292)*Parámetros!$B$8+N(M292)*(1+Parámetros!$B$9)+N(N292)*(1+Parámetros!$B$10)+N(O292)*(1+AG292)+N(P292)*(1+AG292+Parámetros!$B$8)+N(Q292)*(1+AG292+Parámetros!$B$9)+N(R292)*(1+AG292+Parámetros!$B$10)),0))</f>
        <v/>
      </c>
      <c r="U292" s="5" t="str">
        <f>IF(OR(A292="",D292="",E292=""),"",IF(N(M292)+N(N292)+N(Q292)+N(R292)&gt;Parámetros!$B$12,"Supera el límite de horas extras diarias",IF(C292="Cédula no registrada","Registre la cédula en «Trabajadores»","")))</f>
        <v/>
      </c>
      <c r="X292" s="20">
        <f t="shared" si="90"/>
        <v>0</v>
      </c>
      <c r="Y292" s="20">
        <f t="shared" si="91"/>
        <v>0</v>
      </c>
      <c r="Z292" s="20">
        <f t="shared" si="92"/>
        <v>0</v>
      </c>
      <c r="AA292" s="20">
        <f t="shared" si="93"/>
        <v>0</v>
      </c>
      <c r="AB292" s="20">
        <f t="shared" si="94"/>
        <v>0</v>
      </c>
      <c r="AC292" s="20">
        <f t="shared" si="95"/>
        <v>0</v>
      </c>
      <c r="AD292" s="20">
        <f>IF(A292="",21/24,MOD(VLOOKUP(A292,Parámetros!$A$24:$B$25,2,TRUE()),1))</f>
        <v>0.875</v>
      </c>
      <c r="AE292" s="5">
        <f>IF(A292="",0,IF(OR(WEEKDAY(A292,2)=7,COUNTIF(Festivos!$A$5:$A$451,A292)&gt;0),1,0))</f>
        <v>0</v>
      </c>
      <c r="AF292" s="5">
        <f>IF(A292="",0,IF(OR(WEEKDAY(A292+1,2)=7,COUNTIF(Festivos!$A$5:$A$451,A292+1)&gt;0),1,0))</f>
        <v>0</v>
      </c>
      <c r="AG292" s="9">
        <f>IF(A292="",0,VLOOKUP(A292,Parámetros!$A$18:$B$21,2,TRUE()))</f>
        <v>0</v>
      </c>
      <c r="AH292" s="20">
        <f t="shared" si="96"/>
        <v>0</v>
      </c>
      <c r="AI292" s="20">
        <f>MAX(0,MIN(AB292,Parámetros!$B$11)-MAX(X292,0))+MAX(0,MIN(AB292,1+Parámetros!$B$11)-MAX(X292,AD292))+MAX(0,MIN(AB292,2)-MAX(X292,1+AD292))</f>
        <v>0</v>
      </c>
      <c r="AJ292" s="20">
        <f t="shared" si="97"/>
        <v>0</v>
      </c>
      <c r="AK292" s="20">
        <f>AE292*(MAX(0,MIN(AB292,Parámetros!$B$11)-MAX(X292,0))+MAX(0,MIN(AB292,1)-MAX(X292,AD292)))+AF292*(MAX(0,MIN(AB292,1+Parámetros!$B$11)-MAX(X292,1))+MAX(0,MIN(AB292,2)-MAX(X292,1+AD292)))</f>
        <v>0</v>
      </c>
      <c r="AL292" s="20">
        <f t="shared" si="98"/>
        <v>0</v>
      </c>
      <c r="AM292" s="20">
        <f>MAX(0,MIN(AC292,Parámetros!$B$11)-MAX(AB292,0))+MAX(0,MIN(AC292,1+Parámetros!$B$11)-MAX(AB292,AD292))+MAX(0,MIN(AC292,2)-MAX(AB292,1+AD292))</f>
        <v>0</v>
      </c>
      <c r="AN292" s="20">
        <f t="shared" si="99"/>
        <v>0</v>
      </c>
      <c r="AO292" s="20">
        <f>AE292*(MAX(0,MIN(AC292,Parámetros!$B$11)-MAX(AB292,0))+MAX(0,MIN(AC292,1)-MAX(AB292,AD292)))+AF292*(MAX(0,MIN(AC292,1+Parámetros!$B$11)-MAX(AB292,1))+MAX(0,MIN(AC292,2)-MAX(AB292,1+AD292)))</f>
        <v>0</v>
      </c>
    </row>
    <row r="293" spans="1:41" x14ac:dyDescent="0.25">
      <c r="A293" s="15"/>
      <c r="B293" s="8"/>
      <c r="C293" s="5" t="str">
        <f>IF(B293="","",IFERROR(INDEX(Trabajadores!$B$5:$B$204,MATCH(B293,Trabajadores!$A$5:$A$204,0)),"Cédula no registrada"))</f>
        <v/>
      </c>
      <c r="D293" s="11"/>
      <c r="E293" s="11"/>
      <c r="F293" s="8"/>
      <c r="G293" s="18" t="str">
        <f>IF(A293="","",IFERROR(INDEX(Trabajadores!$E$5:$E$204,MATCH(B293,Trabajadores!$A$5:$A$204,0))/Parámetros!$B$6,0)+IF(IFERROR(INDEX(Trabajadores!$E$5:$E$204,MATCH(B293,Trabajadores!$A$5:$A$204,0)),"")="",Parámetros!$B$7,0))</f>
        <v/>
      </c>
      <c r="H293" s="5" t="str">
        <f t="shared" si="80"/>
        <v/>
      </c>
      <c r="I293" s="5" t="str">
        <f>IF(A293="","",IF(COUNTIF(Festivos!$A$5:$A$451,A293)&gt;0,"Festivo",IF(WEEKDAY(A293,2)=7,"Domingo",IF(AND(AF293=1,AC293&gt;1),IF(COUNTIF(Festivos!$A$5:$A$451,A293+1)&gt;0,"Festivo","Domingo")&amp;" desde las 00:00",""))))</f>
        <v/>
      </c>
      <c r="J293" s="19" t="str">
        <f t="shared" si="81"/>
        <v/>
      </c>
      <c r="K293" s="19" t="str">
        <f t="shared" si="82"/>
        <v/>
      </c>
      <c r="L293" s="19" t="str">
        <f t="shared" si="83"/>
        <v/>
      </c>
      <c r="M293" s="19" t="str">
        <f t="shared" si="84"/>
        <v/>
      </c>
      <c r="N293" s="19" t="str">
        <f t="shared" si="85"/>
        <v/>
      </c>
      <c r="O293" s="19" t="str">
        <f t="shared" si="86"/>
        <v/>
      </c>
      <c r="P293" s="19" t="str">
        <f t="shared" si="87"/>
        <v/>
      </c>
      <c r="Q293" s="19" t="str">
        <f t="shared" si="88"/>
        <v/>
      </c>
      <c r="R293" s="19" t="str">
        <f t="shared" si="89"/>
        <v/>
      </c>
      <c r="S293" s="17" t="str">
        <f>IF(B293="","",IFERROR(INDEX(Trabajadores!$G$5:$G$204,MATCH(B293,Trabajadores!$A$5:$A$204,0)),""))</f>
        <v/>
      </c>
      <c r="T293" s="17" t="str">
        <f>IF(OR(OR(A293="",D293="",E293=""),S293=""),"",ROUND(S293*(N(L293)*Parámetros!$B$8+N(M293)*(1+Parámetros!$B$9)+N(N293)*(1+Parámetros!$B$10)+N(O293)*(1+AG293)+N(P293)*(1+AG293+Parámetros!$B$8)+N(Q293)*(1+AG293+Parámetros!$B$9)+N(R293)*(1+AG293+Parámetros!$B$10)),0))</f>
        <v/>
      </c>
      <c r="U293" s="5" t="str">
        <f>IF(OR(A293="",D293="",E293=""),"",IF(N(M293)+N(N293)+N(Q293)+N(R293)&gt;Parámetros!$B$12,"Supera el límite de horas extras diarias",IF(C293="Cédula no registrada","Registre la cédula en «Trabajadores»","")))</f>
        <v/>
      </c>
      <c r="X293" s="20">
        <f t="shared" si="90"/>
        <v>0</v>
      </c>
      <c r="Y293" s="20">
        <f t="shared" si="91"/>
        <v>0</v>
      </c>
      <c r="Z293" s="20">
        <f t="shared" si="92"/>
        <v>0</v>
      </c>
      <c r="AA293" s="20">
        <f t="shared" si="93"/>
        <v>0</v>
      </c>
      <c r="AB293" s="20">
        <f t="shared" si="94"/>
        <v>0</v>
      </c>
      <c r="AC293" s="20">
        <f t="shared" si="95"/>
        <v>0</v>
      </c>
      <c r="AD293" s="20">
        <f>IF(A293="",21/24,MOD(VLOOKUP(A293,Parámetros!$A$24:$B$25,2,TRUE()),1))</f>
        <v>0.875</v>
      </c>
      <c r="AE293" s="5">
        <f>IF(A293="",0,IF(OR(WEEKDAY(A293,2)=7,COUNTIF(Festivos!$A$5:$A$451,A293)&gt;0),1,0))</f>
        <v>0</v>
      </c>
      <c r="AF293" s="5">
        <f>IF(A293="",0,IF(OR(WEEKDAY(A293+1,2)=7,COUNTIF(Festivos!$A$5:$A$451,A293+1)&gt;0),1,0))</f>
        <v>0</v>
      </c>
      <c r="AG293" s="9">
        <f>IF(A293="",0,VLOOKUP(A293,Parámetros!$A$18:$B$21,2,TRUE()))</f>
        <v>0</v>
      </c>
      <c r="AH293" s="20">
        <f t="shared" si="96"/>
        <v>0</v>
      </c>
      <c r="AI293" s="20">
        <f>MAX(0,MIN(AB293,Parámetros!$B$11)-MAX(X293,0))+MAX(0,MIN(AB293,1+Parámetros!$B$11)-MAX(X293,AD293))+MAX(0,MIN(AB293,2)-MAX(X293,1+AD293))</f>
        <v>0</v>
      </c>
      <c r="AJ293" s="20">
        <f t="shared" si="97"/>
        <v>0</v>
      </c>
      <c r="AK293" s="20">
        <f>AE293*(MAX(0,MIN(AB293,Parámetros!$B$11)-MAX(X293,0))+MAX(0,MIN(AB293,1)-MAX(X293,AD293)))+AF293*(MAX(0,MIN(AB293,1+Parámetros!$B$11)-MAX(X293,1))+MAX(0,MIN(AB293,2)-MAX(X293,1+AD293)))</f>
        <v>0</v>
      </c>
      <c r="AL293" s="20">
        <f t="shared" si="98"/>
        <v>0</v>
      </c>
      <c r="AM293" s="20">
        <f>MAX(0,MIN(AC293,Parámetros!$B$11)-MAX(AB293,0))+MAX(0,MIN(AC293,1+Parámetros!$B$11)-MAX(AB293,AD293))+MAX(0,MIN(AC293,2)-MAX(AB293,1+AD293))</f>
        <v>0</v>
      </c>
      <c r="AN293" s="20">
        <f t="shared" si="99"/>
        <v>0</v>
      </c>
      <c r="AO293" s="20">
        <f>AE293*(MAX(0,MIN(AC293,Parámetros!$B$11)-MAX(AB293,0))+MAX(0,MIN(AC293,1)-MAX(AB293,AD293)))+AF293*(MAX(0,MIN(AC293,1+Parámetros!$B$11)-MAX(AB293,1))+MAX(0,MIN(AC293,2)-MAX(AB293,1+AD293)))</f>
        <v>0</v>
      </c>
    </row>
    <row r="294" spans="1:41" x14ac:dyDescent="0.25">
      <c r="A294" s="15"/>
      <c r="B294" s="8"/>
      <c r="C294" s="5" t="str">
        <f>IF(B294="","",IFERROR(INDEX(Trabajadores!$B$5:$B$204,MATCH(B294,Trabajadores!$A$5:$A$204,0)),"Cédula no registrada"))</f>
        <v/>
      </c>
      <c r="D294" s="11"/>
      <c r="E294" s="11"/>
      <c r="F294" s="8"/>
      <c r="G294" s="18" t="str">
        <f>IF(A294="","",IFERROR(INDEX(Trabajadores!$E$5:$E$204,MATCH(B294,Trabajadores!$A$5:$A$204,0))/Parámetros!$B$6,0)+IF(IFERROR(INDEX(Trabajadores!$E$5:$E$204,MATCH(B294,Trabajadores!$A$5:$A$204,0)),"")="",Parámetros!$B$7,0))</f>
        <v/>
      </c>
      <c r="H294" s="5" t="str">
        <f t="shared" si="80"/>
        <v/>
      </c>
      <c r="I294" s="5" t="str">
        <f>IF(A294="","",IF(COUNTIF(Festivos!$A$5:$A$451,A294)&gt;0,"Festivo",IF(WEEKDAY(A294,2)=7,"Domingo",IF(AND(AF294=1,AC294&gt;1),IF(COUNTIF(Festivos!$A$5:$A$451,A294+1)&gt;0,"Festivo","Domingo")&amp;" desde las 00:00",""))))</f>
        <v/>
      </c>
      <c r="J294" s="19" t="str">
        <f t="shared" si="81"/>
        <v/>
      </c>
      <c r="K294" s="19" t="str">
        <f t="shared" si="82"/>
        <v/>
      </c>
      <c r="L294" s="19" t="str">
        <f t="shared" si="83"/>
        <v/>
      </c>
      <c r="M294" s="19" t="str">
        <f t="shared" si="84"/>
        <v/>
      </c>
      <c r="N294" s="19" t="str">
        <f t="shared" si="85"/>
        <v/>
      </c>
      <c r="O294" s="19" t="str">
        <f t="shared" si="86"/>
        <v/>
      </c>
      <c r="P294" s="19" t="str">
        <f t="shared" si="87"/>
        <v/>
      </c>
      <c r="Q294" s="19" t="str">
        <f t="shared" si="88"/>
        <v/>
      </c>
      <c r="R294" s="19" t="str">
        <f t="shared" si="89"/>
        <v/>
      </c>
      <c r="S294" s="17" t="str">
        <f>IF(B294="","",IFERROR(INDEX(Trabajadores!$G$5:$G$204,MATCH(B294,Trabajadores!$A$5:$A$204,0)),""))</f>
        <v/>
      </c>
      <c r="T294" s="17" t="str">
        <f>IF(OR(OR(A294="",D294="",E294=""),S294=""),"",ROUND(S294*(N(L294)*Parámetros!$B$8+N(M294)*(1+Parámetros!$B$9)+N(N294)*(1+Parámetros!$B$10)+N(O294)*(1+AG294)+N(P294)*(1+AG294+Parámetros!$B$8)+N(Q294)*(1+AG294+Parámetros!$B$9)+N(R294)*(1+AG294+Parámetros!$B$10)),0))</f>
        <v/>
      </c>
      <c r="U294" s="5" t="str">
        <f>IF(OR(A294="",D294="",E294=""),"",IF(N(M294)+N(N294)+N(Q294)+N(R294)&gt;Parámetros!$B$12,"Supera el límite de horas extras diarias",IF(C294="Cédula no registrada","Registre la cédula en «Trabajadores»","")))</f>
        <v/>
      </c>
      <c r="X294" s="20">
        <f t="shared" si="90"/>
        <v>0</v>
      </c>
      <c r="Y294" s="20">
        <f t="shared" si="91"/>
        <v>0</v>
      </c>
      <c r="Z294" s="20">
        <f t="shared" si="92"/>
        <v>0</v>
      </c>
      <c r="AA294" s="20">
        <f t="shared" si="93"/>
        <v>0</v>
      </c>
      <c r="AB294" s="20">
        <f t="shared" si="94"/>
        <v>0</v>
      </c>
      <c r="AC294" s="20">
        <f t="shared" si="95"/>
        <v>0</v>
      </c>
      <c r="AD294" s="20">
        <f>IF(A294="",21/24,MOD(VLOOKUP(A294,Parámetros!$A$24:$B$25,2,TRUE()),1))</f>
        <v>0.875</v>
      </c>
      <c r="AE294" s="5">
        <f>IF(A294="",0,IF(OR(WEEKDAY(A294,2)=7,COUNTIF(Festivos!$A$5:$A$451,A294)&gt;0),1,0))</f>
        <v>0</v>
      </c>
      <c r="AF294" s="5">
        <f>IF(A294="",0,IF(OR(WEEKDAY(A294+1,2)=7,COUNTIF(Festivos!$A$5:$A$451,A294+1)&gt;0),1,0))</f>
        <v>0</v>
      </c>
      <c r="AG294" s="9">
        <f>IF(A294="",0,VLOOKUP(A294,Parámetros!$A$18:$B$21,2,TRUE()))</f>
        <v>0</v>
      </c>
      <c r="AH294" s="20">
        <f t="shared" si="96"/>
        <v>0</v>
      </c>
      <c r="AI294" s="20">
        <f>MAX(0,MIN(AB294,Parámetros!$B$11)-MAX(X294,0))+MAX(0,MIN(AB294,1+Parámetros!$B$11)-MAX(X294,AD294))+MAX(0,MIN(AB294,2)-MAX(X294,1+AD294))</f>
        <v>0</v>
      </c>
      <c r="AJ294" s="20">
        <f t="shared" si="97"/>
        <v>0</v>
      </c>
      <c r="AK294" s="20">
        <f>AE294*(MAX(0,MIN(AB294,Parámetros!$B$11)-MAX(X294,0))+MAX(0,MIN(AB294,1)-MAX(X294,AD294)))+AF294*(MAX(0,MIN(AB294,1+Parámetros!$B$11)-MAX(X294,1))+MAX(0,MIN(AB294,2)-MAX(X294,1+AD294)))</f>
        <v>0</v>
      </c>
      <c r="AL294" s="20">
        <f t="shared" si="98"/>
        <v>0</v>
      </c>
      <c r="AM294" s="20">
        <f>MAX(0,MIN(AC294,Parámetros!$B$11)-MAX(AB294,0))+MAX(0,MIN(AC294,1+Parámetros!$B$11)-MAX(AB294,AD294))+MAX(0,MIN(AC294,2)-MAX(AB294,1+AD294))</f>
        <v>0</v>
      </c>
      <c r="AN294" s="20">
        <f t="shared" si="99"/>
        <v>0</v>
      </c>
      <c r="AO294" s="20">
        <f>AE294*(MAX(0,MIN(AC294,Parámetros!$B$11)-MAX(AB294,0))+MAX(0,MIN(AC294,1)-MAX(AB294,AD294)))+AF294*(MAX(0,MIN(AC294,1+Parámetros!$B$11)-MAX(AB294,1))+MAX(0,MIN(AC294,2)-MAX(AB294,1+AD294)))</f>
        <v>0</v>
      </c>
    </row>
    <row r="295" spans="1:41" x14ac:dyDescent="0.25">
      <c r="A295" s="15"/>
      <c r="B295" s="8"/>
      <c r="C295" s="5" t="str">
        <f>IF(B295="","",IFERROR(INDEX(Trabajadores!$B$5:$B$204,MATCH(B295,Trabajadores!$A$5:$A$204,0)),"Cédula no registrada"))</f>
        <v/>
      </c>
      <c r="D295" s="11"/>
      <c r="E295" s="11"/>
      <c r="F295" s="8"/>
      <c r="G295" s="18" t="str">
        <f>IF(A295="","",IFERROR(INDEX(Trabajadores!$E$5:$E$204,MATCH(B295,Trabajadores!$A$5:$A$204,0))/Parámetros!$B$6,0)+IF(IFERROR(INDEX(Trabajadores!$E$5:$E$204,MATCH(B295,Trabajadores!$A$5:$A$204,0)),"")="",Parámetros!$B$7,0))</f>
        <v/>
      </c>
      <c r="H295" s="5" t="str">
        <f t="shared" si="80"/>
        <v/>
      </c>
      <c r="I295" s="5" t="str">
        <f>IF(A295="","",IF(COUNTIF(Festivos!$A$5:$A$451,A295)&gt;0,"Festivo",IF(WEEKDAY(A295,2)=7,"Domingo",IF(AND(AF295=1,AC295&gt;1),IF(COUNTIF(Festivos!$A$5:$A$451,A295+1)&gt;0,"Festivo","Domingo")&amp;" desde las 00:00",""))))</f>
        <v/>
      </c>
      <c r="J295" s="19" t="str">
        <f t="shared" si="81"/>
        <v/>
      </c>
      <c r="K295" s="19" t="str">
        <f t="shared" si="82"/>
        <v/>
      </c>
      <c r="L295" s="19" t="str">
        <f t="shared" si="83"/>
        <v/>
      </c>
      <c r="M295" s="19" t="str">
        <f t="shared" si="84"/>
        <v/>
      </c>
      <c r="N295" s="19" t="str">
        <f t="shared" si="85"/>
        <v/>
      </c>
      <c r="O295" s="19" t="str">
        <f t="shared" si="86"/>
        <v/>
      </c>
      <c r="P295" s="19" t="str">
        <f t="shared" si="87"/>
        <v/>
      </c>
      <c r="Q295" s="19" t="str">
        <f t="shared" si="88"/>
        <v/>
      </c>
      <c r="R295" s="19" t="str">
        <f t="shared" si="89"/>
        <v/>
      </c>
      <c r="S295" s="17" t="str">
        <f>IF(B295="","",IFERROR(INDEX(Trabajadores!$G$5:$G$204,MATCH(B295,Trabajadores!$A$5:$A$204,0)),""))</f>
        <v/>
      </c>
      <c r="T295" s="17" t="str">
        <f>IF(OR(OR(A295="",D295="",E295=""),S295=""),"",ROUND(S295*(N(L295)*Parámetros!$B$8+N(M295)*(1+Parámetros!$B$9)+N(N295)*(1+Parámetros!$B$10)+N(O295)*(1+AG295)+N(P295)*(1+AG295+Parámetros!$B$8)+N(Q295)*(1+AG295+Parámetros!$B$9)+N(R295)*(1+AG295+Parámetros!$B$10)),0))</f>
        <v/>
      </c>
      <c r="U295" s="5" t="str">
        <f>IF(OR(A295="",D295="",E295=""),"",IF(N(M295)+N(N295)+N(Q295)+N(R295)&gt;Parámetros!$B$12,"Supera el límite de horas extras diarias",IF(C295="Cédula no registrada","Registre la cédula en «Trabajadores»","")))</f>
        <v/>
      </c>
      <c r="X295" s="20">
        <f t="shared" si="90"/>
        <v>0</v>
      </c>
      <c r="Y295" s="20">
        <f t="shared" si="91"/>
        <v>0</v>
      </c>
      <c r="Z295" s="20">
        <f t="shared" si="92"/>
        <v>0</v>
      </c>
      <c r="AA295" s="20">
        <f t="shared" si="93"/>
        <v>0</v>
      </c>
      <c r="AB295" s="20">
        <f t="shared" si="94"/>
        <v>0</v>
      </c>
      <c r="AC295" s="20">
        <f t="shared" si="95"/>
        <v>0</v>
      </c>
      <c r="AD295" s="20">
        <f>IF(A295="",21/24,MOD(VLOOKUP(A295,Parámetros!$A$24:$B$25,2,TRUE()),1))</f>
        <v>0.875</v>
      </c>
      <c r="AE295" s="5">
        <f>IF(A295="",0,IF(OR(WEEKDAY(A295,2)=7,COUNTIF(Festivos!$A$5:$A$451,A295)&gt;0),1,0))</f>
        <v>0</v>
      </c>
      <c r="AF295" s="5">
        <f>IF(A295="",0,IF(OR(WEEKDAY(A295+1,2)=7,COUNTIF(Festivos!$A$5:$A$451,A295+1)&gt;0),1,0))</f>
        <v>0</v>
      </c>
      <c r="AG295" s="9">
        <f>IF(A295="",0,VLOOKUP(A295,Parámetros!$A$18:$B$21,2,TRUE()))</f>
        <v>0</v>
      </c>
      <c r="AH295" s="20">
        <f t="shared" si="96"/>
        <v>0</v>
      </c>
      <c r="AI295" s="20">
        <f>MAX(0,MIN(AB295,Parámetros!$B$11)-MAX(X295,0))+MAX(0,MIN(AB295,1+Parámetros!$B$11)-MAX(X295,AD295))+MAX(0,MIN(AB295,2)-MAX(X295,1+AD295))</f>
        <v>0</v>
      </c>
      <c r="AJ295" s="20">
        <f t="shared" si="97"/>
        <v>0</v>
      </c>
      <c r="AK295" s="20">
        <f>AE295*(MAX(0,MIN(AB295,Parámetros!$B$11)-MAX(X295,0))+MAX(0,MIN(AB295,1)-MAX(X295,AD295)))+AF295*(MAX(0,MIN(AB295,1+Parámetros!$B$11)-MAX(X295,1))+MAX(0,MIN(AB295,2)-MAX(X295,1+AD295)))</f>
        <v>0</v>
      </c>
      <c r="AL295" s="20">
        <f t="shared" si="98"/>
        <v>0</v>
      </c>
      <c r="AM295" s="20">
        <f>MAX(0,MIN(AC295,Parámetros!$B$11)-MAX(AB295,0))+MAX(0,MIN(AC295,1+Parámetros!$B$11)-MAX(AB295,AD295))+MAX(0,MIN(AC295,2)-MAX(AB295,1+AD295))</f>
        <v>0</v>
      </c>
      <c r="AN295" s="20">
        <f t="shared" si="99"/>
        <v>0</v>
      </c>
      <c r="AO295" s="20">
        <f>AE295*(MAX(0,MIN(AC295,Parámetros!$B$11)-MAX(AB295,0))+MAX(0,MIN(AC295,1)-MAX(AB295,AD295)))+AF295*(MAX(0,MIN(AC295,1+Parámetros!$B$11)-MAX(AB295,1))+MAX(0,MIN(AC295,2)-MAX(AB295,1+AD295)))</f>
        <v>0</v>
      </c>
    </row>
    <row r="296" spans="1:41" x14ac:dyDescent="0.25">
      <c r="A296" s="15"/>
      <c r="B296" s="8"/>
      <c r="C296" s="5" t="str">
        <f>IF(B296="","",IFERROR(INDEX(Trabajadores!$B$5:$B$204,MATCH(B296,Trabajadores!$A$5:$A$204,0)),"Cédula no registrada"))</f>
        <v/>
      </c>
      <c r="D296" s="11"/>
      <c r="E296" s="11"/>
      <c r="F296" s="8"/>
      <c r="G296" s="18" t="str">
        <f>IF(A296="","",IFERROR(INDEX(Trabajadores!$E$5:$E$204,MATCH(B296,Trabajadores!$A$5:$A$204,0))/Parámetros!$B$6,0)+IF(IFERROR(INDEX(Trabajadores!$E$5:$E$204,MATCH(B296,Trabajadores!$A$5:$A$204,0)),"")="",Parámetros!$B$7,0))</f>
        <v/>
      </c>
      <c r="H296" s="5" t="str">
        <f t="shared" si="80"/>
        <v/>
      </c>
      <c r="I296" s="5" t="str">
        <f>IF(A296="","",IF(COUNTIF(Festivos!$A$5:$A$451,A296)&gt;0,"Festivo",IF(WEEKDAY(A296,2)=7,"Domingo",IF(AND(AF296=1,AC296&gt;1),IF(COUNTIF(Festivos!$A$5:$A$451,A296+1)&gt;0,"Festivo","Domingo")&amp;" desde las 00:00",""))))</f>
        <v/>
      </c>
      <c r="J296" s="19" t="str">
        <f t="shared" si="81"/>
        <v/>
      </c>
      <c r="K296" s="19" t="str">
        <f t="shared" si="82"/>
        <v/>
      </c>
      <c r="L296" s="19" t="str">
        <f t="shared" si="83"/>
        <v/>
      </c>
      <c r="M296" s="19" t="str">
        <f t="shared" si="84"/>
        <v/>
      </c>
      <c r="N296" s="19" t="str">
        <f t="shared" si="85"/>
        <v/>
      </c>
      <c r="O296" s="19" t="str">
        <f t="shared" si="86"/>
        <v/>
      </c>
      <c r="P296" s="19" t="str">
        <f t="shared" si="87"/>
        <v/>
      </c>
      <c r="Q296" s="19" t="str">
        <f t="shared" si="88"/>
        <v/>
      </c>
      <c r="R296" s="19" t="str">
        <f t="shared" si="89"/>
        <v/>
      </c>
      <c r="S296" s="17" t="str">
        <f>IF(B296="","",IFERROR(INDEX(Trabajadores!$G$5:$G$204,MATCH(B296,Trabajadores!$A$5:$A$204,0)),""))</f>
        <v/>
      </c>
      <c r="T296" s="17" t="str">
        <f>IF(OR(OR(A296="",D296="",E296=""),S296=""),"",ROUND(S296*(N(L296)*Parámetros!$B$8+N(M296)*(1+Parámetros!$B$9)+N(N296)*(1+Parámetros!$B$10)+N(O296)*(1+AG296)+N(P296)*(1+AG296+Parámetros!$B$8)+N(Q296)*(1+AG296+Parámetros!$B$9)+N(R296)*(1+AG296+Parámetros!$B$10)),0))</f>
        <v/>
      </c>
      <c r="U296" s="5" t="str">
        <f>IF(OR(A296="",D296="",E296=""),"",IF(N(M296)+N(N296)+N(Q296)+N(R296)&gt;Parámetros!$B$12,"Supera el límite de horas extras diarias",IF(C296="Cédula no registrada","Registre la cédula en «Trabajadores»","")))</f>
        <v/>
      </c>
      <c r="X296" s="20">
        <f t="shared" si="90"/>
        <v>0</v>
      </c>
      <c r="Y296" s="20">
        <f t="shared" si="91"/>
        <v>0</v>
      </c>
      <c r="Z296" s="20">
        <f t="shared" si="92"/>
        <v>0</v>
      </c>
      <c r="AA296" s="20">
        <f t="shared" si="93"/>
        <v>0</v>
      </c>
      <c r="AB296" s="20">
        <f t="shared" si="94"/>
        <v>0</v>
      </c>
      <c r="AC296" s="20">
        <f t="shared" si="95"/>
        <v>0</v>
      </c>
      <c r="AD296" s="20">
        <f>IF(A296="",21/24,MOD(VLOOKUP(A296,Parámetros!$A$24:$B$25,2,TRUE()),1))</f>
        <v>0.875</v>
      </c>
      <c r="AE296" s="5">
        <f>IF(A296="",0,IF(OR(WEEKDAY(A296,2)=7,COUNTIF(Festivos!$A$5:$A$451,A296)&gt;0),1,0))</f>
        <v>0</v>
      </c>
      <c r="AF296" s="5">
        <f>IF(A296="",0,IF(OR(WEEKDAY(A296+1,2)=7,COUNTIF(Festivos!$A$5:$A$451,A296+1)&gt;0),1,0))</f>
        <v>0</v>
      </c>
      <c r="AG296" s="9">
        <f>IF(A296="",0,VLOOKUP(A296,Parámetros!$A$18:$B$21,2,TRUE()))</f>
        <v>0</v>
      </c>
      <c r="AH296" s="20">
        <f t="shared" si="96"/>
        <v>0</v>
      </c>
      <c r="AI296" s="20">
        <f>MAX(0,MIN(AB296,Parámetros!$B$11)-MAX(X296,0))+MAX(0,MIN(AB296,1+Parámetros!$B$11)-MAX(X296,AD296))+MAX(0,MIN(AB296,2)-MAX(X296,1+AD296))</f>
        <v>0</v>
      </c>
      <c r="AJ296" s="20">
        <f t="shared" si="97"/>
        <v>0</v>
      </c>
      <c r="AK296" s="20">
        <f>AE296*(MAX(0,MIN(AB296,Parámetros!$B$11)-MAX(X296,0))+MAX(0,MIN(AB296,1)-MAX(X296,AD296)))+AF296*(MAX(0,MIN(AB296,1+Parámetros!$B$11)-MAX(X296,1))+MAX(0,MIN(AB296,2)-MAX(X296,1+AD296)))</f>
        <v>0</v>
      </c>
      <c r="AL296" s="20">
        <f t="shared" si="98"/>
        <v>0</v>
      </c>
      <c r="AM296" s="20">
        <f>MAX(0,MIN(AC296,Parámetros!$B$11)-MAX(AB296,0))+MAX(0,MIN(AC296,1+Parámetros!$B$11)-MAX(AB296,AD296))+MAX(0,MIN(AC296,2)-MAX(AB296,1+AD296))</f>
        <v>0</v>
      </c>
      <c r="AN296" s="20">
        <f t="shared" si="99"/>
        <v>0</v>
      </c>
      <c r="AO296" s="20">
        <f>AE296*(MAX(0,MIN(AC296,Parámetros!$B$11)-MAX(AB296,0))+MAX(0,MIN(AC296,1)-MAX(AB296,AD296)))+AF296*(MAX(0,MIN(AC296,1+Parámetros!$B$11)-MAX(AB296,1))+MAX(0,MIN(AC296,2)-MAX(AB296,1+AD296)))</f>
        <v>0</v>
      </c>
    </row>
    <row r="297" spans="1:41" x14ac:dyDescent="0.25">
      <c r="A297" s="15"/>
      <c r="B297" s="8"/>
      <c r="C297" s="5" t="str">
        <f>IF(B297="","",IFERROR(INDEX(Trabajadores!$B$5:$B$204,MATCH(B297,Trabajadores!$A$5:$A$204,0)),"Cédula no registrada"))</f>
        <v/>
      </c>
      <c r="D297" s="11"/>
      <c r="E297" s="11"/>
      <c r="F297" s="8"/>
      <c r="G297" s="18" t="str">
        <f>IF(A297="","",IFERROR(INDEX(Trabajadores!$E$5:$E$204,MATCH(B297,Trabajadores!$A$5:$A$204,0))/Parámetros!$B$6,0)+IF(IFERROR(INDEX(Trabajadores!$E$5:$E$204,MATCH(B297,Trabajadores!$A$5:$A$204,0)),"")="",Parámetros!$B$7,0))</f>
        <v/>
      </c>
      <c r="H297" s="5" t="str">
        <f t="shared" si="80"/>
        <v/>
      </c>
      <c r="I297" s="5" t="str">
        <f>IF(A297="","",IF(COUNTIF(Festivos!$A$5:$A$451,A297)&gt;0,"Festivo",IF(WEEKDAY(A297,2)=7,"Domingo",IF(AND(AF297=1,AC297&gt;1),IF(COUNTIF(Festivos!$A$5:$A$451,A297+1)&gt;0,"Festivo","Domingo")&amp;" desde las 00:00",""))))</f>
        <v/>
      </c>
      <c r="J297" s="19" t="str">
        <f t="shared" si="81"/>
        <v/>
      </c>
      <c r="K297" s="19" t="str">
        <f t="shared" si="82"/>
        <v/>
      </c>
      <c r="L297" s="19" t="str">
        <f t="shared" si="83"/>
        <v/>
      </c>
      <c r="M297" s="19" t="str">
        <f t="shared" si="84"/>
        <v/>
      </c>
      <c r="N297" s="19" t="str">
        <f t="shared" si="85"/>
        <v/>
      </c>
      <c r="O297" s="19" t="str">
        <f t="shared" si="86"/>
        <v/>
      </c>
      <c r="P297" s="19" t="str">
        <f t="shared" si="87"/>
        <v/>
      </c>
      <c r="Q297" s="19" t="str">
        <f t="shared" si="88"/>
        <v/>
      </c>
      <c r="R297" s="19" t="str">
        <f t="shared" si="89"/>
        <v/>
      </c>
      <c r="S297" s="17" t="str">
        <f>IF(B297="","",IFERROR(INDEX(Trabajadores!$G$5:$G$204,MATCH(B297,Trabajadores!$A$5:$A$204,0)),""))</f>
        <v/>
      </c>
      <c r="T297" s="17" t="str">
        <f>IF(OR(OR(A297="",D297="",E297=""),S297=""),"",ROUND(S297*(N(L297)*Parámetros!$B$8+N(M297)*(1+Parámetros!$B$9)+N(N297)*(1+Parámetros!$B$10)+N(O297)*(1+AG297)+N(P297)*(1+AG297+Parámetros!$B$8)+N(Q297)*(1+AG297+Parámetros!$B$9)+N(R297)*(1+AG297+Parámetros!$B$10)),0))</f>
        <v/>
      </c>
      <c r="U297" s="5" t="str">
        <f>IF(OR(A297="",D297="",E297=""),"",IF(N(M297)+N(N297)+N(Q297)+N(R297)&gt;Parámetros!$B$12,"Supera el límite de horas extras diarias",IF(C297="Cédula no registrada","Registre la cédula en «Trabajadores»","")))</f>
        <v/>
      </c>
      <c r="X297" s="20">
        <f t="shared" si="90"/>
        <v>0</v>
      </c>
      <c r="Y297" s="20">
        <f t="shared" si="91"/>
        <v>0</v>
      </c>
      <c r="Z297" s="20">
        <f t="shared" si="92"/>
        <v>0</v>
      </c>
      <c r="AA297" s="20">
        <f t="shared" si="93"/>
        <v>0</v>
      </c>
      <c r="AB297" s="20">
        <f t="shared" si="94"/>
        <v>0</v>
      </c>
      <c r="AC297" s="20">
        <f t="shared" si="95"/>
        <v>0</v>
      </c>
      <c r="AD297" s="20">
        <f>IF(A297="",21/24,MOD(VLOOKUP(A297,Parámetros!$A$24:$B$25,2,TRUE()),1))</f>
        <v>0.875</v>
      </c>
      <c r="AE297" s="5">
        <f>IF(A297="",0,IF(OR(WEEKDAY(A297,2)=7,COUNTIF(Festivos!$A$5:$A$451,A297)&gt;0),1,0))</f>
        <v>0</v>
      </c>
      <c r="AF297" s="5">
        <f>IF(A297="",0,IF(OR(WEEKDAY(A297+1,2)=7,COUNTIF(Festivos!$A$5:$A$451,A297+1)&gt;0),1,0))</f>
        <v>0</v>
      </c>
      <c r="AG297" s="9">
        <f>IF(A297="",0,VLOOKUP(A297,Parámetros!$A$18:$B$21,2,TRUE()))</f>
        <v>0</v>
      </c>
      <c r="AH297" s="20">
        <f t="shared" si="96"/>
        <v>0</v>
      </c>
      <c r="AI297" s="20">
        <f>MAX(0,MIN(AB297,Parámetros!$B$11)-MAX(X297,0))+MAX(0,MIN(AB297,1+Parámetros!$B$11)-MAX(X297,AD297))+MAX(0,MIN(AB297,2)-MAX(X297,1+AD297))</f>
        <v>0</v>
      </c>
      <c r="AJ297" s="20">
        <f t="shared" si="97"/>
        <v>0</v>
      </c>
      <c r="AK297" s="20">
        <f>AE297*(MAX(0,MIN(AB297,Parámetros!$B$11)-MAX(X297,0))+MAX(0,MIN(AB297,1)-MAX(X297,AD297)))+AF297*(MAX(0,MIN(AB297,1+Parámetros!$B$11)-MAX(X297,1))+MAX(0,MIN(AB297,2)-MAX(X297,1+AD297)))</f>
        <v>0</v>
      </c>
      <c r="AL297" s="20">
        <f t="shared" si="98"/>
        <v>0</v>
      </c>
      <c r="AM297" s="20">
        <f>MAX(0,MIN(AC297,Parámetros!$B$11)-MAX(AB297,0))+MAX(0,MIN(AC297,1+Parámetros!$B$11)-MAX(AB297,AD297))+MAX(0,MIN(AC297,2)-MAX(AB297,1+AD297))</f>
        <v>0</v>
      </c>
      <c r="AN297" s="20">
        <f t="shared" si="99"/>
        <v>0</v>
      </c>
      <c r="AO297" s="20">
        <f>AE297*(MAX(0,MIN(AC297,Parámetros!$B$11)-MAX(AB297,0))+MAX(0,MIN(AC297,1)-MAX(AB297,AD297)))+AF297*(MAX(0,MIN(AC297,1+Parámetros!$B$11)-MAX(AB297,1))+MAX(0,MIN(AC297,2)-MAX(AB297,1+AD297)))</f>
        <v>0</v>
      </c>
    </row>
    <row r="298" spans="1:41" x14ac:dyDescent="0.25">
      <c r="A298" s="15"/>
      <c r="B298" s="8"/>
      <c r="C298" s="5" t="str">
        <f>IF(B298="","",IFERROR(INDEX(Trabajadores!$B$5:$B$204,MATCH(B298,Trabajadores!$A$5:$A$204,0)),"Cédula no registrada"))</f>
        <v/>
      </c>
      <c r="D298" s="11"/>
      <c r="E298" s="11"/>
      <c r="F298" s="8"/>
      <c r="G298" s="18" t="str">
        <f>IF(A298="","",IFERROR(INDEX(Trabajadores!$E$5:$E$204,MATCH(B298,Trabajadores!$A$5:$A$204,0))/Parámetros!$B$6,0)+IF(IFERROR(INDEX(Trabajadores!$E$5:$E$204,MATCH(B298,Trabajadores!$A$5:$A$204,0)),"")="",Parámetros!$B$7,0))</f>
        <v/>
      </c>
      <c r="H298" s="5" t="str">
        <f t="shared" si="80"/>
        <v/>
      </c>
      <c r="I298" s="5" t="str">
        <f>IF(A298="","",IF(COUNTIF(Festivos!$A$5:$A$451,A298)&gt;0,"Festivo",IF(WEEKDAY(A298,2)=7,"Domingo",IF(AND(AF298=1,AC298&gt;1),IF(COUNTIF(Festivos!$A$5:$A$451,A298+1)&gt;0,"Festivo","Domingo")&amp;" desde las 00:00",""))))</f>
        <v/>
      </c>
      <c r="J298" s="19" t="str">
        <f t="shared" si="81"/>
        <v/>
      </c>
      <c r="K298" s="19" t="str">
        <f t="shared" si="82"/>
        <v/>
      </c>
      <c r="L298" s="19" t="str">
        <f t="shared" si="83"/>
        <v/>
      </c>
      <c r="M298" s="19" t="str">
        <f t="shared" si="84"/>
        <v/>
      </c>
      <c r="N298" s="19" t="str">
        <f t="shared" si="85"/>
        <v/>
      </c>
      <c r="O298" s="19" t="str">
        <f t="shared" si="86"/>
        <v/>
      </c>
      <c r="P298" s="19" t="str">
        <f t="shared" si="87"/>
        <v/>
      </c>
      <c r="Q298" s="19" t="str">
        <f t="shared" si="88"/>
        <v/>
      </c>
      <c r="R298" s="19" t="str">
        <f t="shared" si="89"/>
        <v/>
      </c>
      <c r="S298" s="17" t="str">
        <f>IF(B298="","",IFERROR(INDEX(Trabajadores!$G$5:$G$204,MATCH(B298,Trabajadores!$A$5:$A$204,0)),""))</f>
        <v/>
      </c>
      <c r="T298" s="17" t="str">
        <f>IF(OR(OR(A298="",D298="",E298=""),S298=""),"",ROUND(S298*(N(L298)*Parámetros!$B$8+N(M298)*(1+Parámetros!$B$9)+N(N298)*(1+Parámetros!$B$10)+N(O298)*(1+AG298)+N(P298)*(1+AG298+Parámetros!$B$8)+N(Q298)*(1+AG298+Parámetros!$B$9)+N(R298)*(1+AG298+Parámetros!$B$10)),0))</f>
        <v/>
      </c>
      <c r="U298" s="5" t="str">
        <f>IF(OR(A298="",D298="",E298=""),"",IF(N(M298)+N(N298)+N(Q298)+N(R298)&gt;Parámetros!$B$12,"Supera el límite de horas extras diarias",IF(C298="Cédula no registrada","Registre la cédula en «Trabajadores»","")))</f>
        <v/>
      </c>
      <c r="X298" s="20">
        <f t="shared" si="90"/>
        <v>0</v>
      </c>
      <c r="Y298" s="20">
        <f t="shared" si="91"/>
        <v>0</v>
      </c>
      <c r="Z298" s="20">
        <f t="shared" si="92"/>
        <v>0</v>
      </c>
      <c r="AA298" s="20">
        <f t="shared" si="93"/>
        <v>0</v>
      </c>
      <c r="AB298" s="20">
        <f t="shared" si="94"/>
        <v>0</v>
      </c>
      <c r="AC298" s="20">
        <f t="shared" si="95"/>
        <v>0</v>
      </c>
      <c r="AD298" s="20">
        <f>IF(A298="",21/24,MOD(VLOOKUP(A298,Parámetros!$A$24:$B$25,2,TRUE()),1))</f>
        <v>0.875</v>
      </c>
      <c r="AE298" s="5">
        <f>IF(A298="",0,IF(OR(WEEKDAY(A298,2)=7,COUNTIF(Festivos!$A$5:$A$451,A298)&gt;0),1,0))</f>
        <v>0</v>
      </c>
      <c r="AF298" s="5">
        <f>IF(A298="",0,IF(OR(WEEKDAY(A298+1,2)=7,COUNTIF(Festivos!$A$5:$A$451,A298+1)&gt;0),1,0))</f>
        <v>0</v>
      </c>
      <c r="AG298" s="9">
        <f>IF(A298="",0,VLOOKUP(A298,Parámetros!$A$18:$B$21,2,TRUE()))</f>
        <v>0</v>
      </c>
      <c r="AH298" s="20">
        <f t="shared" si="96"/>
        <v>0</v>
      </c>
      <c r="AI298" s="20">
        <f>MAX(0,MIN(AB298,Parámetros!$B$11)-MAX(X298,0))+MAX(0,MIN(AB298,1+Parámetros!$B$11)-MAX(X298,AD298))+MAX(0,MIN(AB298,2)-MAX(X298,1+AD298))</f>
        <v>0</v>
      </c>
      <c r="AJ298" s="20">
        <f t="shared" si="97"/>
        <v>0</v>
      </c>
      <c r="AK298" s="20">
        <f>AE298*(MAX(0,MIN(AB298,Parámetros!$B$11)-MAX(X298,0))+MAX(0,MIN(AB298,1)-MAX(X298,AD298)))+AF298*(MAX(0,MIN(AB298,1+Parámetros!$B$11)-MAX(X298,1))+MAX(0,MIN(AB298,2)-MAX(X298,1+AD298)))</f>
        <v>0</v>
      </c>
      <c r="AL298" s="20">
        <f t="shared" si="98"/>
        <v>0</v>
      </c>
      <c r="AM298" s="20">
        <f>MAX(0,MIN(AC298,Parámetros!$B$11)-MAX(AB298,0))+MAX(0,MIN(AC298,1+Parámetros!$B$11)-MAX(AB298,AD298))+MAX(0,MIN(AC298,2)-MAX(AB298,1+AD298))</f>
        <v>0</v>
      </c>
      <c r="AN298" s="20">
        <f t="shared" si="99"/>
        <v>0</v>
      </c>
      <c r="AO298" s="20">
        <f>AE298*(MAX(0,MIN(AC298,Parámetros!$B$11)-MAX(AB298,0))+MAX(0,MIN(AC298,1)-MAX(AB298,AD298)))+AF298*(MAX(0,MIN(AC298,1+Parámetros!$B$11)-MAX(AB298,1))+MAX(0,MIN(AC298,2)-MAX(AB298,1+AD298)))</f>
        <v>0</v>
      </c>
    </row>
    <row r="299" spans="1:41" x14ac:dyDescent="0.25">
      <c r="A299" s="15"/>
      <c r="B299" s="8"/>
      <c r="C299" s="5" t="str">
        <f>IF(B299="","",IFERROR(INDEX(Trabajadores!$B$5:$B$204,MATCH(B299,Trabajadores!$A$5:$A$204,0)),"Cédula no registrada"))</f>
        <v/>
      </c>
      <c r="D299" s="11"/>
      <c r="E299" s="11"/>
      <c r="F299" s="8"/>
      <c r="G299" s="18" t="str">
        <f>IF(A299="","",IFERROR(INDEX(Trabajadores!$E$5:$E$204,MATCH(B299,Trabajadores!$A$5:$A$204,0))/Parámetros!$B$6,0)+IF(IFERROR(INDEX(Trabajadores!$E$5:$E$204,MATCH(B299,Trabajadores!$A$5:$A$204,0)),"")="",Parámetros!$B$7,0))</f>
        <v/>
      </c>
      <c r="H299" s="5" t="str">
        <f t="shared" si="80"/>
        <v/>
      </c>
      <c r="I299" s="5" t="str">
        <f>IF(A299="","",IF(COUNTIF(Festivos!$A$5:$A$451,A299)&gt;0,"Festivo",IF(WEEKDAY(A299,2)=7,"Domingo",IF(AND(AF299=1,AC299&gt;1),IF(COUNTIF(Festivos!$A$5:$A$451,A299+1)&gt;0,"Festivo","Domingo")&amp;" desde las 00:00",""))))</f>
        <v/>
      </c>
      <c r="J299" s="19" t="str">
        <f t="shared" si="81"/>
        <v/>
      </c>
      <c r="K299" s="19" t="str">
        <f t="shared" si="82"/>
        <v/>
      </c>
      <c r="L299" s="19" t="str">
        <f t="shared" si="83"/>
        <v/>
      </c>
      <c r="M299" s="19" t="str">
        <f t="shared" si="84"/>
        <v/>
      </c>
      <c r="N299" s="19" t="str">
        <f t="shared" si="85"/>
        <v/>
      </c>
      <c r="O299" s="19" t="str">
        <f t="shared" si="86"/>
        <v/>
      </c>
      <c r="P299" s="19" t="str">
        <f t="shared" si="87"/>
        <v/>
      </c>
      <c r="Q299" s="19" t="str">
        <f t="shared" si="88"/>
        <v/>
      </c>
      <c r="R299" s="19" t="str">
        <f t="shared" si="89"/>
        <v/>
      </c>
      <c r="S299" s="17" t="str">
        <f>IF(B299="","",IFERROR(INDEX(Trabajadores!$G$5:$G$204,MATCH(B299,Trabajadores!$A$5:$A$204,0)),""))</f>
        <v/>
      </c>
      <c r="T299" s="17" t="str">
        <f>IF(OR(OR(A299="",D299="",E299=""),S299=""),"",ROUND(S299*(N(L299)*Parámetros!$B$8+N(M299)*(1+Parámetros!$B$9)+N(N299)*(1+Parámetros!$B$10)+N(O299)*(1+AG299)+N(P299)*(1+AG299+Parámetros!$B$8)+N(Q299)*(1+AG299+Parámetros!$B$9)+N(R299)*(1+AG299+Parámetros!$B$10)),0))</f>
        <v/>
      </c>
      <c r="U299" s="5" t="str">
        <f>IF(OR(A299="",D299="",E299=""),"",IF(N(M299)+N(N299)+N(Q299)+N(R299)&gt;Parámetros!$B$12,"Supera el límite de horas extras diarias",IF(C299="Cédula no registrada","Registre la cédula en «Trabajadores»","")))</f>
        <v/>
      </c>
      <c r="X299" s="20">
        <f t="shared" si="90"/>
        <v>0</v>
      </c>
      <c r="Y299" s="20">
        <f t="shared" si="91"/>
        <v>0</v>
      </c>
      <c r="Z299" s="20">
        <f t="shared" si="92"/>
        <v>0</v>
      </c>
      <c r="AA299" s="20">
        <f t="shared" si="93"/>
        <v>0</v>
      </c>
      <c r="AB299" s="20">
        <f t="shared" si="94"/>
        <v>0</v>
      </c>
      <c r="AC299" s="20">
        <f t="shared" si="95"/>
        <v>0</v>
      </c>
      <c r="AD299" s="20">
        <f>IF(A299="",21/24,MOD(VLOOKUP(A299,Parámetros!$A$24:$B$25,2,TRUE()),1))</f>
        <v>0.875</v>
      </c>
      <c r="AE299" s="5">
        <f>IF(A299="",0,IF(OR(WEEKDAY(A299,2)=7,COUNTIF(Festivos!$A$5:$A$451,A299)&gt;0),1,0))</f>
        <v>0</v>
      </c>
      <c r="AF299" s="5">
        <f>IF(A299="",0,IF(OR(WEEKDAY(A299+1,2)=7,COUNTIF(Festivos!$A$5:$A$451,A299+1)&gt;0),1,0))</f>
        <v>0</v>
      </c>
      <c r="AG299" s="9">
        <f>IF(A299="",0,VLOOKUP(A299,Parámetros!$A$18:$B$21,2,TRUE()))</f>
        <v>0</v>
      </c>
      <c r="AH299" s="20">
        <f t="shared" si="96"/>
        <v>0</v>
      </c>
      <c r="AI299" s="20">
        <f>MAX(0,MIN(AB299,Parámetros!$B$11)-MAX(X299,0))+MAX(0,MIN(AB299,1+Parámetros!$B$11)-MAX(X299,AD299))+MAX(0,MIN(AB299,2)-MAX(X299,1+AD299))</f>
        <v>0</v>
      </c>
      <c r="AJ299" s="20">
        <f t="shared" si="97"/>
        <v>0</v>
      </c>
      <c r="AK299" s="20">
        <f>AE299*(MAX(0,MIN(AB299,Parámetros!$B$11)-MAX(X299,0))+MAX(0,MIN(AB299,1)-MAX(X299,AD299)))+AF299*(MAX(0,MIN(AB299,1+Parámetros!$B$11)-MAX(X299,1))+MAX(0,MIN(AB299,2)-MAX(X299,1+AD299)))</f>
        <v>0</v>
      </c>
      <c r="AL299" s="20">
        <f t="shared" si="98"/>
        <v>0</v>
      </c>
      <c r="AM299" s="20">
        <f>MAX(0,MIN(AC299,Parámetros!$B$11)-MAX(AB299,0))+MAX(0,MIN(AC299,1+Parámetros!$B$11)-MAX(AB299,AD299))+MAX(0,MIN(AC299,2)-MAX(AB299,1+AD299))</f>
        <v>0</v>
      </c>
      <c r="AN299" s="20">
        <f t="shared" si="99"/>
        <v>0</v>
      </c>
      <c r="AO299" s="20">
        <f>AE299*(MAX(0,MIN(AC299,Parámetros!$B$11)-MAX(AB299,0))+MAX(0,MIN(AC299,1)-MAX(AB299,AD299)))+AF299*(MAX(0,MIN(AC299,1+Parámetros!$B$11)-MAX(AB299,1))+MAX(0,MIN(AC299,2)-MAX(AB299,1+AD299)))</f>
        <v>0</v>
      </c>
    </row>
    <row r="300" spans="1:41" x14ac:dyDescent="0.25">
      <c r="A300" s="15"/>
      <c r="B300" s="8"/>
      <c r="C300" s="5" t="str">
        <f>IF(B300="","",IFERROR(INDEX(Trabajadores!$B$5:$B$204,MATCH(B300,Trabajadores!$A$5:$A$204,0)),"Cédula no registrada"))</f>
        <v/>
      </c>
      <c r="D300" s="11"/>
      <c r="E300" s="11"/>
      <c r="F300" s="8"/>
      <c r="G300" s="18" t="str">
        <f>IF(A300="","",IFERROR(INDEX(Trabajadores!$E$5:$E$204,MATCH(B300,Trabajadores!$A$5:$A$204,0))/Parámetros!$B$6,0)+IF(IFERROR(INDEX(Trabajadores!$E$5:$E$204,MATCH(B300,Trabajadores!$A$5:$A$204,0)),"")="",Parámetros!$B$7,0))</f>
        <v/>
      </c>
      <c r="H300" s="5" t="str">
        <f t="shared" si="80"/>
        <v/>
      </c>
      <c r="I300" s="5" t="str">
        <f>IF(A300="","",IF(COUNTIF(Festivos!$A$5:$A$451,A300)&gt;0,"Festivo",IF(WEEKDAY(A300,2)=7,"Domingo",IF(AND(AF300=1,AC300&gt;1),IF(COUNTIF(Festivos!$A$5:$A$451,A300+1)&gt;0,"Festivo","Domingo")&amp;" desde las 00:00",""))))</f>
        <v/>
      </c>
      <c r="J300" s="19" t="str">
        <f t="shared" si="81"/>
        <v/>
      </c>
      <c r="K300" s="19" t="str">
        <f t="shared" si="82"/>
        <v/>
      </c>
      <c r="L300" s="19" t="str">
        <f t="shared" si="83"/>
        <v/>
      </c>
      <c r="M300" s="19" t="str">
        <f t="shared" si="84"/>
        <v/>
      </c>
      <c r="N300" s="19" t="str">
        <f t="shared" si="85"/>
        <v/>
      </c>
      <c r="O300" s="19" t="str">
        <f t="shared" si="86"/>
        <v/>
      </c>
      <c r="P300" s="19" t="str">
        <f t="shared" si="87"/>
        <v/>
      </c>
      <c r="Q300" s="19" t="str">
        <f t="shared" si="88"/>
        <v/>
      </c>
      <c r="R300" s="19" t="str">
        <f t="shared" si="89"/>
        <v/>
      </c>
      <c r="S300" s="17" t="str">
        <f>IF(B300="","",IFERROR(INDEX(Trabajadores!$G$5:$G$204,MATCH(B300,Trabajadores!$A$5:$A$204,0)),""))</f>
        <v/>
      </c>
      <c r="T300" s="17" t="str">
        <f>IF(OR(OR(A300="",D300="",E300=""),S300=""),"",ROUND(S300*(N(L300)*Parámetros!$B$8+N(M300)*(1+Parámetros!$B$9)+N(N300)*(1+Parámetros!$B$10)+N(O300)*(1+AG300)+N(P300)*(1+AG300+Parámetros!$B$8)+N(Q300)*(1+AG300+Parámetros!$B$9)+N(R300)*(1+AG300+Parámetros!$B$10)),0))</f>
        <v/>
      </c>
      <c r="U300" s="5" t="str">
        <f>IF(OR(A300="",D300="",E300=""),"",IF(N(M300)+N(N300)+N(Q300)+N(R300)&gt;Parámetros!$B$12,"Supera el límite de horas extras diarias",IF(C300="Cédula no registrada","Registre la cédula en «Trabajadores»","")))</f>
        <v/>
      </c>
      <c r="X300" s="20">
        <f t="shared" si="90"/>
        <v>0</v>
      </c>
      <c r="Y300" s="20">
        <f t="shared" si="91"/>
        <v>0</v>
      </c>
      <c r="Z300" s="20">
        <f t="shared" si="92"/>
        <v>0</v>
      </c>
      <c r="AA300" s="20">
        <f t="shared" si="93"/>
        <v>0</v>
      </c>
      <c r="AB300" s="20">
        <f t="shared" si="94"/>
        <v>0</v>
      </c>
      <c r="AC300" s="20">
        <f t="shared" si="95"/>
        <v>0</v>
      </c>
      <c r="AD300" s="20">
        <f>IF(A300="",21/24,MOD(VLOOKUP(A300,Parámetros!$A$24:$B$25,2,TRUE()),1))</f>
        <v>0.875</v>
      </c>
      <c r="AE300" s="5">
        <f>IF(A300="",0,IF(OR(WEEKDAY(A300,2)=7,COUNTIF(Festivos!$A$5:$A$451,A300)&gt;0),1,0))</f>
        <v>0</v>
      </c>
      <c r="AF300" s="5">
        <f>IF(A300="",0,IF(OR(WEEKDAY(A300+1,2)=7,COUNTIF(Festivos!$A$5:$A$451,A300+1)&gt;0),1,0))</f>
        <v>0</v>
      </c>
      <c r="AG300" s="9">
        <f>IF(A300="",0,VLOOKUP(A300,Parámetros!$A$18:$B$21,2,TRUE()))</f>
        <v>0</v>
      </c>
      <c r="AH300" s="20">
        <f t="shared" si="96"/>
        <v>0</v>
      </c>
      <c r="AI300" s="20">
        <f>MAX(0,MIN(AB300,Parámetros!$B$11)-MAX(X300,0))+MAX(0,MIN(AB300,1+Parámetros!$B$11)-MAX(X300,AD300))+MAX(0,MIN(AB300,2)-MAX(X300,1+AD300))</f>
        <v>0</v>
      </c>
      <c r="AJ300" s="20">
        <f t="shared" si="97"/>
        <v>0</v>
      </c>
      <c r="AK300" s="20">
        <f>AE300*(MAX(0,MIN(AB300,Parámetros!$B$11)-MAX(X300,0))+MAX(0,MIN(AB300,1)-MAX(X300,AD300)))+AF300*(MAX(0,MIN(AB300,1+Parámetros!$B$11)-MAX(X300,1))+MAX(0,MIN(AB300,2)-MAX(X300,1+AD300)))</f>
        <v>0</v>
      </c>
      <c r="AL300" s="20">
        <f t="shared" si="98"/>
        <v>0</v>
      </c>
      <c r="AM300" s="20">
        <f>MAX(0,MIN(AC300,Parámetros!$B$11)-MAX(AB300,0))+MAX(0,MIN(AC300,1+Parámetros!$B$11)-MAX(AB300,AD300))+MAX(0,MIN(AC300,2)-MAX(AB300,1+AD300))</f>
        <v>0</v>
      </c>
      <c r="AN300" s="20">
        <f t="shared" si="99"/>
        <v>0</v>
      </c>
      <c r="AO300" s="20">
        <f>AE300*(MAX(0,MIN(AC300,Parámetros!$B$11)-MAX(AB300,0))+MAX(0,MIN(AC300,1)-MAX(AB300,AD300)))+AF300*(MAX(0,MIN(AC300,1+Parámetros!$B$11)-MAX(AB300,1))+MAX(0,MIN(AC300,2)-MAX(AB300,1+AD300)))</f>
        <v>0</v>
      </c>
    </row>
    <row r="301" spans="1:41" x14ac:dyDescent="0.25">
      <c r="A301" s="15"/>
      <c r="B301" s="8"/>
      <c r="C301" s="5" t="str">
        <f>IF(B301="","",IFERROR(INDEX(Trabajadores!$B$5:$B$204,MATCH(B301,Trabajadores!$A$5:$A$204,0)),"Cédula no registrada"))</f>
        <v/>
      </c>
      <c r="D301" s="11"/>
      <c r="E301" s="11"/>
      <c r="F301" s="8"/>
      <c r="G301" s="18" t="str">
        <f>IF(A301="","",IFERROR(INDEX(Trabajadores!$E$5:$E$204,MATCH(B301,Trabajadores!$A$5:$A$204,0))/Parámetros!$B$6,0)+IF(IFERROR(INDEX(Trabajadores!$E$5:$E$204,MATCH(B301,Trabajadores!$A$5:$A$204,0)),"")="",Parámetros!$B$7,0))</f>
        <v/>
      </c>
      <c r="H301" s="5" t="str">
        <f t="shared" si="80"/>
        <v/>
      </c>
      <c r="I301" s="5" t="str">
        <f>IF(A301="","",IF(COUNTIF(Festivos!$A$5:$A$451,A301)&gt;0,"Festivo",IF(WEEKDAY(A301,2)=7,"Domingo",IF(AND(AF301=1,AC301&gt;1),IF(COUNTIF(Festivos!$A$5:$A$451,A301+1)&gt;0,"Festivo","Domingo")&amp;" desde las 00:00",""))))</f>
        <v/>
      </c>
      <c r="J301" s="19" t="str">
        <f t="shared" si="81"/>
        <v/>
      </c>
      <c r="K301" s="19" t="str">
        <f t="shared" si="82"/>
        <v/>
      </c>
      <c r="L301" s="19" t="str">
        <f t="shared" si="83"/>
        <v/>
      </c>
      <c r="M301" s="19" t="str">
        <f t="shared" si="84"/>
        <v/>
      </c>
      <c r="N301" s="19" t="str">
        <f t="shared" si="85"/>
        <v/>
      </c>
      <c r="O301" s="19" t="str">
        <f t="shared" si="86"/>
        <v/>
      </c>
      <c r="P301" s="19" t="str">
        <f t="shared" si="87"/>
        <v/>
      </c>
      <c r="Q301" s="19" t="str">
        <f t="shared" si="88"/>
        <v/>
      </c>
      <c r="R301" s="19" t="str">
        <f t="shared" si="89"/>
        <v/>
      </c>
      <c r="S301" s="17" t="str">
        <f>IF(B301="","",IFERROR(INDEX(Trabajadores!$G$5:$G$204,MATCH(B301,Trabajadores!$A$5:$A$204,0)),""))</f>
        <v/>
      </c>
      <c r="T301" s="17" t="str">
        <f>IF(OR(OR(A301="",D301="",E301=""),S301=""),"",ROUND(S301*(N(L301)*Parámetros!$B$8+N(M301)*(1+Parámetros!$B$9)+N(N301)*(1+Parámetros!$B$10)+N(O301)*(1+AG301)+N(P301)*(1+AG301+Parámetros!$B$8)+N(Q301)*(1+AG301+Parámetros!$B$9)+N(R301)*(1+AG301+Parámetros!$B$10)),0))</f>
        <v/>
      </c>
      <c r="U301" s="5" t="str">
        <f>IF(OR(A301="",D301="",E301=""),"",IF(N(M301)+N(N301)+N(Q301)+N(R301)&gt;Parámetros!$B$12,"Supera el límite de horas extras diarias",IF(C301="Cédula no registrada","Registre la cédula en «Trabajadores»","")))</f>
        <v/>
      </c>
      <c r="X301" s="20">
        <f t="shared" si="90"/>
        <v>0</v>
      </c>
      <c r="Y301" s="20">
        <f t="shared" si="91"/>
        <v>0</v>
      </c>
      <c r="Z301" s="20">
        <f t="shared" si="92"/>
        <v>0</v>
      </c>
      <c r="AA301" s="20">
        <f t="shared" si="93"/>
        <v>0</v>
      </c>
      <c r="AB301" s="20">
        <f t="shared" si="94"/>
        <v>0</v>
      </c>
      <c r="AC301" s="20">
        <f t="shared" si="95"/>
        <v>0</v>
      </c>
      <c r="AD301" s="20">
        <f>IF(A301="",21/24,MOD(VLOOKUP(A301,Parámetros!$A$24:$B$25,2,TRUE()),1))</f>
        <v>0.875</v>
      </c>
      <c r="AE301" s="5">
        <f>IF(A301="",0,IF(OR(WEEKDAY(A301,2)=7,COUNTIF(Festivos!$A$5:$A$451,A301)&gt;0),1,0))</f>
        <v>0</v>
      </c>
      <c r="AF301" s="5">
        <f>IF(A301="",0,IF(OR(WEEKDAY(A301+1,2)=7,COUNTIF(Festivos!$A$5:$A$451,A301+1)&gt;0),1,0))</f>
        <v>0</v>
      </c>
      <c r="AG301" s="9">
        <f>IF(A301="",0,VLOOKUP(A301,Parámetros!$A$18:$B$21,2,TRUE()))</f>
        <v>0</v>
      </c>
      <c r="AH301" s="20">
        <f t="shared" si="96"/>
        <v>0</v>
      </c>
      <c r="AI301" s="20">
        <f>MAX(0,MIN(AB301,Parámetros!$B$11)-MAX(X301,0))+MAX(0,MIN(AB301,1+Parámetros!$B$11)-MAX(X301,AD301))+MAX(0,MIN(AB301,2)-MAX(X301,1+AD301))</f>
        <v>0</v>
      </c>
      <c r="AJ301" s="20">
        <f t="shared" si="97"/>
        <v>0</v>
      </c>
      <c r="AK301" s="20">
        <f>AE301*(MAX(0,MIN(AB301,Parámetros!$B$11)-MAX(X301,0))+MAX(0,MIN(AB301,1)-MAX(X301,AD301)))+AF301*(MAX(0,MIN(AB301,1+Parámetros!$B$11)-MAX(X301,1))+MAX(0,MIN(AB301,2)-MAX(X301,1+AD301)))</f>
        <v>0</v>
      </c>
      <c r="AL301" s="20">
        <f t="shared" si="98"/>
        <v>0</v>
      </c>
      <c r="AM301" s="20">
        <f>MAX(0,MIN(AC301,Parámetros!$B$11)-MAX(AB301,0))+MAX(0,MIN(AC301,1+Parámetros!$B$11)-MAX(AB301,AD301))+MAX(0,MIN(AC301,2)-MAX(AB301,1+AD301))</f>
        <v>0</v>
      </c>
      <c r="AN301" s="20">
        <f t="shared" si="99"/>
        <v>0</v>
      </c>
      <c r="AO301" s="20">
        <f>AE301*(MAX(0,MIN(AC301,Parámetros!$B$11)-MAX(AB301,0))+MAX(0,MIN(AC301,1)-MAX(AB301,AD301)))+AF301*(MAX(0,MIN(AC301,1+Parámetros!$B$11)-MAX(AB301,1))+MAX(0,MIN(AC301,2)-MAX(AB301,1+AD301)))</f>
        <v>0</v>
      </c>
    </row>
    <row r="302" spans="1:41" x14ac:dyDescent="0.25">
      <c r="A302" s="15"/>
      <c r="B302" s="8"/>
      <c r="C302" s="5" t="str">
        <f>IF(B302="","",IFERROR(INDEX(Trabajadores!$B$5:$B$204,MATCH(B302,Trabajadores!$A$5:$A$204,0)),"Cédula no registrada"))</f>
        <v/>
      </c>
      <c r="D302" s="11"/>
      <c r="E302" s="11"/>
      <c r="F302" s="8"/>
      <c r="G302" s="18" t="str">
        <f>IF(A302="","",IFERROR(INDEX(Trabajadores!$E$5:$E$204,MATCH(B302,Trabajadores!$A$5:$A$204,0))/Parámetros!$B$6,0)+IF(IFERROR(INDEX(Trabajadores!$E$5:$E$204,MATCH(B302,Trabajadores!$A$5:$A$204,0)),"")="",Parámetros!$B$7,0))</f>
        <v/>
      </c>
      <c r="H302" s="5" t="str">
        <f t="shared" si="80"/>
        <v/>
      </c>
      <c r="I302" s="5" t="str">
        <f>IF(A302="","",IF(COUNTIF(Festivos!$A$5:$A$451,A302)&gt;0,"Festivo",IF(WEEKDAY(A302,2)=7,"Domingo",IF(AND(AF302=1,AC302&gt;1),IF(COUNTIF(Festivos!$A$5:$A$451,A302+1)&gt;0,"Festivo","Domingo")&amp;" desde las 00:00",""))))</f>
        <v/>
      </c>
      <c r="J302" s="19" t="str">
        <f t="shared" si="81"/>
        <v/>
      </c>
      <c r="K302" s="19" t="str">
        <f t="shared" si="82"/>
        <v/>
      </c>
      <c r="L302" s="19" t="str">
        <f t="shared" si="83"/>
        <v/>
      </c>
      <c r="M302" s="19" t="str">
        <f t="shared" si="84"/>
        <v/>
      </c>
      <c r="N302" s="19" t="str">
        <f t="shared" si="85"/>
        <v/>
      </c>
      <c r="O302" s="19" t="str">
        <f t="shared" si="86"/>
        <v/>
      </c>
      <c r="P302" s="19" t="str">
        <f t="shared" si="87"/>
        <v/>
      </c>
      <c r="Q302" s="19" t="str">
        <f t="shared" si="88"/>
        <v/>
      </c>
      <c r="R302" s="19" t="str">
        <f t="shared" si="89"/>
        <v/>
      </c>
      <c r="S302" s="17" t="str">
        <f>IF(B302="","",IFERROR(INDEX(Trabajadores!$G$5:$G$204,MATCH(B302,Trabajadores!$A$5:$A$204,0)),""))</f>
        <v/>
      </c>
      <c r="T302" s="17" t="str">
        <f>IF(OR(OR(A302="",D302="",E302=""),S302=""),"",ROUND(S302*(N(L302)*Parámetros!$B$8+N(M302)*(1+Parámetros!$B$9)+N(N302)*(1+Parámetros!$B$10)+N(O302)*(1+AG302)+N(P302)*(1+AG302+Parámetros!$B$8)+N(Q302)*(1+AG302+Parámetros!$B$9)+N(R302)*(1+AG302+Parámetros!$B$10)),0))</f>
        <v/>
      </c>
      <c r="U302" s="5" t="str">
        <f>IF(OR(A302="",D302="",E302=""),"",IF(N(M302)+N(N302)+N(Q302)+N(R302)&gt;Parámetros!$B$12,"Supera el límite de horas extras diarias",IF(C302="Cédula no registrada","Registre la cédula en «Trabajadores»","")))</f>
        <v/>
      </c>
      <c r="X302" s="20">
        <f t="shared" si="90"/>
        <v>0</v>
      </c>
      <c r="Y302" s="20">
        <f t="shared" si="91"/>
        <v>0</v>
      </c>
      <c r="Z302" s="20">
        <f t="shared" si="92"/>
        <v>0</v>
      </c>
      <c r="AA302" s="20">
        <f t="shared" si="93"/>
        <v>0</v>
      </c>
      <c r="AB302" s="20">
        <f t="shared" si="94"/>
        <v>0</v>
      </c>
      <c r="AC302" s="20">
        <f t="shared" si="95"/>
        <v>0</v>
      </c>
      <c r="AD302" s="20">
        <f>IF(A302="",21/24,MOD(VLOOKUP(A302,Parámetros!$A$24:$B$25,2,TRUE()),1))</f>
        <v>0.875</v>
      </c>
      <c r="AE302" s="5">
        <f>IF(A302="",0,IF(OR(WEEKDAY(A302,2)=7,COUNTIF(Festivos!$A$5:$A$451,A302)&gt;0),1,0))</f>
        <v>0</v>
      </c>
      <c r="AF302" s="5">
        <f>IF(A302="",0,IF(OR(WEEKDAY(A302+1,2)=7,COUNTIF(Festivos!$A$5:$A$451,A302+1)&gt;0),1,0))</f>
        <v>0</v>
      </c>
      <c r="AG302" s="9">
        <f>IF(A302="",0,VLOOKUP(A302,Parámetros!$A$18:$B$21,2,TRUE()))</f>
        <v>0</v>
      </c>
      <c r="AH302" s="20">
        <f t="shared" si="96"/>
        <v>0</v>
      </c>
      <c r="AI302" s="20">
        <f>MAX(0,MIN(AB302,Parámetros!$B$11)-MAX(X302,0))+MAX(0,MIN(AB302,1+Parámetros!$B$11)-MAX(X302,AD302))+MAX(0,MIN(AB302,2)-MAX(X302,1+AD302))</f>
        <v>0</v>
      </c>
      <c r="AJ302" s="20">
        <f t="shared" si="97"/>
        <v>0</v>
      </c>
      <c r="AK302" s="20">
        <f>AE302*(MAX(0,MIN(AB302,Parámetros!$B$11)-MAX(X302,0))+MAX(0,MIN(AB302,1)-MAX(X302,AD302)))+AF302*(MAX(0,MIN(AB302,1+Parámetros!$B$11)-MAX(X302,1))+MAX(0,MIN(AB302,2)-MAX(X302,1+AD302)))</f>
        <v>0</v>
      </c>
      <c r="AL302" s="20">
        <f t="shared" si="98"/>
        <v>0</v>
      </c>
      <c r="AM302" s="20">
        <f>MAX(0,MIN(AC302,Parámetros!$B$11)-MAX(AB302,0))+MAX(0,MIN(AC302,1+Parámetros!$B$11)-MAX(AB302,AD302))+MAX(0,MIN(AC302,2)-MAX(AB302,1+AD302))</f>
        <v>0</v>
      </c>
      <c r="AN302" s="20">
        <f t="shared" si="99"/>
        <v>0</v>
      </c>
      <c r="AO302" s="20">
        <f>AE302*(MAX(0,MIN(AC302,Parámetros!$B$11)-MAX(AB302,0))+MAX(0,MIN(AC302,1)-MAX(AB302,AD302)))+AF302*(MAX(0,MIN(AC302,1+Parámetros!$B$11)-MAX(AB302,1))+MAX(0,MIN(AC302,2)-MAX(AB302,1+AD302)))</f>
        <v>0</v>
      </c>
    </row>
    <row r="303" spans="1:41" x14ac:dyDescent="0.25">
      <c r="A303" s="15"/>
      <c r="B303" s="8"/>
      <c r="C303" s="5" t="str">
        <f>IF(B303="","",IFERROR(INDEX(Trabajadores!$B$5:$B$204,MATCH(B303,Trabajadores!$A$5:$A$204,0)),"Cédula no registrada"))</f>
        <v/>
      </c>
      <c r="D303" s="11"/>
      <c r="E303" s="11"/>
      <c r="F303" s="8"/>
      <c r="G303" s="18" t="str">
        <f>IF(A303="","",IFERROR(INDEX(Trabajadores!$E$5:$E$204,MATCH(B303,Trabajadores!$A$5:$A$204,0))/Parámetros!$B$6,0)+IF(IFERROR(INDEX(Trabajadores!$E$5:$E$204,MATCH(B303,Trabajadores!$A$5:$A$204,0)),"")="",Parámetros!$B$7,0))</f>
        <v/>
      </c>
      <c r="H303" s="5" t="str">
        <f t="shared" si="80"/>
        <v/>
      </c>
      <c r="I303" s="5" t="str">
        <f>IF(A303="","",IF(COUNTIF(Festivos!$A$5:$A$451,A303)&gt;0,"Festivo",IF(WEEKDAY(A303,2)=7,"Domingo",IF(AND(AF303=1,AC303&gt;1),IF(COUNTIF(Festivos!$A$5:$A$451,A303+1)&gt;0,"Festivo","Domingo")&amp;" desde las 00:00",""))))</f>
        <v/>
      </c>
      <c r="J303" s="19" t="str">
        <f t="shared" si="81"/>
        <v/>
      </c>
      <c r="K303" s="19" t="str">
        <f t="shared" si="82"/>
        <v/>
      </c>
      <c r="L303" s="19" t="str">
        <f t="shared" si="83"/>
        <v/>
      </c>
      <c r="M303" s="19" t="str">
        <f t="shared" si="84"/>
        <v/>
      </c>
      <c r="N303" s="19" t="str">
        <f t="shared" si="85"/>
        <v/>
      </c>
      <c r="O303" s="19" t="str">
        <f t="shared" si="86"/>
        <v/>
      </c>
      <c r="P303" s="19" t="str">
        <f t="shared" si="87"/>
        <v/>
      </c>
      <c r="Q303" s="19" t="str">
        <f t="shared" si="88"/>
        <v/>
      </c>
      <c r="R303" s="19" t="str">
        <f t="shared" si="89"/>
        <v/>
      </c>
      <c r="S303" s="17" t="str">
        <f>IF(B303="","",IFERROR(INDEX(Trabajadores!$G$5:$G$204,MATCH(B303,Trabajadores!$A$5:$A$204,0)),""))</f>
        <v/>
      </c>
      <c r="T303" s="17" t="str">
        <f>IF(OR(OR(A303="",D303="",E303=""),S303=""),"",ROUND(S303*(N(L303)*Parámetros!$B$8+N(M303)*(1+Parámetros!$B$9)+N(N303)*(1+Parámetros!$B$10)+N(O303)*(1+AG303)+N(P303)*(1+AG303+Parámetros!$B$8)+N(Q303)*(1+AG303+Parámetros!$B$9)+N(R303)*(1+AG303+Parámetros!$B$10)),0))</f>
        <v/>
      </c>
      <c r="U303" s="5" t="str">
        <f>IF(OR(A303="",D303="",E303=""),"",IF(N(M303)+N(N303)+N(Q303)+N(R303)&gt;Parámetros!$B$12,"Supera el límite de horas extras diarias",IF(C303="Cédula no registrada","Registre la cédula en «Trabajadores»","")))</f>
        <v/>
      </c>
      <c r="X303" s="20">
        <f t="shared" si="90"/>
        <v>0</v>
      </c>
      <c r="Y303" s="20">
        <f t="shared" si="91"/>
        <v>0</v>
      </c>
      <c r="Z303" s="20">
        <f t="shared" si="92"/>
        <v>0</v>
      </c>
      <c r="AA303" s="20">
        <f t="shared" si="93"/>
        <v>0</v>
      </c>
      <c r="AB303" s="20">
        <f t="shared" si="94"/>
        <v>0</v>
      </c>
      <c r="AC303" s="20">
        <f t="shared" si="95"/>
        <v>0</v>
      </c>
      <c r="AD303" s="20">
        <f>IF(A303="",21/24,MOD(VLOOKUP(A303,Parámetros!$A$24:$B$25,2,TRUE()),1))</f>
        <v>0.875</v>
      </c>
      <c r="AE303" s="5">
        <f>IF(A303="",0,IF(OR(WEEKDAY(A303,2)=7,COUNTIF(Festivos!$A$5:$A$451,A303)&gt;0),1,0))</f>
        <v>0</v>
      </c>
      <c r="AF303" s="5">
        <f>IF(A303="",0,IF(OR(WEEKDAY(A303+1,2)=7,COUNTIF(Festivos!$A$5:$A$451,A303+1)&gt;0),1,0))</f>
        <v>0</v>
      </c>
      <c r="AG303" s="9">
        <f>IF(A303="",0,VLOOKUP(A303,Parámetros!$A$18:$B$21,2,TRUE()))</f>
        <v>0</v>
      </c>
      <c r="AH303" s="20">
        <f t="shared" si="96"/>
        <v>0</v>
      </c>
      <c r="AI303" s="20">
        <f>MAX(0,MIN(AB303,Parámetros!$B$11)-MAX(X303,0))+MAX(0,MIN(AB303,1+Parámetros!$B$11)-MAX(X303,AD303))+MAX(0,MIN(AB303,2)-MAX(X303,1+AD303))</f>
        <v>0</v>
      </c>
      <c r="AJ303" s="20">
        <f t="shared" si="97"/>
        <v>0</v>
      </c>
      <c r="AK303" s="20">
        <f>AE303*(MAX(0,MIN(AB303,Parámetros!$B$11)-MAX(X303,0))+MAX(0,MIN(AB303,1)-MAX(X303,AD303)))+AF303*(MAX(0,MIN(AB303,1+Parámetros!$B$11)-MAX(X303,1))+MAX(0,MIN(AB303,2)-MAX(X303,1+AD303)))</f>
        <v>0</v>
      </c>
      <c r="AL303" s="20">
        <f t="shared" si="98"/>
        <v>0</v>
      </c>
      <c r="AM303" s="20">
        <f>MAX(0,MIN(AC303,Parámetros!$B$11)-MAX(AB303,0))+MAX(0,MIN(AC303,1+Parámetros!$B$11)-MAX(AB303,AD303))+MAX(0,MIN(AC303,2)-MAX(AB303,1+AD303))</f>
        <v>0</v>
      </c>
      <c r="AN303" s="20">
        <f t="shared" si="99"/>
        <v>0</v>
      </c>
      <c r="AO303" s="20">
        <f>AE303*(MAX(0,MIN(AC303,Parámetros!$B$11)-MAX(AB303,0))+MAX(0,MIN(AC303,1)-MAX(AB303,AD303)))+AF303*(MAX(0,MIN(AC303,1+Parámetros!$B$11)-MAX(AB303,1))+MAX(0,MIN(AC303,2)-MAX(AB303,1+AD303)))</f>
        <v>0</v>
      </c>
    </row>
    <row r="304" spans="1:41" x14ac:dyDescent="0.25">
      <c r="A304" s="15"/>
      <c r="B304" s="8"/>
      <c r="C304" s="5" t="str">
        <f>IF(B304="","",IFERROR(INDEX(Trabajadores!$B$5:$B$204,MATCH(B304,Trabajadores!$A$5:$A$204,0)),"Cédula no registrada"))</f>
        <v/>
      </c>
      <c r="D304" s="11"/>
      <c r="E304" s="11"/>
      <c r="F304" s="8"/>
      <c r="G304" s="18" t="str">
        <f>IF(A304="","",IFERROR(INDEX(Trabajadores!$E$5:$E$204,MATCH(B304,Trabajadores!$A$5:$A$204,0))/Parámetros!$B$6,0)+IF(IFERROR(INDEX(Trabajadores!$E$5:$E$204,MATCH(B304,Trabajadores!$A$5:$A$204,0)),"")="",Parámetros!$B$7,0))</f>
        <v/>
      </c>
      <c r="H304" s="5" t="str">
        <f t="shared" si="80"/>
        <v/>
      </c>
      <c r="I304" s="5" t="str">
        <f>IF(A304="","",IF(COUNTIF(Festivos!$A$5:$A$451,A304)&gt;0,"Festivo",IF(WEEKDAY(A304,2)=7,"Domingo",IF(AND(AF304=1,AC304&gt;1),IF(COUNTIF(Festivos!$A$5:$A$451,A304+1)&gt;0,"Festivo","Domingo")&amp;" desde las 00:00",""))))</f>
        <v/>
      </c>
      <c r="J304" s="19" t="str">
        <f t="shared" si="81"/>
        <v/>
      </c>
      <c r="K304" s="19" t="str">
        <f t="shared" si="82"/>
        <v/>
      </c>
      <c r="L304" s="19" t="str">
        <f t="shared" si="83"/>
        <v/>
      </c>
      <c r="M304" s="19" t="str">
        <f t="shared" si="84"/>
        <v/>
      </c>
      <c r="N304" s="19" t="str">
        <f t="shared" si="85"/>
        <v/>
      </c>
      <c r="O304" s="19" t="str">
        <f t="shared" si="86"/>
        <v/>
      </c>
      <c r="P304" s="19" t="str">
        <f t="shared" si="87"/>
        <v/>
      </c>
      <c r="Q304" s="19" t="str">
        <f t="shared" si="88"/>
        <v/>
      </c>
      <c r="R304" s="19" t="str">
        <f t="shared" si="89"/>
        <v/>
      </c>
      <c r="S304" s="17" t="str">
        <f>IF(B304="","",IFERROR(INDEX(Trabajadores!$G$5:$G$204,MATCH(B304,Trabajadores!$A$5:$A$204,0)),""))</f>
        <v/>
      </c>
      <c r="T304" s="17" t="str">
        <f>IF(OR(OR(A304="",D304="",E304=""),S304=""),"",ROUND(S304*(N(L304)*Parámetros!$B$8+N(M304)*(1+Parámetros!$B$9)+N(N304)*(1+Parámetros!$B$10)+N(O304)*(1+AG304)+N(P304)*(1+AG304+Parámetros!$B$8)+N(Q304)*(1+AG304+Parámetros!$B$9)+N(R304)*(1+AG304+Parámetros!$B$10)),0))</f>
        <v/>
      </c>
      <c r="U304" s="5" t="str">
        <f>IF(OR(A304="",D304="",E304=""),"",IF(N(M304)+N(N304)+N(Q304)+N(R304)&gt;Parámetros!$B$12,"Supera el límite de horas extras diarias",IF(C304="Cédula no registrada","Registre la cédula en «Trabajadores»","")))</f>
        <v/>
      </c>
      <c r="X304" s="20">
        <f t="shared" si="90"/>
        <v>0</v>
      </c>
      <c r="Y304" s="20">
        <f t="shared" si="91"/>
        <v>0</v>
      </c>
      <c r="Z304" s="20">
        <f t="shared" si="92"/>
        <v>0</v>
      </c>
      <c r="AA304" s="20">
        <f t="shared" si="93"/>
        <v>0</v>
      </c>
      <c r="AB304" s="20">
        <f t="shared" si="94"/>
        <v>0</v>
      </c>
      <c r="AC304" s="20">
        <f t="shared" si="95"/>
        <v>0</v>
      </c>
      <c r="AD304" s="20">
        <f>IF(A304="",21/24,MOD(VLOOKUP(A304,Parámetros!$A$24:$B$25,2,TRUE()),1))</f>
        <v>0.875</v>
      </c>
      <c r="AE304" s="5">
        <f>IF(A304="",0,IF(OR(WEEKDAY(A304,2)=7,COUNTIF(Festivos!$A$5:$A$451,A304)&gt;0),1,0))</f>
        <v>0</v>
      </c>
      <c r="AF304" s="5">
        <f>IF(A304="",0,IF(OR(WEEKDAY(A304+1,2)=7,COUNTIF(Festivos!$A$5:$A$451,A304+1)&gt;0),1,0))</f>
        <v>0</v>
      </c>
      <c r="AG304" s="9">
        <f>IF(A304="",0,VLOOKUP(A304,Parámetros!$A$18:$B$21,2,TRUE()))</f>
        <v>0</v>
      </c>
      <c r="AH304" s="20">
        <f t="shared" si="96"/>
        <v>0</v>
      </c>
      <c r="AI304" s="20">
        <f>MAX(0,MIN(AB304,Parámetros!$B$11)-MAX(X304,0))+MAX(0,MIN(AB304,1+Parámetros!$B$11)-MAX(X304,AD304))+MAX(0,MIN(AB304,2)-MAX(X304,1+AD304))</f>
        <v>0</v>
      </c>
      <c r="AJ304" s="20">
        <f t="shared" si="97"/>
        <v>0</v>
      </c>
      <c r="AK304" s="20">
        <f>AE304*(MAX(0,MIN(AB304,Parámetros!$B$11)-MAX(X304,0))+MAX(0,MIN(AB304,1)-MAX(X304,AD304)))+AF304*(MAX(0,MIN(AB304,1+Parámetros!$B$11)-MAX(X304,1))+MAX(0,MIN(AB304,2)-MAX(X304,1+AD304)))</f>
        <v>0</v>
      </c>
      <c r="AL304" s="20">
        <f t="shared" si="98"/>
        <v>0</v>
      </c>
      <c r="AM304" s="20">
        <f>MAX(0,MIN(AC304,Parámetros!$B$11)-MAX(AB304,0))+MAX(0,MIN(AC304,1+Parámetros!$B$11)-MAX(AB304,AD304))+MAX(0,MIN(AC304,2)-MAX(AB304,1+AD304))</f>
        <v>0</v>
      </c>
      <c r="AN304" s="20">
        <f t="shared" si="99"/>
        <v>0</v>
      </c>
      <c r="AO304" s="20">
        <f>AE304*(MAX(0,MIN(AC304,Parámetros!$B$11)-MAX(AB304,0))+MAX(0,MIN(AC304,1)-MAX(AB304,AD304)))+AF304*(MAX(0,MIN(AC304,1+Parámetros!$B$11)-MAX(AB304,1))+MAX(0,MIN(AC304,2)-MAX(AB304,1+AD304)))</f>
        <v>0</v>
      </c>
    </row>
    <row r="305" spans="1:41" x14ac:dyDescent="0.25">
      <c r="A305" s="15"/>
      <c r="B305" s="8"/>
      <c r="C305" s="5" t="str">
        <f>IF(B305="","",IFERROR(INDEX(Trabajadores!$B$5:$B$204,MATCH(B305,Trabajadores!$A$5:$A$204,0)),"Cédula no registrada"))</f>
        <v/>
      </c>
      <c r="D305" s="11"/>
      <c r="E305" s="11"/>
      <c r="F305" s="8"/>
      <c r="G305" s="18" t="str">
        <f>IF(A305="","",IFERROR(INDEX(Trabajadores!$E$5:$E$204,MATCH(B305,Trabajadores!$A$5:$A$204,0))/Parámetros!$B$6,0)+IF(IFERROR(INDEX(Trabajadores!$E$5:$E$204,MATCH(B305,Trabajadores!$A$5:$A$204,0)),"")="",Parámetros!$B$7,0))</f>
        <v/>
      </c>
      <c r="H305" s="5" t="str">
        <f t="shared" si="80"/>
        <v/>
      </c>
      <c r="I305" s="5" t="str">
        <f>IF(A305="","",IF(COUNTIF(Festivos!$A$5:$A$451,A305)&gt;0,"Festivo",IF(WEEKDAY(A305,2)=7,"Domingo",IF(AND(AF305=1,AC305&gt;1),IF(COUNTIF(Festivos!$A$5:$A$451,A305+1)&gt;0,"Festivo","Domingo")&amp;" desde las 00:00",""))))</f>
        <v/>
      </c>
      <c r="J305" s="19" t="str">
        <f t="shared" si="81"/>
        <v/>
      </c>
      <c r="K305" s="19" t="str">
        <f t="shared" si="82"/>
        <v/>
      </c>
      <c r="L305" s="19" t="str">
        <f t="shared" si="83"/>
        <v/>
      </c>
      <c r="M305" s="19" t="str">
        <f t="shared" si="84"/>
        <v/>
      </c>
      <c r="N305" s="19" t="str">
        <f t="shared" si="85"/>
        <v/>
      </c>
      <c r="O305" s="19" t="str">
        <f t="shared" si="86"/>
        <v/>
      </c>
      <c r="P305" s="19" t="str">
        <f t="shared" si="87"/>
        <v/>
      </c>
      <c r="Q305" s="19" t="str">
        <f t="shared" si="88"/>
        <v/>
      </c>
      <c r="R305" s="19" t="str">
        <f t="shared" si="89"/>
        <v/>
      </c>
      <c r="S305" s="17" t="str">
        <f>IF(B305="","",IFERROR(INDEX(Trabajadores!$G$5:$G$204,MATCH(B305,Trabajadores!$A$5:$A$204,0)),""))</f>
        <v/>
      </c>
      <c r="T305" s="17" t="str">
        <f>IF(OR(OR(A305="",D305="",E305=""),S305=""),"",ROUND(S305*(N(L305)*Parámetros!$B$8+N(M305)*(1+Parámetros!$B$9)+N(N305)*(1+Parámetros!$B$10)+N(O305)*(1+AG305)+N(P305)*(1+AG305+Parámetros!$B$8)+N(Q305)*(1+AG305+Parámetros!$B$9)+N(R305)*(1+AG305+Parámetros!$B$10)),0))</f>
        <v/>
      </c>
      <c r="U305" s="5" t="str">
        <f>IF(OR(A305="",D305="",E305=""),"",IF(N(M305)+N(N305)+N(Q305)+N(R305)&gt;Parámetros!$B$12,"Supera el límite de horas extras diarias",IF(C305="Cédula no registrada","Registre la cédula en «Trabajadores»","")))</f>
        <v/>
      </c>
      <c r="X305" s="20">
        <f t="shared" si="90"/>
        <v>0</v>
      </c>
      <c r="Y305" s="20">
        <f t="shared" si="91"/>
        <v>0</v>
      </c>
      <c r="Z305" s="20">
        <f t="shared" si="92"/>
        <v>0</v>
      </c>
      <c r="AA305" s="20">
        <f t="shared" si="93"/>
        <v>0</v>
      </c>
      <c r="AB305" s="20">
        <f t="shared" si="94"/>
        <v>0</v>
      </c>
      <c r="AC305" s="20">
        <f t="shared" si="95"/>
        <v>0</v>
      </c>
      <c r="AD305" s="20">
        <f>IF(A305="",21/24,MOD(VLOOKUP(A305,Parámetros!$A$24:$B$25,2,TRUE()),1))</f>
        <v>0.875</v>
      </c>
      <c r="AE305" s="5">
        <f>IF(A305="",0,IF(OR(WEEKDAY(A305,2)=7,COUNTIF(Festivos!$A$5:$A$451,A305)&gt;0),1,0))</f>
        <v>0</v>
      </c>
      <c r="AF305" s="5">
        <f>IF(A305="",0,IF(OR(WEEKDAY(A305+1,2)=7,COUNTIF(Festivos!$A$5:$A$451,A305+1)&gt;0),1,0))</f>
        <v>0</v>
      </c>
      <c r="AG305" s="9">
        <f>IF(A305="",0,VLOOKUP(A305,Parámetros!$A$18:$B$21,2,TRUE()))</f>
        <v>0</v>
      </c>
      <c r="AH305" s="20">
        <f t="shared" si="96"/>
        <v>0</v>
      </c>
      <c r="AI305" s="20">
        <f>MAX(0,MIN(AB305,Parámetros!$B$11)-MAX(X305,0))+MAX(0,MIN(AB305,1+Parámetros!$B$11)-MAX(X305,AD305))+MAX(0,MIN(AB305,2)-MAX(X305,1+AD305))</f>
        <v>0</v>
      </c>
      <c r="AJ305" s="20">
        <f t="shared" si="97"/>
        <v>0</v>
      </c>
      <c r="AK305" s="20">
        <f>AE305*(MAX(0,MIN(AB305,Parámetros!$B$11)-MAX(X305,0))+MAX(0,MIN(AB305,1)-MAX(X305,AD305)))+AF305*(MAX(0,MIN(AB305,1+Parámetros!$B$11)-MAX(X305,1))+MAX(0,MIN(AB305,2)-MAX(X305,1+AD305)))</f>
        <v>0</v>
      </c>
      <c r="AL305" s="20">
        <f t="shared" si="98"/>
        <v>0</v>
      </c>
      <c r="AM305" s="20">
        <f>MAX(0,MIN(AC305,Parámetros!$B$11)-MAX(AB305,0))+MAX(0,MIN(AC305,1+Parámetros!$B$11)-MAX(AB305,AD305))+MAX(0,MIN(AC305,2)-MAX(AB305,1+AD305))</f>
        <v>0</v>
      </c>
      <c r="AN305" s="20">
        <f t="shared" si="99"/>
        <v>0</v>
      </c>
      <c r="AO305" s="20">
        <f>AE305*(MAX(0,MIN(AC305,Parámetros!$B$11)-MAX(AB305,0))+MAX(0,MIN(AC305,1)-MAX(AB305,AD305)))+AF305*(MAX(0,MIN(AC305,1+Parámetros!$B$11)-MAX(AB305,1))+MAX(0,MIN(AC305,2)-MAX(AB305,1+AD305)))</f>
        <v>0</v>
      </c>
    </row>
    <row r="306" spans="1:41" x14ac:dyDescent="0.25">
      <c r="A306" s="15"/>
      <c r="B306" s="8"/>
      <c r="C306" s="5" t="str">
        <f>IF(B306="","",IFERROR(INDEX(Trabajadores!$B$5:$B$204,MATCH(B306,Trabajadores!$A$5:$A$204,0)),"Cédula no registrada"))</f>
        <v/>
      </c>
      <c r="D306" s="11"/>
      <c r="E306" s="11"/>
      <c r="F306" s="8"/>
      <c r="G306" s="18" t="str">
        <f>IF(A306="","",IFERROR(INDEX(Trabajadores!$E$5:$E$204,MATCH(B306,Trabajadores!$A$5:$A$204,0))/Parámetros!$B$6,0)+IF(IFERROR(INDEX(Trabajadores!$E$5:$E$204,MATCH(B306,Trabajadores!$A$5:$A$204,0)),"")="",Parámetros!$B$7,0))</f>
        <v/>
      </c>
      <c r="H306" s="5" t="str">
        <f t="shared" si="80"/>
        <v/>
      </c>
      <c r="I306" s="5" t="str">
        <f>IF(A306="","",IF(COUNTIF(Festivos!$A$5:$A$451,A306)&gt;0,"Festivo",IF(WEEKDAY(A306,2)=7,"Domingo",IF(AND(AF306=1,AC306&gt;1),IF(COUNTIF(Festivos!$A$5:$A$451,A306+1)&gt;0,"Festivo","Domingo")&amp;" desde las 00:00",""))))</f>
        <v/>
      </c>
      <c r="J306" s="19" t="str">
        <f t="shared" si="81"/>
        <v/>
      </c>
      <c r="K306" s="19" t="str">
        <f t="shared" si="82"/>
        <v/>
      </c>
      <c r="L306" s="19" t="str">
        <f t="shared" si="83"/>
        <v/>
      </c>
      <c r="M306" s="19" t="str">
        <f t="shared" si="84"/>
        <v/>
      </c>
      <c r="N306" s="19" t="str">
        <f t="shared" si="85"/>
        <v/>
      </c>
      <c r="O306" s="19" t="str">
        <f t="shared" si="86"/>
        <v/>
      </c>
      <c r="P306" s="19" t="str">
        <f t="shared" si="87"/>
        <v/>
      </c>
      <c r="Q306" s="19" t="str">
        <f t="shared" si="88"/>
        <v/>
      </c>
      <c r="R306" s="19" t="str">
        <f t="shared" si="89"/>
        <v/>
      </c>
      <c r="S306" s="17" t="str">
        <f>IF(B306="","",IFERROR(INDEX(Trabajadores!$G$5:$G$204,MATCH(B306,Trabajadores!$A$5:$A$204,0)),""))</f>
        <v/>
      </c>
      <c r="T306" s="17" t="str">
        <f>IF(OR(OR(A306="",D306="",E306=""),S306=""),"",ROUND(S306*(N(L306)*Parámetros!$B$8+N(M306)*(1+Parámetros!$B$9)+N(N306)*(1+Parámetros!$B$10)+N(O306)*(1+AG306)+N(P306)*(1+AG306+Parámetros!$B$8)+N(Q306)*(1+AG306+Parámetros!$B$9)+N(R306)*(1+AG306+Parámetros!$B$10)),0))</f>
        <v/>
      </c>
      <c r="U306" s="5" t="str">
        <f>IF(OR(A306="",D306="",E306=""),"",IF(N(M306)+N(N306)+N(Q306)+N(R306)&gt;Parámetros!$B$12,"Supera el límite de horas extras diarias",IF(C306="Cédula no registrada","Registre la cédula en «Trabajadores»","")))</f>
        <v/>
      </c>
      <c r="X306" s="20">
        <f t="shared" si="90"/>
        <v>0</v>
      </c>
      <c r="Y306" s="20">
        <f t="shared" si="91"/>
        <v>0</v>
      </c>
      <c r="Z306" s="20">
        <f t="shared" si="92"/>
        <v>0</v>
      </c>
      <c r="AA306" s="20">
        <f t="shared" si="93"/>
        <v>0</v>
      </c>
      <c r="AB306" s="20">
        <f t="shared" si="94"/>
        <v>0</v>
      </c>
      <c r="AC306" s="20">
        <f t="shared" si="95"/>
        <v>0</v>
      </c>
      <c r="AD306" s="20">
        <f>IF(A306="",21/24,MOD(VLOOKUP(A306,Parámetros!$A$24:$B$25,2,TRUE()),1))</f>
        <v>0.875</v>
      </c>
      <c r="AE306" s="5">
        <f>IF(A306="",0,IF(OR(WEEKDAY(A306,2)=7,COUNTIF(Festivos!$A$5:$A$451,A306)&gt;0),1,0))</f>
        <v>0</v>
      </c>
      <c r="AF306" s="5">
        <f>IF(A306="",0,IF(OR(WEEKDAY(A306+1,2)=7,COUNTIF(Festivos!$A$5:$A$451,A306+1)&gt;0),1,0))</f>
        <v>0</v>
      </c>
      <c r="AG306" s="9">
        <f>IF(A306="",0,VLOOKUP(A306,Parámetros!$A$18:$B$21,2,TRUE()))</f>
        <v>0</v>
      </c>
      <c r="AH306" s="20">
        <f t="shared" si="96"/>
        <v>0</v>
      </c>
      <c r="AI306" s="20">
        <f>MAX(0,MIN(AB306,Parámetros!$B$11)-MAX(X306,0))+MAX(0,MIN(AB306,1+Parámetros!$B$11)-MAX(X306,AD306))+MAX(0,MIN(AB306,2)-MAX(X306,1+AD306))</f>
        <v>0</v>
      </c>
      <c r="AJ306" s="20">
        <f t="shared" si="97"/>
        <v>0</v>
      </c>
      <c r="AK306" s="20">
        <f>AE306*(MAX(0,MIN(AB306,Parámetros!$B$11)-MAX(X306,0))+MAX(0,MIN(AB306,1)-MAX(X306,AD306)))+AF306*(MAX(0,MIN(AB306,1+Parámetros!$B$11)-MAX(X306,1))+MAX(0,MIN(AB306,2)-MAX(X306,1+AD306)))</f>
        <v>0</v>
      </c>
      <c r="AL306" s="20">
        <f t="shared" si="98"/>
        <v>0</v>
      </c>
      <c r="AM306" s="20">
        <f>MAX(0,MIN(AC306,Parámetros!$B$11)-MAX(AB306,0))+MAX(0,MIN(AC306,1+Parámetros!$B$11)-MAX(AB306,AD306))+MAX(0,MIN(AC306,2)-MAX(AB306,1+AD306))</f>
        <v>0</v>
      </c>
      <c r="AN306" s="20">
        <f t="shared" si="99"/>
        <v>0</v>
      </c>
      <c r="AO306" s="20">
        <f>AE306*(MAX(0,MIN(AC306,Parámetros!$B$11)-MAX(AB306,0))+MAX(0,MIN(AC306,1)-MAX(AB306,AD306)))+AF306*(MAX(0,MIN(AC306,1+Parámetros!$B$11)-MAX(AB306,1))+MAX(0,MIN(AC306,2)-MAX(AB306,1+AD306)))</f>
        <v>0</v>
      </c>
    </row>
    <row r="307" spans="1:41" x14ac:dyDescent="0.25">
      <c r="A307" s="15"/>
      <c r="B307" s="8"/>
      <c r="C307" s="5" t="str">
        <f>IF(B307="","",IFERROR(INDEX(Trabajadores!$B$5:$B$204,MATCH(B307,Trabajadores!$A$5:$A$204,0)),"Cédula no registrada"))</f>
        <v/>
      </c>
      <c r="D307" s="11"/>
      <c r="E307" s="11"/>
      <c r="F307" s="8"/>
      <c r="G307" s="18" t="str">
        <f>IF(A307="","",IFERROR(INDEX(Trabajadores!$E$5:$E$204,MATCH(B307,Trabajadores!$A$5:$A$204,0))/Parámetros!$B$6,0)+IF(IFERROR(INDEX(Trabajadores!$E$5:$E$204,MATCH(B307,Trabajadores!$A$5:$A$204,0)),"")="",Parámetros!$B$7,0))</f>
        <v/>
      </c>
      <c r="H307" s="5" t="str">
        <f t="shared" si="80"/>
        <v/>
      </c>
      <c r="I307" s="5" t="str">
        <f>IF(A307="","",IF(COUNTIF(Festivos!$A$5:$A$451,A307)&gt;0,"Festivo",IF(WEEKDAY(A307,2)=7,"Domingo",IF(AND(AF307=1,AC307&gt;1),IF(COUNTIF(Festivos!$A$5:$A$451,A307+1)&gt;0,"Festivo","Domingo")&amp;" desde las 00:00",""))))</f>
        <v/>
      </c>
      <c r="J307" s="19" t="str">
        <f t="shared" si="81"/>
        <v/>
      </c>
      <c r="K307" s="19" t="str">
        <f t="shared" si="82"/>
        <v/>
      </c>
      <c r="L307" s="19" t="str">
        <f t="shared" si="83"/>
        <v/>
      </c>
      <c r="M307" s="19" t="str">
        <f t="shared" si="84"/>
        <v/>
      </c>
      <c r="N307" s="19" t="str">
        <f t="shared" si="85"/>
        <v/>
      </c>
      <c r="O307" s="19" t="str">
        <f t="shared" si="86"/>
        <v/>
      </c>
      <c r="P307" s="19" t="str">
        <f t="shared" si="87"/>
        <v/>
      </c>
      <c r="Q307" s="19" t="str">
        <f t="shared" si="88"/>
        <v/>
      </c>
      <c r="R307" s="19" t="str">
        <f t="shared" si="89"/>
        <v/>
      </c>
      <c r="S307" s="17" t="str">
        <f>IF(B307="","",IFERROR(INDEX(Trabajadores!$G$5:$G$204,MATCH(B307,Trabajadores!$A$5:$A$204,0)),""))</f>
        <v/>
      </c>
      <c r="T307" s="17" t="str">
        <f>IF(OR(OR(A307="",D307="",E307=""),S307=""),"",ROUND(S307*(N(L307)*Parámetros!$B$8+N(M307)*(1+Parámetros!$B$9)+N(N307)*(1+Parámetros!$B$10)+N(O307)*(1+AG307)+N(P307)*(1+AG307+Parámetros!$B$8)+N(Q307)*(1+AG307+Parámetros!$B$9)+N(R307)*(1+AG307+Parámetros!$B$10)),0))</f>
        <v/>
      </c>
      <c r="U307" s="5" t="str">
        <f>IF(OR(A307="",D307="",E307=""),"",IF(N(M307)+N(N307)+N(Q307)+N(R307)&gt;Parámetros!$B$12,"Supera el límite de horas extras diarias",IF(C307="Cédula no registrada","Registre la cédula en «Trabajadores»","")))</f>
        <v/>
      </c>
      <c r="X307" s="20">
        <f t="shared" si="90"/>
        <v>0</v>
      </c>
      <c r="Y307" s="20">
        <f t="shared" si="91"/>
        <v>0</v>
      </c>
      <c r="Z307" s="20">
        <f t="shared" si="92"/>
        <v>0</v>
      </c>
      <c r="AA307" s="20">
        <f t="shared" si="93"/>
        <v>0</v>
      </c>
      <c r="AB307" s="20">
        <f t="shared" si="94"/>
        <v>0</v>
      </c>
      <c r="AC307" s="20">
        <f t="shared" si="95"/>
        <v>0</v>
      </c>
      <c r="AD307" s="20">
        <f>IF(A307="",21/24,MOD(VLOOKUP(A307,Parámetros!$A$24:$B$25,2,TRUE()),1))</f>
        <v>0.875</v>
      </c>
      <c r="AE307" s="5">
        <f>IF(A307="",0,IF(OR(WEEKDAY(A307,2)=7,COUNTIF(Festivos!$A$5:$A$451,A307)&gt;0),1,0))</f>
        <v>0</v>
      </c>
      <c r="AF307" s="5">
        <f>IF(A307="",0,IF(OR(WEEKDAY(A307+1,2)=7,COUNTIF(Festivos!$A$5:$A$451,A307+1)&gt;0),1,0))</f>
        <v>0</v>
      </c>
      <c r="AG307" s="9">
        <f>IF(A307="",0,VLOOKUP(A307,Parámetros!$A$18:$B$21,2,TRUE()))</f>
        <v>0</v>
      </c>
      <c r="AH307" s="20">
        <f t="shared" si="96"/>
        <v>0</v>
      </c>
      <c r="AI307" s="20">
        <f>MAX(0,MIN(AB307,Parámetros!$B$11)-MAX(X307,0))+MAX(0,MIN(AB307,1+Parámetros!$B$11)-MAX(X307,AD307))+MAX(0,MIN(AB307,2)-MAX(X307,1+AD307))</f>
        <v>0</v>
      </c>
      <c r="AJ307" s="20">
        <f t="shared" si="97"/>
        <v>0</v>
      </c>
      <c r="AK307" s="20">
        <f>AE307*(MAX(0,MIN(AB307,Parámetros!$B$11)-MAX(X307,0))+MAX(0,MIN(AB307,1)-MAX(X307,AD307)))+AF307*(MAX(0,MIN(AB307,1+Parámetros!$B$11)-MAX(X307,1))+MAX(0,MIN(AB307,2)-MAX(X307,1+AD307)))</f>
        <v>0</v>
      </c>
      <c r="AL307" s="20">
        <f t="shared" si="98"/>
        <v>0</v>
      </c>
      <c r="AM307" s="20">
        <f>MAX(0,MIN(AC307,Parámetros!$B$11)-MAX(AB307,0))+MAX(0,MIN(AC307,1+Parámetros!$B$11)-MAX(AB307,AD307))+MAX(0,MIN(AC307,2)-MAX(AB307,1+AD307))</f>
        <v>0</v>
      </c>
      <c r="AN307" s="20">
        <f t="shared" si="99"/>
        <v>0</v>
      </c>
      <c r="AO307" s="20">
        <f>AE307*(MAX(0,MIN(AC307,Parámetros!$B$11)-MAX(AB307,0))+MAX(0,MIN(AC307,1)-MAX(AB307,AD307)))+AF307*(MAX(0,MIN(AC307,1+Parámetros!$B$11)-MAX(AB307,1))+MAX(0,MIN(AC307,2)-MAX(AB307,1+AD307)))</f>
        <v>0</v>
      </c>
    </row>
    <row r="308" spans="1:41" x14ac:dyDescent="0.25">
      <c r="A308" s="15"/>
      <c r="B308" s="8"/>
      <c r="C308" s="5" t="str">
        <f>IF(B308="","",IFERROR(INDEX(Trabajadores!$B$5:$B$204,MATCH(B308,Trabajadores!$A$5:$A$204,0)),"Cédula no registrada"))</f>
        <v/>
      </c>
      <c r="D308" s="11"/>
      <c r="E308" s="11"/>
      <c r="F308" s="8"/>
      <c r="G308" s="18" t="str">
        <f>IF(A308="","",IFERROR(INDEX(Trabajadores!$E$5:$E$204,MATCH(B308,Trabajadores!$A$5:$A$204,0))/Parámetros!$B$6,0)+IF(IFERROR(INDEX(Trabajadores!$E$5:$E$204,MATCH(B308,Trabajadores!$A$5:$A$204,0)),"")="",Parámetros!$B$7,0))</f>
        <v/>
      </c>
      <c r="H308" s="5" t="str">
        <f t="shared" si="80"/>
        <v/>
      </c>
      <c r="I308" s="5" t="str">
        <f>IF(A308="","",IF(COUNTIF(Festivos!$A$5:$A$451,A308)&gt;0,"Festivo",IF(WEEKDAY(A308,2)=7,"Domingo",IF(AND(AF308=1,AC308&gt;1),IF(COUNTIF(Festivos!$A$5:$A$451,A308+1)&gt;0,"Festivo","Domingo")&amp;" desde las 00:00",""))))</f>
        <v/>
      </c>
      <c r="J308" s="19" t="str">
        <f t="shared" si="81"/>
        <v/>
      </c>
      <c r="K308" s="19" t="str">
        <f t="shared" si="82"/>
        <v/>
      </c>
      <c r="L308" s="19" t="str">
        <f t="shared" si="83"/>
        <v/>
      </c>
      <c r="M308" s="19" t="str">
        <f t="shared" si="84"/>
        <v/>
      </c>
      <c r="N308" s="19" t="str">
        <f t="shared" si="85"/>
        <v/>
      </c>
      <c r="O308" s="19" t="str">
        <f t="shared" si="86"/>
        <v/>
      </c>
      <c r="P308" s="19" t="str">
        <f t="shared" si="87"/>
        <v/>
      </c>
      <c r="Q308" s="19" t="str">
        <f t="shared" si="88"/>
        <v/>
      </c>
      <c r="R308" s="19" t="str">
        <f t="shared" si="89"/>
        <v/>
      </c>
      <c r="S308" s="17" t="str">
        <f>IF(B308="","",IFERROR(INDEX(Trabajadores!$G$5:$G$204,MATCH(B308,Trabajadores!$A$5:$A$204,0)),""))</f>
        <v/>
      </c>
      <c r="T308" s="17" t="str">
        <f>IF(OR(OR(A308="",D308="",E308=""),S308=""),"",ROUND(S308*(N(L308)*Parámetros!$B$8+N(M308)*(1+Parámetros!$B$9)+N(N308)*(1+Parámetros!$B$10)+N(O308)*(1+AG308)+N(P308)*(1+AG308+Parámetros!$B$8)+N(Q308)*(1+AG308+Parámetros!$B$9)+N(R308)*(1+AG308+Parámetros!$B$10)),0))</f>
        <v/>
      </c>
      <c r="U308" s="5" t="str">
        <f>IF(OR(A308="",D308="",E308=""),"",IF(N(M308)+N(N308)+N(Q308)+N(R308)&gt;Parámetros!$B$12,"Supera el límite de horas extras diarias",IF(C308="Cédula no registrada","Registre la cédula en «Trabajadores»","")))</f>
        <v/>
      </c>
      <c r="X308" s="20">
        <f t="shared" si="90"/>
        <v>0</v>
      </c>
      <c r="Y308" s="20">
        <f t="shared" si="91"/>
        <v>0</v>
      </c>
      <c r="Z308" s="20">
        <f t="shared" si="92"/>
        <v>0</v>
      </c>
      <c r="AA308" s="20">
        <f t="shared" si="93"/>
        <v>0</v>
      </c>
      <c r="AB308" s="20">
        <f t="shared" si="94"/>
        <v>0</v>
      </c>
      <c r="AC308" s="20">
        <f t="shared" si="95"/>
        <v>0</v>
      </c>
      <c r="AD308" s="20">
        <f>IF(A308="",21/24,MOD(VLOOKUP(A308,Parámetros!$A$24:$B$25,2,TRUE()),1))</f>
        <v>0.875</v>
      </c>
      <c r="AE308" s="5">
        <f>IF(A308="",0,IF(OR(WEEKDAY(A308,2)=7,COUNTIF(Festivos!$A$5:$A$451,A308)&gt;0),1,0))</f>
        <v>0</v>
      </c>
      <c r="AF308" s="5">
        <f>IF(A308="",0,IF(OR(WEEKDAY(A308+1,2)=7,COUNTIF(Festivos!$A$5:$A$451,A308+1)&gt;0),1,0))</f>
        <v>0</v>
      </c>
      <c r="AG308" s="9">
        <f>IF(A308="",0,VLOOKUP(A308,Parámetros!$A$18:$B$21,2,TRUE()))</f>
        <v>0</v>
      </c>
      <c r="AH308" s="20">
        <f t="shared" si="96"/>
        <v>0</v>
      </c>
      <c r="AI308" s="20">
        <f>MAX(0,MIN(AB308,Parámetros!$B$11)-MAX(X308,0))+MAX(0,MIN(AB308,1+Parámetros!$B$11)-MAX(X308,AD308))+MAX(0,MIN(AB308,2)-MAX(X308,1+AD308))</f>
        <v>0</v>
      </c>
      <c r="AJ308" s="20">
        <f t="shared" si="97"/>
        <v>0</v>
      </c>
      <c r="AK308" s="20">
        <f>AE308*(MAX(0,MIN(AB308,Parámetros!$B$11)-MAX(X308,0))+MAX(0,MIN(AB308,1)-MAX(X308,AD308)))+AF308*(MAX(0,MIN(AB308,1+Parámetros!$B$11)-MAX(X308,1))+MAX(0,MIN(AB308,2)-MAX(X308,1+AD308)))</f>
        <v>0</v>
      </c>
      <c r="AL308" s="20">
        <f t="shared" si="98"/>
        <v>0</v>
      </c>
      <c r="AM308" s="20">
        <f>MAX(0,MIN(AC308,Parámetros!$B$11)-MAX(AB308,0))+MAX(0,MIN(AC308,1+Parámetros!$B$11)-MAX(AB308,AD308))+MAX(0,MIN(AC308,2)-MAX(AB308,1+AD308))</f>
        <v>0</v>
      </c>
      <c r="AN308" s="20">
        <f t="shared" si="99"/>
        <v>0</v>
      </c>
      <c r="AO308" s="20">
        <f>AE308*(MAX(0,MIN(AC308,Parámetros!$B$11)-MAX(AB308,0))+MAX(0,MIN(AC308,1)-MAX(AB308,AD308)))+AF308*(MAX(0,MIN(AC308,1+Parámetros!$B$11)-MAX(AB308,1))+MAX(0,MIN(AC308,2)-MAX(AB308,1+AD308)))</f>
        <v>0</v>
      </c>
    </row>
    <row r="309" spans="1:41" x14ac:dyDescent="0.25">
      <c r="A309" s="15"/>
      <c r="B309" s="8"/>
      <c r="C309" s="5" t="str">
        <f>IF(B309="","",IFERROR(INDEX(Trabajadores!$B$5:$B$204,MATCH(B309,Trabajadores!$A$5:$A$204,0)),"Cédula no registrada"))</f>
        <v/>
      </c>
      <c r="D309" s="11"/>
      <c r="E309" s="11"/>
      <c r="F309" s="8"/>
      <c r="G309" s="18" t="str">
        <f>IF(A309="","",IFERROR(INDEX(Trabajadores!$E$5:$E$204,MATCH(B309,Trabajadores!$A$5:$A$204,0))/Parámetros!$B$6,0)+IF(IFERROR(INDEX(Trabajadores!$E$5:$E$204,MATCH(B309,Trabajadores!$A$5:$A$204,0)),"")="",Parámetros!$B$7,0))</f>
        <v/>
      </c>
      <c r="H309" s="5" t="str">
        <f t="shared" si="80"/>
        <v/>
      </c>
      <c r="I309" s="5" t="str">
        <f>IF(A309="","",IF(COUNTIF(Festivos!$A$5:$A$451,A309)&gt;0,"Festivo",IF(WEEKDAY(A309,2)=7,"Domingo",IF(AND(AF309=1,AC309&gt;1),IF(COUNTIF(Festivos!$A$5:$A$451,A309+1)&gt;0,"Festivo","Domingo")&amp;" desde las 00:00",""))))</f>
        <v/>
      </c>
      <c r="J309" s="19" t="str">
        <f t="shared" si="81"/>
        <v/>
      </c>
      <c r="K309" s="19" t="str">
        <f t="shared" si="82"/>
        <v/>
      </c>
      <c r="L309" s="19" t="str">
        <f t="shared" si="83"/>
        <v/>
      </c>
      <c r="M309" s="19" t="str">
        <f t="shared" si="84"/>
        <v/>
      </c>
      <c r="N309" s="19" t="str">
        <f t="shared" si="85"/>
        <v/>
      </c>
      <c r="O309" s="19" t="str">
        <f t="shared" si="86"/>
        <v/>
      </c>
      <c r="P309" s="19" t="str">
        <f t="shared" si="87"/>
        <v/>
      </c>
      <c r="Q309" s="19" t="str">
        <f t="shared" si="88"/>
        <v/>
      </c>
      <c r="R309" s="19" t="str">
        <f t="shared" si="89"/>
        <v/>
      </c>
      <c r="S309" s="17" t="str">
        <f>IF(B309="","",IFERROR(INDEX(Trabajadores!$G$5:$G$204,MATCH(B309,Trabajadores!$A$5:$A$204,0)),""))</f>
        <v/>
      </c>
      <c r="T309" s="17" t="str">
        <f>IF(OR(OR(A309="",D309="",E309=""),S309=""),"",ROUND(S309*(N(L309)*Parámetros!$B$8+N(M309)*(1+Parámetros!$B$9)+N(N309)*(1+Parámetros!$B$10)+N(O309)*(1+AG309)+N(P309)*(1+AG309+Parámetros!$B$8)+N(Q309)*(1+AG309+Parámetros!$B$9)+N(R309)*(1+AG309+Parámetros!$B$10)),0))</f>
        <v/>
      </c>
      <c r="U309" s="5" t="str">
        <f>IF(OR(A309="",D309="",E309=""),"",IF(N(M309)+N(N309)+N(Q309)+N(R309)&gt;Parámetros!$B$12,"Supera el límite de horas extras diarias",IF(C309="Cédula no registrada","Registre la cédula en «Trabajadores»","")))</f>
        <v/>
      </c>
      <c r="X309" s="20">
        <f t="shared" si="90"/>
        <v>0</v>
      </c>
      <c r="Y309" s="20">
        <f t="shared" si="91"/>
        <v>0</v>
      </c>
      <c r="Z309" s="20">
        <f t="shared" si="92"/>
        <v>0</v>
      </c>
      <c r="AA309" s="20">
        <f t="shared" si="93"/>
        <v>0</v>
      </c>
      <c r="AB309" s="20">
        <f t="shared" si="94"/>
        <v>0</v>
      </c>
      <c r="AC309" s="20">
        <f t="shared" si="95"/>
        <v>0</v>
      </c>
      <c r="AD309" s="20">
        <f>IF(A309="",21/24,MOD(VLOOKUP(A309,Parámetros!$A$24:$B$25,2,TRUE()),1))</f>
        <v>0.875</v>
      </c>
      <c r="AE309" s="5">
        <f>IF(A309="",0,IF(OR(WEEKDAY(A309,2)=7,COUNTIF(Festivos!$A$5:$A$451,A309)&gt;0),1,0))</f>
        <v>0</v>
      </c>
      <c r="AF309" s="5">
        <f>IF(A309="",0,IF(OR(WEEKDAY(A309+1,2)=7,COUNTIF(Festivos!$A$5:$A$451,A309+1)&gt;0),1,0))</f>
        <v>0</v>
      </c>
      <c r="AG309" s="9">
        <f>IF(A309="",0,VLOOKUP(A309,Parámetros!$A$18:$B$21,2,TRUE()))</f>
        <v>0</v>
      </c>
      <c r="AH309" s="20">
        <f t="shared" si="96"/>
        <v>0</v>
      </c>
      <c r="AI309" s="20">
        <f>MAX(0,MIN(AB309,Parámetros!$B$11)-MAX(X309,0))+MAX(0,MIN(AB309,1+Parámetros!$B$11)-MAX(X309,AD309))+MAX(0,MIN(AB309,2)-MAX(X309,1+AD309))</f>
        <v>0</v>
      </c>
      <c r="AJ309" s="20">
        <f t="shared" si="97"/>
        <v>0</v>
      </c>
      <c r="AK309" s="20">
        <f>AE309*(MAX(0,MIN(AB309,Parámetros!$B$11)-MAX(X309,0))+MAX(0,MIN(AB309,1)-MAX(X309,AD309)))+AF309*(MAX(0,MIN(AB309,1+Parámetros!$B$11)-MAX(X309,1))+MAX(0,MIN(AB309,2)-MAX(X309,1+AD309)))</f>
        <v>0</v>
      </c>
      <c r="AL309" s="20">
        <f t="shared" si="98"/>
        <v>0</v>
      </c>
      <c r="AM309" s="20">
        <f>MAX(0,MIN(AC309,Parámetros!$B$11)-MAX(AB309,0))+MAX(0,MIN(AC309,1+Parámetros!$B$11)-MAX(AB309,AD309))+MAX(0,MIN(AC309,2)-MAX(AB309,1+AD309))</f>
        <v>0</v>
      </c>
      <c r="AN309" s="20">
        <f t="shared" si="99"/>
        <v>0</v>
      </c>
      <c r="AO309" s="20">
        <f>AE309*(MAX(0,MIN(AC309,Parámetros!$B$11)-MAX(AB309,0))+MAX(0,MIN(AC309,1)-MAX(AB309,AD309)))+AF309*(MAX(0,MIN(AC309,1+Parámetros!$B$11)-MAX(AB309,1))+MAX(0,MIN(AC309,2)-MAX(AB309,1+AD309)))</f>
        <v>0</v>
      </c>
    </row>
    <row r="310" spans="1:41" x14ac:dyDescent="0.25">
      <c r="A310" s="15"/>
      <c r="B310" s="8"/>
      <c r="C310" s="5" t="str">
        <f>IF(B310="","",IFERROR(INDEX(Trabajadores!$B$5:$B$204,MATCH(B310,Trabajadores!$A$5:$A$204,0)),"Cédula no registrada"))</f>
        <v/>
      </c>
      <c r="D310" s="11"/>
      <c r="E310" s="11"/>
      <c r="F310" s="8"/>
      <c r="G310" s="18" t="str">
        <f>IF(A310="","",IFERROR(INDEX(Trabajadores!$E$5:$E$204,MATCH(B310,Trabajadores!$A$5:$A$204,0))/Parámetros!$B$6,0)+IF(IFERROR(INDEX(Trabajadores!$E$5:$E$204,MATCH(B310,Trabajadores!$A$5:$A$204,0)),"")="",Parámetros!$B$7,0))</f>
        <v/>
      </c>
      <c r="H310" s="5" t="str">
        <f t="shared" si="80"/>
        <v/>
      </c>
      <c r="I310" s="5" t="str">
        <f>IF(A310="","",IF(COUNTIF(Festivos!$A$5:$A$451,A310)&gt;0,"Festivo",IF(WEEKDAY(A310,2)=7,"Domingo",IF(AND(AF310=1,AC310&gt;1),IF(COUNTIF(Festivos!$A$5:$A$451,A310+1)&gt;0,"Festivo","Domingo")&amp;" desde las 00:00",""))))</f>
        <v/>
      </c>
      <c r="J310" s="19" t="str">
        <f t="shared" si="81"/>
        <v/>
      </c>
      <c r="K310" s="19" t="str">
        <f t="shared" si="82"/>
        <v/>
      </c>
      <c r="L310" s="19" t="str">
        <f t="shared" si="83"/>
        <v/>
      </c>
      <c r="M310" s="19" t="str">
        <f t="shared" si="84"/>
        <v/>
      </c>
      <c r="N310" s="19" t="str">
        <f t="shared" si="85"/>
        <v/>
      </c>
      <c r="O310" s="19" t="str">
        <f t="shared" si="86"/>
        <v/>
      </c>
      <c r="P310" s="19" t="str">
        <f t="shared" si="87"/>
        <v/>
      </c>
      <c r="Q310" s="19" t="str">
        <f t="shared" si="88"/>
        <v/>
      </c>
      <c r="R310" s="19" t="str">
        <f t="shared" si="89"/>
        <v/>
      </c>
      <c r="S310" s="17" t="str">
        <f>IF(B310="","",IFERROR(INDEX(Trabajadores!$G$5:$G$204,MATCH(B310,Trabajadores!$A$5:$A$204,0)),""))</f>
        <v/>
      </c>
      <c r="T310" s="17" t="str">
        <f>IF(OR(OR(A310="",D310="",E310=""),S310=""),"",ROUND(S310*(N(L310)*Parámetros!$B$8+N(M310)*(1+Parámetros!$B$9)+N(N310)*(1+Parámetros!$B$10)+N(O310)*(1+AG310)+N(P310)*(1+AG310+Parámetros!$B$8)+N(Q310)*(1+AG310+Parámetros!$B$9)+N(R310)*(1+AG310+Parámetros!$B$10)),0))</f>
        <v/>
      </c>
      <c r="U310" s="5" t="str">
        <f>IF(OR(A310="",D310="",E310=""),"",IF(N(M310)+N(N310)+N(Q310)+N(R310)&gt;Parámetros!$B$12,"Supera el límite de horas extras diarias",IF(C310="Cédula no registrada","Registre la cédula en «Trabajadores»","")))</f>
        <v/>
      </c>
      <c r="X310" s="20">
        <f t="shared" si="90"/>
        <v>0</v>
      </c>
      <c r="Y310" s="20">
        <f t="shared" si="91"/>
        <v>0</v>
      </c>
      <c r="Z310" s="20">
        <f t="shared" si="92"/>
        <v>0</v>
      </c>
      <c r="AA310" s="20">
        <f t="shared" si="93"/>
        <v>0</v>
      </c>
      <c r="AB310" s="20">
        <f t="shared" si="94"/>
        <v>0</v>
      </c>
      <c r="AC310" s="20">
        <f t="shared" si="95"/>
        <v>0</v>
      </c>
      <c r="AD310" s="20">
        <f>IF(A310="",21/24,MOD(VLOOKUP(A310,Parámetros!$A$24:$B$25,2,TRUE()),1))</f>
        <v>0.875</v>
      </c>
      <c r="AE310" s="5">
        <f>IF(A310="",0,IF(OR(WEEKDAY(A310,2)=7,COUNTIF(Festivos!$A$5:$A$451,A310)&gt;0),1,0))</f>
        <v>0</v>
      </c>
      <c r="AF310" s="5">
        <f>IF(A310="",0,IF(OR(WEEKDAY(A310+1,2)=7,COUNTIF(Festivos!$A$5:$A$451,A310+1)&gt;0),1,0))</f>
        <v>0</v>
      </c>
      <c r="AG310" s="9">
        <f>IF(A310="",0,VLOOKUP(A310,Parámetros!$A$18:$B$21,2,TRUE()))</f>
        <v>0</v>
      </c>
      <c r="AH310" s="20">
        <f t="shared" si="96"/>
        <v>0</v>
      </c>
      <c r="AI310" s="20">
        <f>MAX(0,MIN(AB310,Parámetros!$B$11)-MAX(X310,0))+MAX(0,MIN(AB310,1+Parámetros!$B$11)-MAX(X310,AD310))+MAX(0,MIN(AB310,2)-MAX(X310,1+AD310))</f>
        <v>0</v>
      </c>
      <c r="AJ310" s="20">
        <f t="shared" si="97"/>
        <v>0</v>
      </c>
      <c r="AK310" s="20">
        <f>AE310*(MAX(0,MIN(AB310,Parámetros!$B$11)-MAX(X310,0))+MAX(0,MIN(AB310,1)-MAX(X310,AD310)))+AF310*(MAX(0,MIN(AB310,1+Parámetros!$B$11)-MAX(X310,1))+MAX(0,MIN(AB310,2)-MAX(X310,1+AD310)))</f>
        <v>0</v>
      </c>
      <c r="AL310" s="20">
        <f t="shared" si="98"/>
        <v>0</v>
      </c>
      <c r="AM310" s="20">
        <f>MAX(0,MIN(AC310,Parámetros!$B$11)-MAX(AB310,0))+MAX(0,MIN(AC310,1+Parámetros!$B$11)-MAX(AB310,AD310))+MAX(0,MIN(AC310,2)-MAX(AB310,1+AD310))</f>
        <v>0</v>
      </c>
      <c r="AN310" s="20">
        <f t="shared" si="99"/>
        <v>0</v>
      </c>
      <c r="AO310" s="20">
        <f>AE310*(MAX(0,MIN(AC310,Parámetros!$B$11)-MAX(AB310,0))+MAX(0,MIN(AC310,1)-MAX(AB310,AD310)))+AF310*(MAX(0,MIN(AC310,1+Parámetros!$B$11)-MAX(AB310,1))+MAX(0,MIN(AC310,2)-MAX(AB310,1+AD310)))</f>
        <v>0</v>
      </c>
    </row>
    <row r="311" spans="1:41" x14ac:dyDescent="0.25">
      <c r="A311" s="15"/>
      <c r="B311" s="8"/>
      <c r="C311" s="5" t="str">
        <f>IF(B311="","",IFERROR(INDEX(Trabajadores!$B$5:$B$204,MATCH(B311,Trabajadores!$A$5:$A$204,0)),"Cédula no registrada"))</f>
        <v/>
      </c>
      <c r="D311" s="11"/>
      <c r="E311" s="11"/>
      <c r="F311" s="8"/>
      <c r="G311" s="18" t="str">
        <f>IF(A311="","",IFERROR(INDEX(Trabajadores!$E$5:$E$204,MATCH(B311,Trabajadores!$A$5:$A$204,0))/Parámetros!$B$6,0)+IF(IFERROR(INDEX(Trabajadores!$E$5:$E$204,MATCH(B311,Trabajadores!$A$5:$A$204,0)),"")="",Parámetros!$B$7,0))</f>
        <v/>
      </c>
      <c r="H311" s="5" t="str">
        <f t="shared" si="80"/>
        <v/>
      </c>
      <c r="I311" s="5" t="str">
        <f>IF(A311="","",IF(COUNTIF(Festivos!$A$5:$A$451,A311)&gt;0,"Festivo",IF(WEEKDAY(A311,2)=7,"Domingo",IF(AND(AF311=1,AC311&gt;1),IF(COUNTIF(Festivos!$A$5:$A$451,A311+1)&gt;0,"Festivo","Domingo")&amp;" desde las 00:00",""))))</f>
        <v/>
      </c>
      <c r="J311" s="19" t="str">
        <f t="shared" si="81"/>
        <v/>
      </c>
      <c r="K311" s="19" t="str">
        <f t="shared" si="82"/>
        <v/>
      </c>
      <c r="L311" s="19" t="str">
        <f t="shared" si="83"/>
        <v/>
      </c>
      <c r="M311" s="19" t="str">
        <f t="shared" si="84"/>
        <v/>
      </c>
      <c r="N311" s="19" t="str">
        <f t="shared" si="85"/>
        <v/>
      </c>
      <c r="O311" s="19" t="str">
        <f t="shared" si="86"/>
        <v/>
      </c>
      <c r="P311" s="19" t="str">
        <f t="shared" si="87"/>
        <v/>
      </c>
      <c r="Q311" s="19" t="str">
        <f t="shared" si="88"/>
        <v/>
      </c>
      <c r="R311" s="19" t="str">
        <f t="shared" si="89"/>
        <v/>
      </c>
      <c r="S311" s="17" t="str">
        <f>IF(B311="","",IFERROR(INDEX(Trabajadores!$G$5:$G$204,MATCH(B311,Trabajadores!$A$5:$A$204,0)),""))</f>
        <v/>
      </c>
      <c r="T311" s="17" t="str">
        <f>IF(OR(OR(A311="",D311="",E311=""),S311=""),"",ROUND(S311*(N(L311)*Parámetros!$B$8+N(M311)*(1+Parámetros!$B$9)+N(N311)*(1+Parámetros!$B$10)+N(O311)*(1+AG311)+N(P311)*(1+AG311+Parámetros!$B$8)+N(Q311)*(1+AG311+Parámetros!$B$9)+N(R311)*(1+AG311+Parámetros!$B$10)),0))</f>
        <v/>
      </c>
      <c r="U311" s="5" t="str">
        <f>IF(OR(A311="",D311="",E311=""),"",IF(N(M311)+N(N311)+N(Q311)+N(R311)&gt;Parámetros!$B$12,"Supera el límite de horas extras diarias",IF(C311="Cédula no registrada","Registre la cédula en «Trabajadores»","")))</f>
        <v/>
      </c>
      <c r="X311" s="20">
        <f t="shared" si="90"/>
        <v>0</v>
      </c>
      <c r="Y311" s="20">
        <f t="shared" si="91"/>
        <v>0</v>
      </c>
      <c r="Z311" s="20">
        <f t="shared" si="92"/>
        <v>0</v>
      </c>
      <c r="AA311" s="20">
        <f t="shared" si="93"/>
        <v>0</v>
      </c>
      <c r="AB311" s="20">
        <f t="shared" si="94"/>
        <v>0</v>
      </c>
      <c r="AC311" s="20">
        <f t="shared" si="95"/>
        <v>0</v>
      </c>
      <c r="AD311" s="20">
        <f>IF(A311="",21/24,MOD(VLOOKUP(A311,Parámetros!$A$24:$B$25,2,TRUE()),1))</f>
        <v>0.875</v>
      </c>
      <c r="AE311" s="5">
        <f>IF(A311="",0,IF(OR(WEEKDAY(A311,2)=7,COUNTIF(Festivos!$A$5:$A$451,A311)&gt;0),1,0))</f>
        <v>0</v>
      </c>
      <c r="AF311" s="5">
        <f>IF(A311="",0,IF(OR(WEEKDAY(A311+1,2)=7,COUNTIF(Festivos!$A$5:$A$451,A311+1)&gt;0),1,0))</f>
        <v>0</v>
      </c>
      <c r="AG311" s="9">
        <f>IF(A311="",0,VLOOKUP(A311,Parámetros!$A$18:$B$21,2,TRUE()))</f>
        <v>0</v>
      </c>
      <c r="AH311" s="20">
        <f t="shared" si="96"/>
        <v>0</v>
      </c>
      <c r="AI311" s="20">
        <f>MAX(0,MIN(AB311,Parámetros!$B$11)-MAX(X311,0))+MAX(0,MIN(AB311,1+Parámetros!$B$11)-MAX(X311,AD311))+MAX(0,MIN(AB311,2)-MAX(X311,1+AD311))</f>
        <v>0</v>
      </c>
      <c r="AJ311" s="20">
        <f t="shared" si="97"/>
        <v>0</v>
      </c>
      <c r="AK311" s="20">
        <f>AE311*(MAX(0,MIN(AB311,Parámetros!$B$11)-MAX(X311,0))+MAX(0,MIN(AB311,1)-MAX(X311,AD311)))+AF311*(MAX(0,MIN(AB311,1+Parámetros!$B$11)-MAX(X311,1))+MAX(0,MIN(AB311,2)-MAX(X311,1+AD311)))</f>
        <v>0</v>
      </c>
      <c r="AL311" s="20">
        <f t="shared" si="98"/>
        <v>0</v>
      </c>
      <c r="AM311" s="20">
        <f>MAX(0,MIN(AC311,Parámetros!$B$11)-MAX(AB311,0))+MAX(0,MIN(AC311,1+Parámetros!$B$11)-MAX(AB311,AD311))+MAX(0,MIN(AC311,2)-MAX(AB311,1+AD311))</f>
        <v>0</v>
      </c>
      <c r="AN311" s="20">
        <f t="shared" si="99"/>
        <v>0</v>
      </c>
      <c r="AO311" s="20">
        <f>AE311*(MAX(0,MIN(AC311,Parámetros!$B$11)-MAX(AB311,0))+MAX(0,MIN(AC311,1)-MAX(AB311,AD311)))+AF311*(MAX(0,MIN(AC311,1+Parámetros!$B$11)-MAX(AB311,1))+MAX(0,MIN(AC311,2)-MAX(AB311,1+AD311)))</f>
        <v>0</v>
      </c>
    </row>
    <row r="312" spans="1:41" x14ac:dyDescent="0.25">
      <c r="A312" s="15"/>
      <c r="B312" s="8"/>
      <c r="C312" s="5" t="str">
        <f>IF(B312="","",IFERROR(INDEX(Trabajadores!$B$5:$B$204,MATCH(B312,Trabajadores!$A$5:$A$204,0)),"Cédula no registrada"))</f>
        <v/>
      </c>
      <c r="D312" s="11"/>
      <c r="E312" s="11"/>
      <c r="F312" s="8"/>
      <c r="G312" s="18" t="str">
        <f>IF(A312="","",IFERROR(INDEX(Trabajadores!$E$5:$E$204,MATCH(B312,Trabajadores!$A$5:$A$204,0))/Parámetros!$B$6,0)+IF(IFERROR(INDEX(Trabajadores!$E$5:$E$204,MATCH(B312,Trabajadores!$A$5:$A$204,0)),"")="",Parámetros!$B$7,0))</f>
        <v/>
      </c>
      <c r="H312" s="5" t="str">
        <f t="shared" si="80"/>
        <v/>
      </c>
      <c r="I312" s="5" t="str">
        <f>IF(A312="","",IF(COUNTIF(Festivos!$A$5:$A$451,A312)&gt;0,"Festivo",IF(WEEKDAY(A312,2)=7,"Domingo",IF(AND(AF312=1,AC312&gt;1),IF(COUNTIF(Festivos!$A$5:$A$451,A312+1)&gt;0,"Festivo","Domingo")&amp;" desde las 00:00",""))))</f>
        <v/>
      </c>
      <c r="J312" s="19" t="str">
        <f t="shared" si="81"/>
        <v/>
      </c>
      <c r="K312" s="19" t="str">
        <f t="shared" si="82"/>
        <v/>
      </c>
      <c r="L312" s="19" t="str">
        <f t="shared" si="83"/>
        <v/>
      </c>
      <c r="M312" s="19" t="str">
        <f t="shared" si="84"/>
        <v/>
      </c>
      <c r="N312" s="19" t="str">
        <f t="shared" si="85"/>
        <v/>
      </c>
      <c r="O312" s="19" t="str">
        <f t="shared" si="86"/>
        <v/>
      </c>
      <c r="P312" s="19" t="str">
        <f t="shared" si="87"/>
        <v/>
      </c>
      <c r="Q312" s="19" t="str">
        <f t="shared" si="88"/>
        <v/>
      </c>
      <c r="R312" s="19" t="str">
        <f t="shared" si="89"/>
        <v/>
      </c>
      <c r="S312" s="17" t="str">
        <f>IF(B312="","",IFERROR(INDEX(Trabajadores!$G$5:$G$204,MATCH(B312,Trabajadores!$A$5:$A$204,0)),""))</f>
        <v/>
      </c>
      <c r="T312" s="17" t="str">
        <f>IF(OR(OR(A312="",D312="",E312=""),S312=""),"",ROUND(S312*(N(L312)*Parámetros!$B$8+N(M312)*(1+Parámetros!$B$9)+N(N312)*(1+Parámetros!$B$10)+N(O312)*(1+AG312)+N(P312)*(1+AG312+Parámetros!$B$8)+N(Q312)*(1+AG312+Parámetros!$B$9)+N(R312)*(1+AG312+Parámetros!$B$10)),0))</f>
        <v/>
      </c>
      <c r="U312" s="5" t="str">
        <f>IF(OR(A312="",D312="",E312=""),"",IF(N(M312)+N(N312)+N(Q312)+N(R312)&gt;Parámetros!$B$12,"Supera el límite de horas extras diarias",IF(C312="Cédula no registrada","Registre la cédula en «Trabajadores»","")))</f>
        <v/>
      </c>
      <c r="X312" s="20">
        <f t="shared" si="90"/>
        <v>0</v>
      </c>
      <c r="Y312" s="20">
        <f t="shared" si="91"/>
        <v>0</v>
      </c>
      <c r="Z312" s="20">
        <f t="shared" si="92"/>
        <v>0</v>
      </c>
      <c r="AA312" s="20">
        <f t="shared" si="93"/>
        <v>0</v>
      </c>
      <c r="AB312" s="20">
        <f t="shared" si="94"/>
        <v>0</v>
      </c>
      <c r="AC312" s="20">
        <f t="shared" si="95"/>
        <v>0</v>
      </c>
      <c r="AD312" s="20">
        <f>IF(A312="",21/24,MOD(VLOOKUP(A312,Parámetros!$A$24:$B$25,2,TRUE()),1))</f>
        <v>0.875</v>
      </c>
      <c r="AE312" s="5">
        <f>IF(A312="",0,IF(OR(WEEKDAY(A312,2)=7,COUNTIF(Festivos!$A$5:$A$451,A312)&gt;0),1,0))</f>
        <v>0</v>
      </c>
      <c r="AF312" s="5">
        <f>IF(A312="",0,IF(OR(WEEKDAY(A312+1,2)=7,COUNTIF(Festivos!$A$5:$A$451,A312+1)&gt;0),1,0))</f>
        <v>0</v>
      </c>
      <c r="AG312" s="9">
        <f>IF(A312="",0,VLOOKUP(A312,Parámetros!$A$18:$B$21,2,TRUE()))</f>
        <v>0</v>
      </c>
      <c r="AH312" s="20">
        <f t="shared" si="96"/>
        <v>0</v>
      </c>
      <c r="AI312" s="20">
        <f>MAX(0,MIN(AB312,Parámetros!$B$11)-MAX(X312,0))+MAX(0,MIN(AB312,1+Parámetros!$B$11)-MAX(X312,AD312))+MAX(0,MIN(AB312,2)-MAX(X312,1+AD312))</f>
        <v>0</v>
      </c>
      <c r="AJ312" s="20">
        <f t="shared" si="97"/>
        <v>0</v>
      </c>
      <c r="AK312" s="20">
        <f>AE312*(MAX(0,MIN(AB312,Parámetros!$B$11)-MAX(X312,0))+MAX(0,MIN(AB312,1)-MAX(X312,AD312)))+AF312*(MAX(0,MIN(AB312,1+Parámetros!$B$11)-MAX(X312,1))+MAX(0,MIN(AB312,2)-MAX(X312,1+AD312)))</f>
        <v>0</v>
      </c>
      <c r="AL312" s="20">
        <f t="shared" si="98"/>
        <v>0</v>
      </c>
      <c r="AM312" s="20">
        <f>MAX(0,MIN(AC312,Parámetros!$B$11)-MAX(AB312,0))+MAX(0,MIN(AC312,1+Parámetros!$B$11)-MAX(AB312,AD312))+MAX(0,MIN(AC312,2)-MAX(AB312,1+AD312))</f>
        <v>0</v>
      </c>
      <c r="AN312" s="20">
        <f t="shared" si="99"/>
        <v>0</v>
      </c>
      <c r="AO312" s="20">
        <f>AE312*(MAX(0,MIN(AC312,Parámetros!$B$11)-MAX(AB312,0))+MAX(0,MIN(AC312,1)-MAX(AB312,AD312)))+AF312*(MAX(0,MIN(AC312,1+Parámetros!$B$11)-MAX(AB312,1))+MAX(0,MIN(AC312,2)-MAX(AB312,1+AD312)))</f>
        <v>0</v>
      </c>
    </row>
    <row r="313" spans="1:41" x14ac:dyDescent="0.25">
      <c r="A313" s="15"/>
      <c r="B313" s="8"/>
      <c r="C313" s="5" t="str">
        <f>IF(B313="","",IFERROR(INDEX(Trabajadores!$B$5:$B$204,MATCH(B313,Trabajadores!$A$5:$A$204,0)),"Cédula no registrada"))</f>
        <v/>
      </c>
      <c r="D313" s="11"/>
      <c r="E313" s="11"/>
      <c r="F313" s="8"/>
      <c r="G313" s="18" t="str">
        <f>IF(A313="","",IFERROR(INDEX(Trabajadores!$E$5:$E$204,MATCH(B313,Trabajadores!$A$5:$A$204,0))/Parámetros!$B$6,0)+IF(IFERROR(INDEX(Trabajadores!$E$5:$E$204,MATCH(B313,Trabajadores!$A$5:$A$204,0)),"")="",Parámetros!$B$7,0))</f>
        <v/>
      </c>
      <c r="H313" s="5" t="str">
        <f t="shared" si="80"/>
        <v/>
      </c>
      <c r="I313" s="5" t="str">
        <f>IF(A313="","",IF(COUNTIF(Festivos!$A$5:$A$451,A313)&gt;0,"Festivo",IF(WEEKDAY(A313,2)=7,"Domingo",IF(AND(AF313=1,AC313&gt;1),IF(COUNTIF(Festivos!$A$5:$A$451,A313+1)&gt;0,"Festivo","Domingo")&amp;" desde las 00:00",""))))</f>
        <v/>
      </c>
      <c r="J313" s="19" t="str">
        <f t="shared" si="81"/>
        <v/>
      </c>
      <c r="K313" s="19" t="str">
        <f t="shared" si="82"/>
        <v/>
      </c>
      <c r="L313" s="19" t="str">
        <f t="shared" si="83"/>
        <v/>
      </c>
      <c r="M313" s="19" t="str">
        <f t="shared" si="84"/>
        <v/>
      </c>
      <c r="N313" s="19" t="str">
        <f t="shared" si="85"/>
        <v/>
      </c>
      <c r="O313" s="19" t="str">
        <f t="shared" si="86"/>
        <v/>
      </c>
      <c r="P313" s="19" t="str">
        <f t="shared" si="87"/>
        <v/>
      </c>
      <c r="Q313" s="19" t="str">
        <f t="shared" si="88"/>
        <v/>
      </c>
      <c r="R313" s="19" t="str">
        <f t="shared" si="89"/>
        <v/>
      </c>
      <c r="S313" s="17" t="str">
        <f>IF(B313="","",IFERROR(INDEX(Trabajadores!$G$5:$G$204,MATCH(B313,Trabajadores!$A$5:$A$204,0)),""))</f>
        <v/>
      </c>
      <c r="T313" s="17" t="str">
        <f>IF(OR(OR(A313="",D313="",E313=""),S313=""),"",ROUND(S313*(N(L313)*Parámetros!$B$8+N(M313)*(1+Parámetros!$B$9)+N(N313)*(1+Parámetros!$B$10)+N(O313)*(1+AG313)+N(P313)*(1+AG313+Parámetros!$B$8)+N(Q313)*(1+AG313+Parámetros!$B$9)+N(R313)*(1+AG313+Parámetros!$B$10)),0))</f>
        <v/>
      </c>
      <c r="U313" s="5" t="str">
        <f>IF(OR(A313="",D313="",E313=""),"",IF(N(M313)+N(N313)+N(Q313)+N(R313)&gt;Parámetros!$B$12,"Supera el límite de horas extras diarias",IF(C313="Cédula no registrada","Registre la cédula en «Trabajadores»","")))</f>
        <v/>
      </c>
      <c r="X313" s="20">
        <f t="shared" si="90"/>
        <v>0</v>
      </c>
      <c r="Y313" s="20">
        <f t="shared" si="91"/>
        <v>0</v>
      </c>
      <c r="Z313" s="20">
        <f t="shared" si="92"/>
        <v>0</v>
      </c>
      <c r="AA313" s="20">
        <f t="shared" si="93"/>
        <v>0</v>
      </c>
      <c r="AB313" s="20">
        <f t="shared" si="94"/>
        <v>0</v>
      </c>
      <c r="AC313" s="20">
        <f t="shared" si="95"/>
        <v>0</v>
      </c>
      <c r="AD313" s="20">
        <f>IF(A313="",21/24,MOD(VLOOKUP(A313,Parámetros!$A$24:$B$25,2,TRUE()),1))</f>
        <v>0.875</v>
      </c>
      <c r="AE313" s="5">
        <f>IF(A313="",0,IF(OR(WEEKDAY(A313,2)=7,COUNTIF(Festivos!$A$5:$A$451,A313)&gt;0),1,0))</f>
        <v>0</v>
      </c>
      <c r="AF313" s="5">
        <f>IF(A313="",0,IF(OR(WEEKDAY(A313+1,2)=7,COUNTIF(Festivos!$A$5:$A$451,A313+1)&gt;0),1,0))</f>
        <v>0</v>
      </c>
      <c r="AG313" s="9">
        <f>IF(A313="",0,VLOOKUP(A313,Parámetros!$A$18:$B$21,2,TRUE()))</f>
        <v>0</v>
      </c>
      <c r="AH313" s="20">
        <f t="shared" si="96"/>
        <v>0</v>
      </c>
      <c r="AI313" s="20">
        <f>MAX(0,MIN(AB313,Parámetros!$B$11)-MAX(X313,0))+MAX(0,MIN(AB313,1+Parámetros!$B$11)-MAX(X313,AD313))+MAX(0,MIN(AB313,2)-MAX(X313,1+AD313))</f>
        <v>0</v>
      </c>
      <c r="AJ313" s="20">
        <f t="shared" si="97"/>
        <v>0</v>
      </c>
      <c r="AK313" s="20">
        <f>AE313*(MAX(0,MIN(AB313,Parámetros!$B$11)-MAX(X313,0))+MAX(0,MIN(AB313,1)-MAX(X313,AD313)))+AF313*(MAX(0,MIN(AB313,1+Parámetros!$B$11)-MAX(X313,1))+MAX(0,MIN(AB313,2)-MAX(X313,1+AD313)))</f>
        <v>0</v>
      </c>
      <c r="AL313" s="20">
        <f t="shared" si="98"/>
        <v>0</v>
      </c>
      <c r="AM313" s="20">
        <f>MAX(0,MIN(AC313,Parámetros!$B$11)-MAX(AB313,0))+MAX(0,MIN(AC313,1+Parámetros!$B$11)-MAX(AB313,AD313))+MAX(0,MIN(AC313,2)-MAX(AB313,1+AD313))</f>
        <v>0</v>
      </c>
      <c r="AN313" s="20">
        <f t="shared" si="99"/>
        <v>0</v>
      </c>
      <c r="AO313" s="20">
        <f>AE313*(MAX(0,MIN(AC313,Parámetros!$B$11)-MAX(AB313,0))+MAX(0,MIN(AC313,1)-MAX(AB313,AD313)))+AF313*(MAX(0,MIN(AC313,1+Parámetros!$B$11)-MAX(AB313,1))+MAX(0,MIN(AC313,2)-MAX(AB313,1+AD313)))</f>
        <v>0</v>
      </c>
    </row>
    <row r="314" spans="1:41" x14ac:dyDescent="0.25">
      <c r="A314" s="15"/>
      <c r="B314" s="8"/>
      <c r="C314" s="5" t="str">
        <f>IF(B314="","",IFERROR(INDEX(Trabajadores!$B$5:$B$204,MATCH(B314,Trabajadores!$A$5:$A$204,0)),"Cédula no registrada"))</f>
        <v/>
      </c>
      <c r="D314" s="11"/>
      <c r="E314" s="11"/>
      <c r="F314" s="8"/>
      <c r="G314" s="18" t="str">
        <f>IF(A314="","",IFERROR(INDEX(Trabajadores!$E$5:$E$204,MATCH(B314,Trabajadores!$A$5:$A$204,0))/Parámetros!$B$6,0)+IF(IFERROR(INDEX(Trabajadores!$E$5:$E$204,MATCH(B314,Trabajadores!$A$5:$A$204,0)),"")="",Parámetros!$B$7,0))</f>
        <v/>
      </c>
      <c r="H314" s="5" t="str">
        <f t="shared" si="80"/>
        <v/>
      </c>
      <c r="I314" s="5" t="str">
        <f>IF(A314="","",IF(COUNTIF(Festivos!$A$5:$A$451,A314)&gt;0,"Festivo",IF(WEEKDAY(A314,2)=7,"Domingo",IF(AND(AF314=1,AC314&gt;1),IF(COUNTIF(Festivos!$A$5:$A$451,A314+1)&gt;0,"Festivo","Domingo")&amp;" desde las 00:00",""))))</f>
        <v/>
      </c>
      <c r="J314" s="19" t="str">
        <f t="shared" si="81"/>
        <v/>
      </c>
      <c r="K314" s="19" t="str">
        <f t="shared" si="82"/>
        <v/>
      </c>
      <c r="L314" s="19" t="str">
        <f t="shared" si="83"/>
        <v/>
      </c>
      <c r="M314" s="19" t="str">
        <f t="shared" si="84"/>
        <v/>
      </c>
      <c r="N314" s="19" t="str">
        <f t="shared" si="85"/>
        <v/>
      </c>
      <c r="O314" s="19" t="str">
        <f t="shared" si="86"/>
        <v/>
      </c>
      <c r="P314" s="19" t="str">
        <f t="shared" si="87"/>
        <v/>
      </c>
      <c r="Q314" s="19" t="str">
        <f t="shared" si="88"/>
        <v/>
      </c>
      <c r="R314" s="19" t="str">
        <f t="shared" si="89"/>
        <v/>
      </c>
      <c r="S314" s="17" t="str">
        <f>IF(B314="","",IFERROR(INDEX(Trabajadores!$G$5:$G$204,MATCH(B314,Trabajadores!$A$5:$A$204,0)),""))</f>
        <v/>
      </c>
      <c r="T314" s="17" t="str">
        <f>IF(OR(OR(A314="",D314="",E314=""),S314=""),"",ROUND(S314*(N(L314)*Parámetros!$B$8+N(M314)*(1+Parámetros!$B$9)+N(N314)*(1+Parámetros!$B$10)+N(O314)*(1+AG314)+N(P314)*(1+AG314+Parámetros!$B$8)+N(Q314)*(1+AG314+Parámetros!$B$9)+N(R314)*(1+AG314+Parámetros!$B$10)),0))</f>
        <v/>
      </c>
      <c r="U314" s="5" t="str">
        <f>IF(OR(A314="",D314="",E314=""),"",IF(N(M314)+N(N314)+N(Q314)+N(R314)&gt;Parámetros!$B$12,"Supera el límite de horas extras diarias",IF(C314="Cédula no registrada","Registre la cédula en «Trabajadores»","")))</f>
        <v/>
      </c>
      <c r="X314" s="20">
        <f t="shared" si="90"/>
        <v>0</v>
      </c>
      <c r="Y314" s="20">
        <f t="shared" si="91"/>
        <v>0</v>
      </c>
      <c r="Z314" s="20">
        <f t="shared" si="92"/>
        <v>0</v>
      </c>
      <c r="AA314" s="20">
        <f t="shared" si="93"/>
        <v>0</v>
      </c>
      <c r="AB314" s="20">
        <f t="shared" si="94"/>
        <v>0</v>
      </c>
      <c r="AC314" s="20">
        <f t="shared" si="95"/>
        <v>0</v>
      </c>
      <c r="AD314" s="20">
        <f>IF(A314="",21/24,MOD(VLOOKUP(A314,Parámetros!$A$24:$B$25,2,TRUE()),1))</f>
        <v>0.875</v>
      </c>
      <c r="AE314" s="5">
        <f>IF(A314="",0,IF(OR(WEEKDAY(A314,2)=7,COUNTIF(Festivos!$A$5:$A$451,A314)&gt;0),1,0))</f>
        <v>0</v>
      </c>
      <c r="AF314" s="5">
        <f>IF(A314="",0,IF(OR(WEEKDAY(A314+1,2)=7,COUNTIF(Festivos!$A$5:$A$451,A314+1)&gt;0),1,0))</f>
        <v>0</v>
      </c>
      <c r="AG314" s="9">
        <f>IF(A314="",0,VLOOKUP(A314,Parámetros!$A$18:$B$21,2,TRUE()))</f>
        <v>0</v>
      </c>
      <c r="AH314" s="20">
        <f t="shared" si="96"/>
        <v>0</v>
      </c>
      <c r="AI314" s="20">
        <f>MAX(0,MIN(AB314,Parámetros!$B$11)-MAX(X314,0))+MAX(0,MIN(AB314,1+Parámetros!$B$11)-MAX(X314,AD314))+MAX(0,MIN(AB314,2)-MAX(X314,1+AD314))</f>
        <v>0</v>
      </c>
      <c r="AJ314" s="20">
        <f t="shared" si="97"/>
        <v>0</v>
      </c>
      <c r="AK314" s="20">
        <f>AE314*(MAX(0,MIN(AB314,Parámetros!$B$11)-MAX(X314,0))+MAX(0,MIN(AB314,1)-MAX(X314,AD314)))+AF314*(MAX(0,MIN(AB314,1+Parámetros!$B$11)-MAX(X314,1))+MAX(0,MIN(AB314,2)-MAX(X314,1+AD314)))</f>
        <v>0</v>
      </c>
      <c r="AL314" s="20">
        <f t="shared" si="98"/>
        <v>0</v>
      </c>
      <c r="AM314" s="20">
        <f>MAX(0,MIN(AC314,Parámetros!$B$11)-MAX(AB314,0))+MAX(0,MIN(AC314,1+Parámetros!$B$11)-MAX(AB314,AD314))+MAX(0,MIN(AC314,2)-MAX(AB314,1+AD314))</f>
        <v>0</v>
      </c>
      <c r="AN314" s="20">
        <f t="shared" si="99"/>
        <v>0</v>
      </c>
      <c r="AO314" s="20">
        <f>AE314*(MAX(0,MIN(AC314,Parámetros!$B$11)-MAX(AB314,0))+MAX(0,MIN(AC314,1)-MAX(AB314,AD314)))+AF314*(MAX(0,MIN(AC314,1+Parámetros!$B$11)-MAX(AB314,1))+MAX(0,MIN(AC314,2)-MAX(AB314,1+AD314)))</f>
        <v>0</v>
      </c>
    </row>
    <row r="315" spans="1:41" x14ac:dyDescent="0.25">
      <c r="A315" s="15"/>
      <c r="B315" s="8"/>
      <c r="C315" s="5" t="str">
        <f>IF(B315="","",IFERROR(INDEX(Trabajadores!$B$5:$B$204,MATCH(B315,Trabajadores!$A$5:$A$204,0)),"Cédula no registrada"))</f>
        <v/>
      </c>
      <c r="D315" s="11"/>
      <c r="E315" s="11"/>
      <c r="F315" s="8"/>
      <c r="G315" s="18" t="str">
        <f>IF(A315="","",IFERROR(INDEX(Trabajadores!$E$5:$E$204,MATCH(B315,Trabajadores!$A$5:$A$204,0))/Parámetros!$B$6,0)+IF(IFERROR(INDEX(Trabajadores!$E$5:$E$204,MATCH(B315,Trabajadores!$A$5:$A$204,0)),"")="",Parámetros!$B$7,0))</f>
        <v/>
      </c>
      <c r="H315" s="5" t="str">
        <f t="shared" si="80"/>
        <v/>
      </c>
      <c r="I315" s="5" t="str">
        <f>IF(A315="","",IF(COUNTIF(Festivos!$A$5:$A$451,A315)&gt;0,"Festivo",IF(WEEKDAY(A315,2)=7,"Domingo",IF(AND(AF315=1,AC315&gt;1),IF(COUNTIF(Festivos!$A$5:$A$451,A315+1)&gt;0,"Festivo","Domingo")&amp;" desde las 00:00",""))))</f>
        <v/>
      </c>
      <c r="J315" s="19" t="str">
        <f t="shared" si="81"/>
        <v/>
      </c>
      <c r="K315" s="19" t="str">
        <f t="shared" si="82"/>
        <v/>
      </c>
      <c r="L315" s="19" t="str">
        <f t="shared" si="83"/>
        <v/>
      </c>
      <c r="M315" s="19" t="str">
        <f t="shared" si="84"/>
        <v/>
      </c>
      <c r="N315" s="19" t="str">
        <f t="shared" si="85"/>
        <v/>
      </c>
      <c r="O315" s="19" t="str">
        <f t="shared" si="86"/>
        <v/>
      </c>
      <c r="P315" s="19" t="str">
        <f t="shared" si="87"/>
        <v/>
      </c>
      <c r="Q315" s="19" t="str">
        <f t="shared" si="88"/>
        <v/>
      </c>
      <c r="R315" s="19" t="str">
        <f t="shared" si="89"/>
        <v/>
      </c>
      <c r="S315" s="17" t="str">
        <f>IF(B315="","",IFERROR(INDEX(Trabajadores!$G$5:$G$204,MATCH(B315,Trabajadores!$A$5:$A$204,0)),""))</f>
        <v/>
      </c>
      <c r="T315" s="17" t="str">
        <f>IF(OR(OR(A315="",D315="",E315=""),S315=""),"",ROUND(S315*(N(L315)*Parámetros!$B$8+N(M315)*(1+Parámetros!$B$9)+N(N315)*(1+Parámetros!$B$10)+N(O315)*(1+AG315)+N(P315)*(1+AG315+Parámetros!$B$8)+N(Q315)*(1+AG315+Parámetros!$B$9)+N(R315)*(1+AG315+Parámetros!$B$10)),0))</f>
        <v/>
      </c>
      <c r="U315" s="5" t="str">
        <f>IF(OR(A315="",D315="",E315=""),"",IF(N(M315)+N(N315)+N(Q315)+N(R315)&gt;Parámetros!$B$12,"Supera el límite de horas extras diarias",IF(C315="Cédula no registrada","Registre la cédula en «Trabajadores»","")))</f>
        <v/>
      </c>
      <c r="X315" s="20">
        <f t="shared" si="90"/>
        <v>0</v>
      </c>
      <c r="Y315" s="20">
        <f t="shared" si="91"/>
        <v>0</v>
      </c>
      <c r="Z315" s="20">
        <f t="shared" si="92"/>
        <v>0</v>
      </c>
      <c r="AA315" s="20">
        <f t="shared" si="93"/>
        <v>0</v>
      </c>
      <c r="AB315" s="20">
        <f t="shared" si="94"/>
        <v>0</v>
      </c>
      <c r="AC315" s="20">
        <f t="shared" si="95"/>
        <v>0</v>
      </c>
      <c r="AD315" s="20">
        <f>IF(A315="",21/24,MOD(VLOOKUP(A315,Parámetros!$A$24:$B$25,2,TRUE()),1))</f>
        <v>0.875</v>
      </c>
      <c r="AE315" s="5">
        <f>IF(A315="",0,IF(OR(WEEKDAY(A315,2)=7,COUNTIF(Festivos!$A$5:$A$451,A315)&gt;0),1,0))</f>
        <v>0</v>
      </c>
      <c r="AF315" s="5">
        <f>IF(A315="",0,IF(OR(WEEKDAY(A315+1,2)=7,COUNTIF(Festivos!$A$5:$A$451,A315+1)&gt;0),1,0))</f>
        <v>0</v>
      </c>
      <c r="AG315" s="9">
        <f>IF(A315="",0,VLOOKUP(A315,Parámetros!$A$18:$B$21,2,TRUE()))</f>
        <v>0</v>
      </c>
      <c r="AH315" s="20">
        <f t="shared" si="96"/>
        <v>0</v>
      </c>
      <c r="AI315" s="20">
        <f>MAX(0,MIN(AB315,Parámetros!$B$11)-MAX(X315,0))+MAX(0,MIN(AB315,1+Parámetros!$B$11)-MAX(X315,AD315))+MAX(0,MIN(AB315,2)-MAX(X315,1+AD315))</f>
        <v>0</v>
      </c>
      <c r="AJ315" s="20">
        <f t="shared" si="97"/>
        <v>0</v>
      </c>
      <c r="AK315" s="20">
        <f>AE315*(MAX(0,MIN(AB315,Parámetros!$B$11)-MAX(X315,0))+MAX(0,MIN(AB315,1)-MAX(X315,AD315)))+AF315*(MAX(0,MIN(AB315,1+Parámetros!$B$11)-MAX(X315,1))+MAX(0,MIN(AB315,2)-MAX(X315,1+AD315)))</f>
        <v>0</v>
      </c>
      <c r="AL315" s="20">
        <f t="shared" si="98"/>
        <v>0</v>
      </c>
      <c r="AM315" s="20">
        <f>MAX(0,MIN(AC315,Parámetros!$B$11)-MAX(AB315,0))+MAX(0,MIN(AC315,1+Parámetros!$B$11)-MAX(AB315,AD315))+MAX(0,MIN(AC315,2)-MAX(AB315,1+AD315))</f>
        <v>0</v>
      </c>
      <c r="AN315" s="20">
        <f t="shared" si="99"/>
        <v>0</v>
      </c>
      <c r="AO315" s="20">
        <f>AE315*(MAX(0,MIN(AC315,Parámetros!$B$11)-MAX(AB315,0))+MAX(0,MIN(AC315,1)-MAX(AB315,AD315)))+AF315*(MAX(0,MIN(AC315,1+Parámetros!$B$11)-MAX(AB315,1))+MAX(0,MIN(AC315,2)-MAX(AB315,1+AD315)))</f>
        <v>0</v>
      </c>
    </row>
    <row r="316" spans="1:41" x14ac:dyDescent="0.25">
      <c r="A316" s="15"/>
      <c r="B316" s="8"/>
      <c r="C316" s="5" t="str">
        <f>IF(B316="","",IFERROR(INDEX(Trabajadores!$B$5:$B$204,MATCH(B316,Trabajadores!$A$5:$A$204,0)),"Cédula no registrada"))</f>
        <v/>
      </c>
      <c r="D316" s="11"/>
      <c r="E316" s="11"/>
      <c r="F316" s="8"/>
      <c r="G316" s="18" t="str">
        <f>IF(A316="","",IFERROR(INDEX(Trabajadores!$E$5:$E$204,MATCH(B316,Trabajadores!$A$5:$A$204,0))/Parámetros!$B$6,0)+IF(IFERROR(INDEX(Trabajadores!$E$5:$E$204,MATCH(B316,Trabajadores!$A$5:$A$204,0)),"")="",Parámetros!$B$7,0))</f>
        <v/>
      </c>
      <c r="H316" s="5" t="str">
        <f t="shared" si="80"/>
        <v/>
      </c>
      <c r="I316" s="5" t="str">
        <f>IF(A316="","",IF(COUNTIF(Festivos!$A$5:$A$451,A316)&gt;0,"Festivo",IF(WEEKDAY(A316,2)=7,"Domingo",IF(AND(AF316=1,AC316&gt;1),IF(COUNTIF(Festivos!$A$5:$A$451,A316+1)&gt;0,"Festivo","Domingo")&amp;" desde las 00:00",""))))</f>
        <v/>
      </c>
      <c r="J316" s="19" t="str">
        <f t="shared" si="81"/>
        <v/>
      </c>
      <c r="K316" s="19" t="str">
        <f t="shared" si="82"/>
        <v/>
      </c>
      <c r="L316" s="19" t="str">
        <f t="shared" si="83"/>
        <v/>
      </c>
      <c r="M316" s="19" t="str">
        <f t="shared" si="84"/>
        <v/>
      </c>
      <c r="N316" s="19" t="str">
        <f t="shared" si="85"/>
        <v/>
      </c>
      <c r="O316" s="19" t="str">
        <f t="shared" si="86"/>
        <v/>
      </c>
      <c r="P316" s="19" t="str">
        <f t="shared" si="87"/>
        <v/>
      </c>
      <c r="Q316" s="19" t="str">
        <f t="shared" si="88"/>
        <v/>
      </c>
      <c r="R316" s="19" t="str">
        <f t="shared" si="89"/>
        <v/>
      </c>
      <c r="S316" s="17" t="str">
        <f>IF(B316="","",IFERROR(INDEX(Trabajadores!$G$5:$G$204,MATCH(B316,Trabajadores!$A$5:$A$204,0)),""))</f>
        <v/>
      </c>
      <c r="T316" s="17" t="str">
        <f>IF(OR(OR(A316="",D316="",E316=""),S316=""),"",ROUND(S316*(N(L316)*Parámetros!$B$8+N(M316)*(1+Parámetros!$B$9)+N(N316)*(1+Parámetros!$B$10)+N(O316)*(1+AG316)+N(P316)*(1+AG316+Parámetros!$B$8)+N(Q316)*(1+AG316+Parámetros!$B$9)+N(R316)*(1+AG316+Parámetros!$B$10)),0))</f>
        <v/>
      </c>
      <c r="U316" s="5" t="str">
        <f>IF(OR(A316="",D316="",E316=""),"",IF(N(M316)+N(N316)+N(Q316)+N(R316)&gt;Parámetros!$B$12,"Supera el límite de horas extras diarias",IF(C316="Cédula no registrada","Registre la cédula en «Trabajadores»","")))</f>
        <v/>
      </c>
      <c r="X316" s="20">
        <f t="shared" si="90"/>
        <v>0</v>
      </c>
      <c r="Y316" s="20">
        <f t="shared" si="91"/>
        <v>0</v>
      </c>
      <c r="Z316" s="20">
        <f t="shared" si="92"/>
        <v>0</v>
      </c>
      <c r="AA316" s="20">
        <f t="shared" si="93"/>
        <v>0</v>
      </c>
      <c r="AB316" s="20">
        <f t="shared" si="94"/>
        <v>0</v>
      </c>
      <c r="AC316" s="20">
        <f t="shared" si="95"/>
        <v>0</v>
      </c>
      <c r="AD316" s="20">
        <f>IF(A316="",21/24,MOD(VLOOKUP(A316,Parámetros!$A$24:$B$25,2,TRUE()),1))</f>
        <v>0.875</v>
      </c>
      <c r="AE316" s="5">
        <f>IF(A316="",0,IF(OR(WEEKDAY(A316,2)=7,COUNTIF(Festivos!$A$5:$A$451,A316)&gt;0),1,0))</f>
        <v>0</v>
      </c>
      <c r="AF316" s="5">
        <f>IF(A316="",0,IF(OR(WEEKDAY(A316+1,2)=7,COUNTIF(Festivos!$A$5:$A$451,A316+1)&gt;0),1,0))</f>
        <v>0</v>
      </c>
      <c r="AG316" s="9">
        <f>IF(A316="",0,VLOOKUP(A316,Parámetros!$A$18:$B$21,2,TRUE()))</f>
        <v>0</v>
      </c>
      <c r="AH316" s="20">
        <f t="shared" si="96"/>
        <v>0</v>
      </c>
      <c r="AI316" s="20">
        <f>MAX(0,MIN(AB316,Parámetros!$B$11)-MAX(X316,0))+MAX(0,MIN(AB316,1+Parámetros!$B$11)-MAX(X316,AD316))+MAX(0,MIN(AB316,2)-MAX(X316,1+AD316))</f>
        <v>0</v>
      </c>
      <c r="AJ316" s="20">
        <f t="shared" si="97"/>
        <v>0</v>
      </c>
      <c r="AK316" s="20">
        <f>AE316*(MAX(0,MIN(AB316,Parámetros!$B$11)-MAX(X316,0))+MAX(0,MIN(AB316,1)-MAX(X316,AD316)))+AF316*(MAX(0,MIN(AB316,1+Parámetros!$B$11)-MAX(X316,1))+MAX(0,MIN(AB316,2)-MAX(X316,1+AD316)))</f>
        <v>0</v>
      </c>
      <c r="AL316" s="20">
        <f t="shared" si="98"/>
        <v>0</v>
      </c>
      <c r="AM316" s="20">
        <f>MAX(0,MIN(AC316,Parámetros!$B$11)-MAX(AB316,0))+MAX(0,MIN(AC316,1+Parámetros!$B$11)-MAX(AB316,AD316))+MAX(0,MIN(AC316,2)-MAX(AB316,1+AD316))</f>
        <v>0</v>
      </c>
      <c r="AN316" s="20">
        <f t="shared" si="99"/>
        <v>0</v>
      </c>
      <c r="AO316" s="20">
        <f>AE316*(MAX(0,MIN(AC316,Parámetros!$B$11)-MAX(AB316,0))+MAX(0,MIN(AC316,1)-MAX(AB316,AD316)))+AF316*(MAX(0,MIN(AC316,1+Parámetros!$B$11)-MAX(AB316,1))+MAX(0,MIN(AC316,2)-MAX(AB316,1+AD316)))</f>
        <v>0</v>
      </c>
    </row>
    <row r="317" spans="1:41" x14ac:dyDescent="0.25">
      <c r="A317" s="15"/>
      <c r="B317" s="8"/>
      <c r="C317" s="5" t="str">
        <f>IF(B317="","",IFERROR(INDEX(Trabajadores!$B$5:$B$204,MATCH(B317,Trabajadores!$A$5:$A$204,0)),"Cédula no registrada"))</f>
        <v/>
      </c>
      <c r="D317" s="11"/>
      <c r="E317" s="11"/>
      <c r="F317" s="8"/>
      <c r="G317" s="18" t="str">
        <f>IF(A317="","",IFERROR(INDEX(Trabajadores!$E$5:$E$204,MATCH(B317,Trabajadores!$A$5:$A$204,0))/Parámetros!$B$6,0)+IF(IFERROR(INDEX(Trabajadores!$E$5:$E$204,MATCH(B317,Trabajadores!$A$5:$A$204,0)),"")="",Parámetros!$B$7,0))</f>
        <v/>
      </c>
      <c r="H317" s="5" t="str">
        <f t="shared" si="80"/>
        <v/>
      </c>
      <c r="I317" s="5" t="str">
        <f>IF(A317="","",IF(COUNTIF(Festivos!$A$5:$A$451,A317)&gt;0,"Festivo",IF(WEEKDAY(A317,2)=7,"Domingo",IF(AND(AF317=1,AC317&gt;1),IF(COUNTIF(Festivos!$A$5:$A$451,A317+1)&gt;0,"Festivo","Domingo")&amp;" desde las 00:00",""))))</f>
        <v/>
      </c>
      <c r="J317" s="19" t="str">
        <f t="shared" si="81"/>
        <v/>
      </c>
      <c r="K317" s="19" t="str">
        <f t="shared" si="82"/>
        <v/>
      </c>
      <c r="L317" s="19" t="str">
        <f t="shared" si="83"/>
        <v/>
      </c>
      <c r="M317" s="19" t="str">
        <f t="shared" si="84"/>
        <v/>
      </c>
      <c r="N317" s="19" t="str">
        <f t="shared" si="85"/>
        <v/>
      </c>
      <c r="O317" s="19" t="str">
        <f t="shared" si="86"/>
        <v/>
      </c>
      <c r="P317" s="19" t="str">
        <f t="shared" si="87"/>
        <v/>
      </c>
      <c r="Q317" s="19" t="str">
        <f t="shared" si="88"/>
        <v/>
      </c>
      <c r="R317" s="19" t="str">
        <f t="shared" si="89"/>
        <v/>
      </c>
      <c r="S317" s="17" t="str">
        <f>IF(B317="","",IFERROR(INDEX(Trabajadores!$G$5:$G$204,MATCH(B317,Trabajadores!$A$5:$A$204,0)),""))</f>
        <v/>
      </c>
      <c r="T317" s="17" t="str">
        <f>IF(OR(OR(A317="",D317="",E317=""),S317=""),"",ROUND(S317*(N(L317)*Parámetros!$B$8+N(M317)*(1+Parámetros!$B$9)+N(N317)*(1+Parámetros!$B$10)+N(O317)*(1+AG317)+N(P317)*(1+AG317+Parámetros!$B$8)+N(Q317)*(1+AG317+Parámetros!$B$9)+N(R317)*(1+AG317+Parámetros!$B$10)),0))</f>
        <v/>
      </c>
      <c r="U317" s="5" t="str">
        <f>IF(OR(A317="",D317="",E317=""),"",IF(N(M317)+N(N317)+N(Q317)+N(R317)&gt;Parámetros!$B$12,"Supera el límite de horas extras diarias",IF(C317="Cédula no registrada","Registre la cédula en «Trabajadores»","")))</f>
        <v/>
      </c>
      <c r="X317" s="20">
        <f t="shared" si="90"/>
        <v>0</v>
      </c>
      <c r="Y317" s="20">
        <f t="shared" si="91"/>
        <v>0</v>
      </c>
      <c r="Z317" s="20">
        <f t="shared" si="92"/>
        <v>0</v>
      </c>
      <c r="AA317" s="20">
        <f t="shared" si="93"/>
        <v>0</v>
      </c>
      <c r="AB317" s="20">
        <f t="shared" si="94"/>
        <v>0</v>
      </c>
      <c r="AC317" s="20">
        <f t="shared" si="95"/>
        <v>0</v>
      </c>
      <c r="AD317" s="20">
        <f>IF(A317="",21/24,MOD(VLOOKUP(A317,Parámetros!$A$24:$B$25,2,TRUE()),1))</f>
        <v>0.875</v>
      </c>
      <c r="AE317" s="5">
        <f>IF(A317="",0,IF(OR(WEEKDAY(A317,2)=7,COUNTIF(Festivos!$A$5:$A$451,A317)&gt;0),1,0))</f>
        <v>0</v>
      </c>
      <c r="AF317" s="5">
        <f>IF(A317="",0,IF(OR(WEEKDAY(A317+1,2)=7,COUNTIF(Festivos!$A$5:$A$451,A317+1)&gt;0),1,0))</f>
        <v>0</v>
      </c>
      <c r="AG317" s="9">
        <f>IF(A317="",0,VLOOKUP(A317,Parámetros!$A$18:$B$21,2,TRUE()))</f>
        <v>0</v>
      </c>
      <c r="AH317" s="20">
        <f t="shared" si="96"/>
        <v>0</v>
      </c>
      <c r="AI317" s="20">
        <f>MAX(0,MIN(AB317,Parámetros!$B$11)-MAX(X317,0))+MAX(0,MIN(AB317,1+Parámetros!$B$11)-MAX(X317,AD317))+MAX(0,MIN(AB317,2)-MAX(X317,1+AD317))</f>
        <v>0</v>
      </c>
      <c r="AJ317" s="20">
        <f t="shared" si="97"/>
        <v>0</v>
      </c>
      <c r="AK317" s="20">
        <f>AE317*(MAX(0,MIN(AB317,Parámetros!$B$11)-MAX(X317,0))+MAX(0,MIN(AB317,1)-MAX(X317,AD317)))+AF317*(MAX(0,MIN(AB317,1+Parámetros!$B$11)-MAX(X317,1))+MAX(0,MIN(AB317,2)-MAX(X317,1+AD317)))</f>
        <v>0</v>
      </c>
      <c r="AL317" s="20">
        <f t="shared" si="98"/>
        <v>0</v>
      </c>
      <c r="AM317" s="20">
        <f>MAX(0,MIN(AC317,Parámetros!$B$11)-MAX(AB317,0))+MAX(0,MIN(AC317,1+Parámetros!$B$11)-MAX(AB317,AD317))+MAX(0,MIN(AC317,2)-MAX(AB317,1+AD317))</f>
        <v>0</v>
      </c>
      <c r="AN317" s="20">
        <f t="shared" si="99"/>
        <v>0</v>
      </c>
      <c r="AO317" s="20">
        <f>AE317*(MAX(0,MIN(AC317,Parámetros!$B$11)-MAX(AB317,0))+MAX(0,MIN(AC317,1)-MAX(AB317,AD317)))+AF317*(MAX(0,MIN(AC317,1+Parámetros!$B$11)-MAX(AB317,1))+MAX(0,MIN(AC317,2)-MAX(AB317,1+AD317)))</f>
        <v>0</v>
      </c>
    </row>
    <row r="318" spans="1:41" x14ac:dyDescent="0.25">
      <c r="A318" s="15"/>
      <c r="B318" s="8"/>
      <c r="C318" s="5" t="str">
        <f>IF(B318="","",IFERROR(INDEX(Trabajadores!$B$5:$B$204,MATCH(B318,Trabajadores!$A$5:$A$204,0)),"Cédula no registrada"))</f>
        <v/>
      </c>
      <c r="D318" s="11"/>
      <c r="E318" s="11"/>
      <c r="F318" s="8"/>
      <c r="G318" s="18" t="str">
        <f>IF(A318="","",IFERROR(INDEX(Trabajadores!$E$5:$E$204,MATCH(B318,Trabajadores!$A$5:$A$204,0))/Parámetros!$B$6,0)+IF(IFERROR(INDEX(Trabajadores!$E$5:$E$204,MATCH(B318,Trabajadores!$A$5:$A$204,0)),"")="",Parámetros!$B$7,0))</f>
        <v/>
      </c>
      <c r="H318" s="5" t="str">
        <f t="shared" si="80"/>
        <v/>
      </c>
      <c r="I318" s="5" t="str">
        <f>IF(A318="","",IF(COUNTIF(Festivos!$A$5:$A$451,A318)&gt;0,"Festivo",IF(WEEKDAY(A318,2)=7,"Domingo",IF(AND(AF318=1,AC318&gt;1),IF(COUNTIF(Festivos!$A$5:$A$451,A318+1)&gt;0,"Festivo","Domingo")&amp;" desde las 00:00",""))))</f>
        <v/>
      </c>
      <c r="J318" s="19" t="str">
        <f t="shared" si="81"/>
        <v/>
      </c>
      <c r="K318" s="19" t="str">
        <f t="shared" si="82"/>
        <v/>
      </c>
      <c r="L318" s="19" t="str">
        <f t="shared" si="83"/>
        <v/>
      </c>
      <c r="M318" s="19" t="str">
        <f t="shared" si="84"/>
        <v/>
      </c>
      <c r="N318" s="19" t="str">
        <f t="shared" si="85"/>
        <v/>
      </c>
      <c r="O318" s="19" t="str">
        <f t="shared" si="86"/>
        <v/>
      </c>
      <c r="P318" s="19" t="str">
        <f t="shared" si="87"/>
        <v/>
      </c>
      <c r="Q318" s="19" t="str">
        <f t="shared" si="88"/>
        <v/>
      </c>
      <c r="R318" s="19" t="str">
        <f t="shared" si="89"/>
        <v/>
      </c>
      <c r="S318" s="17" t="str">
        <f>IF(B318="","",IFERROR(INDEX(Trabajadores!$G$5:$G$204,MATCH(B318,Trabajadores!$A$5:$A$204,0)),""))</f>
        <v/>
      </c>
      <c r="T318" s="17" t="str">
        <f>IF(OR(OR(A318="",D318="",E318=""),S318=""),"",ROUND(S318*(N(L318)*Parámetros!$B$8+N(M318)*(1+Parámetros!$B$9)+N(N318)*(1+Parámetros!$B$10)+N(O318)*(1+AG318)+N(P318)*(1+AG318+Parámetros!$B$8)+N(Q318)*(1+AG318+Parámetros!$B$9)+N(R318)*(1+AG318+Parámetros!$B$10)),0))</f>
        <v/>
      </c>
      <c r="U318" s="5" t="str">
        <f>IF(OR(A318="",D318="",E318=""),"",IF(N(M318)+N(N318)+N(Q318)+N(R318)&gt;Parámetros!$B$12,"Supera el límite de horas extras diarias",IF(C318="Cédula no registrada","Registre la cédula en «Trabajadores»","")))</f>
        <v/>
      </c>
      <c r="X318" s="20">
        <f t="shared" si="90"/>
        <v>0</v>
      </c>
      <c r="Y318" s="20">
        <f t="shared" si="91"/>
        <v>0</v>
      </c>
      <c r="Z318" s="20">
        <f t="shared" si="92"/>
        <v>0</v>
      </c>
      <c r="AA318" s="20">
        <f t="shared" si="93"/>
        <v>0</v>
      </c>
      <c r="AB318" s="20">
        <f t="shared" si="94"/>
        <v>0</v>
      </c>
      <c r="AC318" s="20">
        <f t="shared" si="95"/>
        <v>0</v>
      </c>
      <c r="AD318" s="20">
        <f>IF(A318="",21/24,MOD(VLOOKUP(A318,Parámetros!$A$24:$B$25,2,TRUE()),1))</f>
        <v>0.875</v>
      </c>
      <c r="AE318" s="5">
        <f>IF(A318="",0,IF(OR(WEEKDAY(A318,2)=7,COUNTIF(Festivos!$A$5:$A$451,A318)&gt;0),1,0))</f>
        <v>0</v>
      </c>
      <c r="AF318" s="5">
        <f>IF(A318="",0,IF(OR(WEEKDAY(A318+1,2)=7,COUNTIF(Festivos!$A$5:$A$451,A318+1)&gt;0),1,0))</f>
        <v>0</v>
      </c>
      <c r="AG318" s="9">
        <f>IF(A318="",0,VLOOKUP(A318,Parámetros!$A$18:$B$21,2,TRUE()))</f>
        <v>0</v>
      </c>
      <c r="AH318" s="20">
        <f t="shared" si="96"/>
        <v>0</v>
      </c>
      <c r="AI318" s="20">
        <f>MAX(0,MIN(AB318,Parámetros!$B$11)-MAX(X318,0))+MAX(0,MIN(AB318,1+Parámetros!$B$11)-MAX(X318,AD318))+MAX(0,MIN(AB318,2)-MAX(X318,1+AD318))</f>
        <v>0</v>
      </c>
      <c r="AJ318" s="20">
        <f t="shared" si="97"/>
        <v>0</v>
      </c>
      <c r="AK318" s="20">
        <f>AE318*(MAX(0,MIN(AB318,Parámetros!$B$11)-MAX(X318,0))+MAX(0,MIN(AB318,1)-MAX(X318,AD318)))+AF318*(MAX(0,MIN(AB318,1+Parámetros!$B$11)-MAX(X318,1))+MAX(0,MIN(AB318,2)-MAX(X318,1+AD318)))</f>
        <v>0</v>
      </c>
      <c r="AL318" s="20">
        <f t="shared" si="98"/>
        <v>0</v>
      </c>
      <c r="AM318" s="20">
        <f>MAX(0,MIN(AC318,Parámetros!$B$11)-MAX(AB318,0))+MAX(0,MIN(AC318,1+Parámetros!$B$11)-MAX(AB318,AD318))+MAX(0,MIN(AC318,2)-MAX(AB318,1+AD318))</f>
        <v>0</v>
      </c>
      <c r="AN318" s="20">
        <f t="shared" si="99"/>
        <v>0</v>
      </c>
      <c r="AO318" s="20">
        <f>AE318*(MAX(0,MIN(AC318,Parámetros!$B$11)-MAX(AB318,0))+MAX(0,MIN(AC318,1)-MAX(AB318,AD318)))+AF318*(MAX(0,MIN(AC318,1+Parámetros!$B$11)-MAX(AB318,1))+MAX(0,MIN(AC318,2)-MAX(AB318,1+AD318)))</f>
        <v>0</v>
      </c>
    </row>
    <row r="319" spans="1:41" x14ac:dyDescent="0.25">
      <c r="A319" s="15"/>
      <c r="B319" s="8"/>
      <c r="C319" s="5" t="str">
        <f>IF(B319="","",IFERROR(INDEX(Trabajadores!$B$5:$B$204,MATCH(B319,Trabajadores!$A$5:$A$204,0)),"Cédula no registrada"))</f>
        <v/>
      </c>
      <c r="D319" s="11"/>
      <c r="E319" s="11"/>
      <c r="F319" s="8"/>
      <c r="G319" s="18" t="str">
        <f>IF(A319="","",IFERROR(INDEX(Trabajadores!$E$5:$E$204,MATCH(B319,Trabajadores!$A$5:$A$204,0))/Parámetros!$B$6,0)+IF(IFERROR(INDEX(Trabajadores!$E$5:$E$204,MATCH(B319,Trabajadores!$A$5:$A$204,0)),"")="",Parámetros!$B$7,0))</f>
        <v/>
      </c>
      <c r="H319" s="5" t="str">
        <f t="shared" si="80"/>
        <v/>
      </c>
      <c r="I319" s="5" t="str">
        <f>IF(A319="","",IF(COUNTIF(Festivos!$A$5:$A$451,A319)&gt;0,"Festivo",IF(WEEKDAY(A319,2)=7,"Domingo",IF(AND(AF319=1,AC319&gt;1),IF(COUNTIF(Festivos!$A$5:$A$451,A319+1)&gt;0,"Festivo","Domingo")&amp;" desde las 00:00",""))))</f>
        <v/>
      </c>
      <c r="J319" s="19" t="str">
        <f t="shared" si="81"/>
        <v/>
      </c>
      <c r="K319" s="19" t="str">
        <f t="shared" si="82"/>
        <v/>
      </c>
      <c r="L319" s="19" t="str">
        <f t="shared" si="83"/>
        <v/>
      </c>
      <c r="M319" s="19" t="str">
        <f t="shared" si="84"/>
        <v/>
      </c>
      <c r="N319" s="19" t="str">
        <f t="shared" si="85"/>
        <v/>
      </c>
      <c r="O319" s="19" t="str">
        <f t="shared" si="86"/>
        <v/>
      </c>
      <c r="P319" s="19" t="str">
        <f t="shared" si="87"/>
        <v/>
      </c>
      <c r="Q319" s="19" t="str">
        <f t="shared" si="88"/>
        <v/>
      </c>
      <c r="R319" s="19" t="str">
        <f t="shared" si="89"/>
        <v/>
      </c>
      <c r="S319" s="17" t="str">
        <f>IF(B319="","",IFERROR(INDEX(Trabajadores!$G$5:$G$204,MATCH(B319,Trabajadores!$A$5:$A$204,0)),""))</f>
        <v/>
      </c>
      <c r="T319" s="17" t="str">
        <f>IF(OR(OR(A319="",D319="",E319=""),S319=""),"",ROUND(S319*(N(L319)*Parámetros!$B$8+N(M319)*(1+Parámetros!$B$9)+N(N319)*(1+Parámetros!$B$10)+N(O319)*(1+AG319)+N(P319)*(1+AG319+Parámetros!$B$8)+N(Q319)*(1+AG319+Parámetros!$B$9)+N(R319)*(1+AG319+Parámetros!$B$10)),0))</f>
        <v/>
      </c>
      <c r="U319" s="5" t="str">
        <f>IF(OR(A319="",D319="",E319=""),"",IF(N(M319)+N(N319)+N(Q319)+N(R319)&gt;Parámetros!$B$12,"Supera el límite de horas extras diarias",IF(C319="Cédula no registrada","Registre la cédula en «Trabajadores»","")))</f>
        <v/>
      </c>
      <c r="X319" s="20">
        <f t="shared" si="90"/>
        <v>0</v>
      </c>
      <c r="Y319" s="20">
        <f t="shared" si="91"/>
        <v>0</v>
      </c>
      <c r="Z319" s="20">
        <f t="shared" si="92"/>
        <v>0</v>
      </c>
      <c r="AA319" s="20">
        <f t="shared" si="93"/>
        <v>0</v>
      </c>
      <c r="AB319" s="20">
        <f t="shared" si="94"/>
        <v>0</v>
      </c>
      <c r="AC319" s="20">
        <f t="shared" si="95"/>
        <v>0</v>
      </c>
      <c r="AD319" s="20">
        <f>IF(A319="",21/24,MOD(VLOOKUP(A319,Parámetros!$A$24:$B$25,2,TRUE()),1))</f>
        <v>0.875</v>
      </c>
      <c r="AE319" s="5">
        <f>IF(A319="",0,IF(OR(WEEKDAY(A319,2)=7,COUNTIF(Festivos!$A$5:$A$451,A319)&gt;0),1,0))</f>
        <v>0</v>
      </c>
      <c r="AF319" s="5">
        <f>IF(A319="",0,IF(OR(WEEKDAY(A319+1,2)=7,COUNTIF(Festivos!$A$5:$A$451,A319+1)&gt;0),1,0))</f>
        <v>0</v>
      </c>
      <c r="AG319" s="9">
        <f>IF(A319="",0,VLOOKUP(A319,Parámetros!$A$18:$B$21,2,TRUE()))</f>
        <v>0</v>
      </c>
      <c r="AH319" s="20">
        <f t="shared" si="96"/>
        <v>0</v>
      </c>
      <c r="AI319" s="20">
        <f>MAX(0,MIN(AB319,Parámetros!$B$11)-MAX(X319,0))+MAX(0,MIN(AB319,1+Parámetros!$B$11)-MAX(X319,AD319))+MAX(0,MIN(AB319,2)-MAX(X319,1+AD319))</f>
        <v>0</v>
      </c>
      <c r="AJ319" s="20">
        <f t="shared" si="97"/>
        <v>0</v>
      </c>
      <c r="AK319" s="20">
        <f>AE319*(MAX(0,MIN(AB319,Parámetros!$B$11)-MAX(X319,0))+MAX(0,MIN(AB319,1)-MAX(X319,AD319)))+AF319*(MAX(0,MIN(AB319,1+Parámetros!$B$11)-MAX(X319,1))+MAX(0,MIN(AB319,2)-MAX(X319,1+AD319)))</f>
        <v>0</v>
      </c>
      <c r="AL319" s="20">
        <f t="shared" si="98"/>
        <v>0</v>
      </c>
      <c r="AM319" s="20">
        <f>MAX(0,MIN(AC319,Parámetros!$B$11)-MAX(AB319,0))+MAX(0,MIN(AC319,1+Parámetros!$B$11)-MAX(AB319,AD319))+MAX(0,MIN(AC319,2)-MAX(AB319,1+AD319))</f>
        <v>0</v>
      </c>
      <c r="AN319" s="20">
        <f t="shared" si="99"/>
        <v>0</v>
      </c>
      <c r="AO319" s="20">
        <f>AE319*(MAX(0,MIN(AC319,Parámetros!$B$11)-MAX(AB319,0))+MAX(0,MIN(AC319,1)-MAX(AB319,AD319)))+AF319*(MAX(0,MIN(AC319,1+Parámetros!$B$11)-MAX(AB319,1))+MAX(0,MIN(AC319,2)-MAX(AB319,1+AD319)))</f>
        <v>0</v>
      </c>
    </row>
    <row r="320" spans="1:41" x14ac:dyDescent="0.25">
      <c r="A320" s="15"/>
      <c r="B320" s="8"/>
      <c r="C320" s="5" t="str">
        <f>IF(B320="","",IFERROR(INDEX(Trabajadores!$B$5:$B$204,MATCH(B320,Trabajadores!$A$5:$A$204,0)),"Cédula no registrada"))</f>
        <v/>
      </c>
      <c r="D320" s="11"/>
      <c r="E320" s="11"/>
      <c r="F320" s="8"/>
      <c r="G320" s="18" t="str">
        <f>IF(A320="","",IFERROR(INDEX(Trabajadores!$E$5:$E$204,MATCH(B320,Trabajadores!$A$5:$A$204,0))/Parámetros!$B$6,0)+IF(IFERROR(INDEX(Trabajadores!$E$5:$E$204,MATCH(B320,Trabajadores!$A$5:$A$204,0)),"")="",Parámetros!$B$7,0))</f>
        <v/>
      </c>
      <c r="H320" s="5" t="str">
        <f t="shared" si="80"/>
        <v/>
      </c>
      <c r="I320" s="5" t="str">
        <f>IF(A320="","",IF(COUNTIF(Festivos!$A$5:$A$451,A320)&gt;0,"Festivo",IF(WEEKDAY(A320,2)=7,"Domingo",IF(AND(AF320=1,AC320&gt;1),IF(COUNTIF(Festivos!$A$5:$A$451,A320+1)&gt;0,"Festivo","Domingo")&amp;" desde las 00:00",""))))</f>
        <v/>
      </c>
      <c r="J320" s="19" t="str">
        <f t="shared" si="81"/>
        <v/>
      </c>
      <c r="K320" s="19" t="str">
        <f t="shared" si="82"/>
        <v/>
      </c>
      <c r="L320" s="19" t="str">
        <f t="shared" si="83"/>
        <v/>
      </c>
      <c r="M320" s="19" t="str">
        <f t="shared" si="84"/>
        <v/>
      </c>
      <c r="N320" s="19" t="str">
        <f t="shared" si="85"/>
        <v/>
      </c>
      <c r="O320" s="19" t="str">
        <f t="shared" si="86"/>
        <v/>
      </c>
      <c r="P320" s="19" t="str">
        <f t="shared" si="87"/>
        <v/>
      </c>
      <c r="Q320" s="19" t="str">
        <f t="shared" si="88"/>
        <v/>
      </c>
      <c r="R320" s="19" t="str">
        <f t="shared" si="89"/>
        <v/>
      </c>
      <c r="S320" s="17" t="str">
        <f>IF(B320="","",IFERROR(INDEX(Trabajadores!$G$5:$G$204,MATCH(B320,Trabajadores!$A$5:$A$204,0)),""))</f>
        <v/>
      </c>
      <c r="T320" s="17" t="str">
        <f>IF(OR(OR(A320="",D320="",E320=""),S320=""),"",ROUND(S320*(N(L320)*Parámetros!$B$8+N(M320)*(1+Parámetros!$B$9)+N(N320)*(1+Parámetros!$B$10)+N(O320)*(1+AG320)+N(P320)*(1+AG320+Parámetros!$B$8)+N(Q320)*(1+AG320+Parámetros!$B$9)+N(R320)*(1+AG320+Parámetros!$B$10)),0))</f>
        <v/>
      </c>
      <c r="U320" s="5" t="str">
        <f>IF(OR(A320="",D320="",E320=""),"",IF(N(M320)+N(N320)+N(Q320)+N(R320)&gt;Parámetros!$B$12,"Supera el límite de horas extras diarias",IF(C320="Cédula no registrada","Registre la cédula en «Trabajadores»","")))</f>
        <v/>
      </c>
      <c r="X320" s="20">
        <f t="shared" si="90"/>
        <v>0</v>
      </c>
      <c r="Y320" s="20">
        <f t="shared" si="91"/>
        <v>0</v>
      </c>
      <c r="Z320" s="20">
        <f t="shared" si="92"/>
        <v>0</v>
      </c>
      <c r="AA320" s="20">
        <f t="shared" si="93"/>
        <v>0</v>
      </c>
      <c r="AB320" s="20">
        <f t="shared" si="94"/>
        <v>0</v>
      </c>
      <c r="AC320" s="20">
        <f t="shared" si="95"/>
        <v>0</v>
      </c>
      <c r="AD320" s="20">
        <f>IF(A320="",21/24,MOD(VLOOKUP(A320,Parámetros!$A$24:$B$25,2,TRUE()),1))</f>
        <v>0.875</v>
      </c>
      <c r="AE320" s="5">
        <f>IF(A320="",0,IF(OR(WEEKDAY(A320,2)=7,COUNTIF(Festivos!$A$5:$A$451,A320)&gt;0),1,0))</f>
        <v>0</v>
      </c>
      <c r="AF320" s="5">
        <f>IF(A320="",0,IF(OR(WEEKDAY(A320+1,2)=7,COUNTIF(Festivos!$A$5:$A$451,A320+1)&gt;0),1,0))</f>
        <v>0</v>
      </c>
      <c r="AG320" s="9">
        <f>IF(A320="",0,VLOOKUP(A320,Parámetros!$A$18:$B$21,2,TRUE()))</f>
        <v>0</v>
      </c>
      <c r="AH320" s="20">
        <f t="shared" si="96"/>
        <v>0</v>
      </c>
      <c r="AI320" s="20">
        <f>MAX(0,MIN(AB320,Parámetros!$B$11)-MAX(X320,0))+MAX(0,MIN(AB320,1+Parámetros!$B$11)-MAX(X320,AD320))+MAX(0,MIN(AB320,2)-MAX(X320,1+AD320))</f>
        <v>0</v>
      </c>
      <c r="AJ320" s="20">
        <f t="shared" si="97"/>
        <v>0</v>
      </c>
      <c r="AK320" s="20">
        <f>AE320*(MAX(0,MIN(AB320,Parámetros!$B$11)-MAX(X320,0))+MAX(0,MIN(AB320,1)-MAX(X320,AD320)))+AF320*(MAX(0,MIN(AB320,1+Parámetros!$B$11)-MAX(X320,1))+MAX(0,MIN(AB320,2)-MAX(X320,1+AD320)))</f>
        <v>0</v>
      </c>
      <c r="AL320" s="20">
        <f t="shared" si="98"/>
        <v>0</v>
      </c>
      <c r="AM320" s="20">
        <f>MAX(0,MIN(AC320,Parámetros!$B$11)-MAX(AB320,0))+MAX(0,MIN(AC320,1+Parámetros!$B$11)-MAX(AB320,AD320))+MAX(0,MIN(AC320,2)-MAX(AB320,1+AD320))</f>
        <v>0</v>
      </c>
      <c r="AN320" s="20">
        <f t="shared" si="99"/>
        <v>0</v>
      </c>
      <c r="AO320" s="20">
        <f>AE320*(MAX(0,MIN(AC320,Parámetros!$B$11)-MAX(AB320,0))+MAX(0,MIN(AC320,1)-MAX(AB320,AD320)))+AF320*(MAX(0,MIN(AC320,1+Parámetros!$B$11)-MAX(AB320,1))+MAX(0,MIN(AC320,2)-MAX(AB320,1+AD320)))</f>
        <v>0</v>
      </c>
    </row>
    <row r="321" spans="1:41" x14ac:dyDescent="0.25">
      <c r="A321" s="15"/>
      <c r="B321" s="8"/>
      <c r="C321" s="5" t="str">
        <f>IF(B321="","",IFERROR(INDEX(Trabajadores!$B$5:$B$204,MATCH(B321,Trabajadores!$A$5:$A$204,0)),"Cédula no registrada"))</f>
        <v/>
      </c>
      <c r="D321" s="11"/>
      <c r="E321" s="11"/>
      <c r="F321" s="8"/>
      <c r="G321" s="18" t="str">
        <f>IF(A321="","",IFERROR(INDEX(Trabajadores!$E$5:$E$204,MATCH(B321,Trabajadores!$A$5:$A$204,0))/Parámetros!$B$6,0)+IF(IFERROR(INDEX(Trabajadores!$E$5:$E$204,MATCH(B321,Trabajadores!$A$5:$A$204,0)),"")="",Parámetros!$B$7,0))</f>
        <v/>
      </c>
      <c r="H321" s="5" t="str">
        <f t="shared" si="80"/>
        <v/>
      </c>
      <c r="I321" s="5" t="str">
        <f>IF(A321="","",IF(COUNTIF(Festivos!$A$5:$A$451,A321)&gt;0,"Festivo",IF(WEEKDAY(A321,2)=7,"Domingo",IF(AND(AF321=1,AC321&gt;1),IF(COUNTIF(Festivos!$A$5:$A$451,A321+1)&gt;0,"Festivo","Domingo")&amp;" desde las 00:00",""))))</f>
        <v/>
      </c>
      <c r="J321" s="19" t="str">
        <f t="shared" si="81"/>
        <v/>
      </c>
      <c r="K321" s="19" t="str">
        <f t="shared" si="82"/>
        <v/>
      </c>
      <c r="L321" s="19" t="str">
        <f t="shared" si="83"/>
        <v/>
      </c>
      <c r="M321" s="19" t="str">
        <f t="shared" si="84"/>
        <v/>
      </c>
      <c r="N321" s="19" t="str">
        <f t="shared" si="85"/>
        <v/>
      </c>
      <c r="O321" s="19" t="str">
        <f t="shared" si="86"/>
        <v/>
      </c>
      <c r="P321" s="19" t="str">
        <f t="shared" si="87"/>
        <v/>
      </c>
      <c r="Q321" s="19" t="str">
        <f t="shared" si="88"/>
        <v/>
      </c>
      <c r="R321" s="19" t="str">
        <f t="shared" si="89"/>
        <v/>
      </c>
      <c r="S321" s="17" t="str">
        <f>IF(B321="","",IFERROR(INDEX(Trabajadores!$G$5:$G$204,MATCH(B321,Trabajadores!$A$5:$A$204,0)),""))</f>
        <v/>
      </c>
      <c r="T321" s="17" t="str">
        <f>IF(OR(OR(A321="",D321="",E321=""),S321=""),"",ROUND(S321*(N(L321)*Parámetros!$B$8+N(M321)*(1+Parámetros!$B$9)+N(N321)*(1+Parámetros!$B$10)+N(O321)*(1+AG321)+N(P321)*(1+AG321+Parámetros!$B$8)+N(Q321)*(1+AG321+Parámetros!$B$9)+N(R321)*(1+AG321+Parámetros!$B$10)),0))</f>
        <v/>
      </c>
      <c r="U321" s="5" t="str">
        <f>IF(OR(A321="",D321="",E321=""),"",IF(N(M321)+N(N321)+N(Q321)+N(R321)&gt;Parámetros!$B$12,"Supera el límite de horas extras diarias",IF(C321="Cédula no registrada","Registre la cédula en «Trabajadores»","")))</f>
        <v/>
      </c>
      <c r="X321" s="20">
        <f t="shared" si="90"/>
        <v>0</v>
      </c>
      <c r="Y321" s="20">
        <f t="shared" si="91"/>
        <v>0</v>
      </c>
      <c r="Z321" s="20">
        <f t="shared" si="92"/>
        <v>0</v>
      </c>
      <c r="AA321" s="20">
        <f t="shared" si="93"/>
        <v>0</v>
      </c>
      <c r="AB321" s="20">
        <f t="shared" si="94"/>
        <v>0</v>
      </c>
      <c r="AC321" s="20">
        <f t="shared" si="95"/>
        <v>0</v>
      </c>
      <c r="AD321" s="20">
        <f>IF(A321="",21/24,MOD(VLOOKUP(A321,Parámetros!$A$24:$B$25,2,TRUE()),1))</f>
        <v>0.875</v>
      </c>
      <c r="AE321" s="5">
        <f>IF(A321="",0,IF(OR(WEEKDAY(A321,2)=7,COUNTIF(Festivos!$A$5:$A$451,A321)&gt;0),1,0))</f>
        <v>0</v>
      </c>
      <c r="AF321" s="5">
        <f>IF(A321="",0,IF(OR(WEEKDAY(A321+1,2)=7,COUNTIF(Festivos!$A$5:$A$451,A321+1)&gt;0),1,0))</f>
        <v>0</v>
      </c>
      <c r="AG321" s="9">
        <f>IF(A321="",0,VLOOKUP(A321,Parámetros!$A$18:$B$21,2,TRUE()))</f>
        <v>0</v>
      </c>
      <c r="AH321" s="20">
        <f t="shared" si="96"/>
        <v>0</v>
      </c>
      <c r="AI321" s="20">
        <f>MAX(0,MIN(AB321,Parámetros!$B$11)-MAX(X321,0))+MAX(0,MIN(AB321,1+Parámetros!$B$11)-MAX(X321,AD321))+MAX(0,MIN(AB321,2)-MAX(X321,1+AD321))</f>
        <v>0</v>
      </c>
      <c r="AJ321" s="20">
        <f t="shared" si="97"/>
        <v>0</v>
      </c>
      <c r="AK321" s="20">
        <f>AE321*(MAX(0,MIN(AB321,Parámetros!$B$11)-MAX(X321,0))+MAX(0,MIN(AB321,1)-MAX(X321,AD321)))+AF321*(MAX(0,MIN(AB321,1+Parámetros!$B$11)-MAX(X321,1))+MAX(0,MIN(AB321,2)-MAX(X321,1+AD321)))</f>
        <v>0</v>
      </c>
      <c r="AL321" s="20">
        <f t="shared" si="98"/>
        <v>0</v>
      </c>
      <c r="AM321" s="20">
        <f>MAX(0,MIN(AC321,Parámetros!$B$11)-MAX(AB321,0))+MAX(0,MIN(AC321,1+Parámetros!$B$11)-MAX(AB321,AD321))+MAX(0,MIN(AC321,2)-MAX(AB321,1+AD321))</f>
        <v>0</v>
      </c>
      <c r="AN321" s="20">
        <f t="shared" si="99"/>
        <v>0</v>
      </c>
      <c r="AO321" s="20">
        <f>AE321*(MAX(0,MIN(AC321,Parámetros!$B$11)-MAX(AB321,0))+MAX(0,MIN(AC321,1)-MAX(AB321,AD321)))+AF321*(MAX(0,MIN(AC321,1+Parámetros!$B$11)-MAX(AB321,1))+MAX(0,MIN(AC321,2)-MAX(AB321,1+AD321)))</f>
        <v>0</v>
      </c>
    </row>
    <row r="322" spans="1:41" x14ac:dyDescent="0.25">
      <c r="A322" s="15"/>
      <c r="B322" s="8"/>
      <c r="C322" s="5" t="str">
        <f>IF(B322="","",IFERROR(INDEX(Trabajadores!$B$5:$B$204,MATCH(B322,Trabajadores!$A$5:$A$204,0)),"Cédula no registrada"))</f>
        <v/>
      </c>
      <c r="D322" s="11"/>
      <c r="E322" s="11"/>
      <c r="F322" s="8"/>
      <c r="G322" s="18" t="str">
        <f>IF(A322="","",IFERROR(INDEX(Trabajadores!$E$5:$E$204,MATCH(B322,Trabajadores!$A$5:$A$204,0))/Parámetros!$B$6,0)+IF(IFERROR(INDEX(Trabajadores!$E$5:$E$204,MATCH(B322,Trabajadores!$A$5:$A$204,0)),"")="",Parámetros!$B$7,0))</f>
        <v/>
      </c>
      <c r="H322" s="5" t="str">
        <f t="shared" si="80"/>
        <v/>
      </c>
      <c r="I322" s="5" t="str">
        <f>IF(A322="","",IF(COUNTIF(Festivos!$A$5:$A$451,A322)&gt;0,"Festivo",IF(WEEKDAY(A322,2)=7,"Domingo",IF(AND(AF322=1,AC322&gt;1),IF(COUNTIF(Festivos!$A$5:$A$451,A322+1)&gt;0,"Festivo","Domingo")&amp;" desde las 00:00",""))))</f>
        <v/>
      </c>
      <c r="J322" s="19" t="str">
        <f t="shared" si="81"/>
        <v/>
      </c>
      <c r="K322" s="19" t="str">
        <f t="shared" si="82"/>
        <v/>
      </c>
      <c r="L322" s="19" t="str">
        <f t="shared" si="83"/>
        <v/>
      </c>
      <c r="M322" s="19" t="str">
        <f t="shared" si="84"/>
        <v/>
      </c>
      <c r="N322" s="19" t="str">
        <f t="shared" si="85"/>
        <v/>
      </c>
      <c r="O322" s="19" t="str">
        <f t="shared" si="86"/>
        <v/>
      </c>
      <c r="P322" s="19" t="str">
        <f t="shared" si="87"/>
        <v/>
      </c>
      <c r="Q322" s="19" t="str">
        <f t="shared" si="88"/>
        <v/>
      </c>
      <c r="R322" s="19" t="str">
        <f t="shared" si="89"/>
        <v/>
      </c>
      <c r="S322" s="17" t="str">
        <f>IF(B322="","",IFERROR(INDEX(Trabajadores!$G$5:$G$204,MATCH(B322,Trabajadores!$A$5:$A$204,0)),""))</f>
        <v/>
      </c>
      <c r="T322" s="17" t="str">
        <f>IF(OR(OR(A322="",D322="",E322=""),S322=""),"",ROUND(S322*(N(L322)*Parámetros!$B$8+N(M322)*(1+Parámetros!$B$9)+N(N322)*(1+Parámetros!$B$10)+N(O322)*(1+AG322)+N(P322)*(1+AG322+Parámetros!$B$8)+N(Q322)*(1+AG322+Parámetros!$B$9)+N(R322)*(1+AG322+Parámetros!$B$10)),0))</f>
        <v/>
      </c>
      <c r="U322" s="5" t="str">
        <f>IF(OR(A322="",D322="",E322=""),"",IF(N(M322)+N(N322)+N(Q322)+N(R322)&gt;Parámetros!$B$12,"Supera el límite de horas extras diarias",IF(C322="Cédula no registrada","Registre la cédula en «Trabajadores»","")))</f>
        <v/>
      </c>
      <c r="X322" s="20">
        <f t="shared" si="90"/>
        <v>0</v>
      </c>
      <c r="Y322" s="20">
        <f t="shared" si="91"/>
        <v>0</v>
      </c>
      <c r="Z322" s="20">
        <f t="shared" si="92"/>
        <v>0</v>
      </c>
      <c r="AA322" s="20">
        <f t="shared" si="93"/>
        <v>0</v>
      </c>
      <c r="AB322" s="20">
        <f t="shared" si="94"/>
        <v>0</v>
      </c>
      <c r="AC322" s="20">
        <f t="shared" si="95"/>
        <v>0</v>
      </c>
      <c r="AD322" s="20">
        <f>IF(A322="",21/24,MOD(VLOOKUP(A322,Parámetros!$A$24:$B$25,2,TRUE()),1))</f>
        <v>0.875</v>
      </c>
      <c r="AE322" s="5">
        <f>IF(A322="",0,IF(OR(WEEKDAY(A322,2)=7,COUNTIF(Festivos!$A$5:$A$451,A322)&gt;0),1,0))</f>
        <v>0</v>
      </c>
      <c r="AF322" s="5">
        <f>IF(A322="",0,IF(OR(WEEKDAY(A322+1,2)=7,COUNTIF(Festivos!$A$5:$A$451,A322+1)&gt;0),1,0))</f>
        <v>0</v>
      </c>
      <c r="AG322" s="9">
        <f>IF(A322="",0,VLOOKUP(A322,Parámetros!$A$18:$B$21,2,TRUE()))</f>
        <v>0</v>
      </c>
      <c r="AH322" s="20">
        <f t="shared" si="96"/>
        <v>0</v>
      </c>
      <c r="AI322" s="20">
        <f>MAX(0,MIN(AB322,Parámetros!$B$11)-MAX(X322,0))+MAX(0,MIN(AB322,1+Parámetros!$B$11)-MAX(X322,AD322))+MAX(0,MIN(AB322,2)-MAX(X322,1+AD322))</f>
        <v>0</v>
      </c>
      <c r="AJ322" s="20">
        <f t="shared" si="97"/>
        <v>0</v>
      </c>
      <c r="AK322" s="20">
        <f>AE322*(MAX(0,MIN(AB322,Parámetros!$B$11)-MAX(X322,0))+MAX(0,MIN(AB322,1)-MAX(X322,AD322)))+AF322*(MAX(0,MIN(AB322,1+Parámetros!$B$11)-MAX(X322,1))+MAX(0,MIN(AB322,2)-MAX(X322,1+AD322)))</f>
        <v>0</v>
      </c>
      <c r="AL322" s="20">
        <f t="shared" si="98"/>
        <v>0</v>
      </c>
      <c r="AM322" s="20">
        <f>MAX(0,MIN(AC322,Parámetros!$B$11)-MAX(AB322,0))+MAX(0,MIN(AC322,1+Parámetros!$B$11)-MAX(AB322,AD322))+MAX(0,MIN(AC322,2)-MAX(AB322,1+AD322))</f>
        <v>0</v>
      </c>
      <c r="AN322" s="20">
        <f t="shared" si="99"/>
        <v>0</v>
      </c>
      <c r="AO322" s="20">
        <f>AE322*(MAX(0,MIN(AC322,Parámetros!$B$11)-MAX(AB322,0))+MAX(0,MIN(AC322,1)-MAX(AB322,AD322)))+AF322*(MAX(0,MIN(AC322,1+Parámetros!$B$11)-MAX(AB322,1))+MAX(0,MIN(AC322,2)-MAX(AB322,1+AD322)))</f>
        <v>0</v>
      </c>
    </row>
    <row r="323" spans="1:41" x14ac:dyDescent="0.25">
      <c r="A323" s="15"/>
      <c r="B323" s="8"/>
      <c r="C323" s="5" t="str">
        <f>IF(B323="","",IFERROR(INDEX(Trabajadores!$B$5:$B$204,MATCH(B323,Trabajadores!$A$5:$A$204,0)),"Cédula no registrada"))</f>
        <v/>
      </c>
      <c r="D323" s="11"/>
      <c r="E323" s="11"/>
      <c r="F323" s="8"/>
      <c r="G323" s="18" t="str">
        <f>IF(A323="","",IFERROR(INDEX(Trabajadores!$E$5:$E$204,MATCH(B323,Trabajadores!$A$5:$A$204,0))/Parámetros!$B$6,0)+IF(IFERROR(INDEX(Trabajadores!$E$5:$E$204,MATCH(B323,Trabajadores!$A$5:$A$204,0)),"")="",Parámetros!$B$7,0))</f>
        <v/>
      </c>
      <c r="H323" s="5" t="str">
        <f t="shared" si="80"/>
        <v/>
      </c>
      <c r="I323" s="5" t="str">
        <f>IF(A323="","",IF(COUNTIF(Festivos!$A$5:$A$451,A323)&gt;0,"Festivo",IF(WEEKDAY(A323,2)=7,"Domingo",IF(AND(AF323=1,AC323&gt;1),IF(COUNTIF(Festivos!$A$5:$A$451,A323+1)&gt;0,"Festivo","Domingo")&amp;" desde las 00:00",""))))</f>
        <v/>
      </c>
      <c r="J323" s="19" t="str">
        <f t="shared" si="81"/>
        <v/>
      </c>
      <c r="K323" s="19" t="str">
        <f t="shared" si="82"/>
        <v/>
      </c>
      <c r="L323" s="19" t="str">
        <f t="shared" si="83"/>
        <v/>
      </c>
      <c r="M323" s="19" t="str">
        <f t="shared" si="84"/>
        <v/>
      </c>
      <c r="N323" s="19" t="str">
        <f t="shared" si="85"/>
        <v/>
      </c>
      <c r="O323" s="19" t="str">
        <f t="shared" si="86"/>
        <v/>
      </c>
      <c r="P323" s="19" t="str">
        <f t="shared" si="87"/>
        <v/>
      </c>
      <c r="Q323" s="19" t="str">
        <f t="shared" si="88"/>
        <v/>
      </c>
      <c r="R323" s="19" t="str">
        <f t="shared" si="89"/>
        <v/>
      </c>
      <c r="S323" s="17" t="str">
        <f>IF(B323="","",IFERROR(INDEX(Trabajadores!$G$5:$G$204,MATCH(B323,Trabajadores!$A$5:$A$204,0)),""))</f>
        <v/>
      </c>
      <c r="T323" s="17" t="str">
        <f>IF(OR(OR(A323="",D323="",E323=""),S323=""),"",ROUND(S323*(N(L323)*Parámetros!$B$8+N(M323)*(1+Parámetros!$B$9)+N(N323)*(1+Parámetros!$B$10)+N(O323)*(1+AG323)+N(P323)*(1+AG323+Parámetros!$B$8)+N(Q323)*(1+AG323+Parámetros!$B$9)+N(R323)*(1+AG323+Parámetros!$B$10)),0))</f>
        <v/>
      </c>
      <c r="U323" s="5" t="str">
        <f>IF(OR(A323="",D323="",E323=""),"",IF(N(M323)+N(N323)+N(Q323)+N(R323)&gt;Parámetros!$B$12,"Supera el límite de horas extras diarias",IF(C323="Cédula no registrada","Registre la cédula en «Trabajadores»","")))</f>
        <v/>
      </c>
      <c r="X323" s="20">
        <f t="shared" si="90"/>
        <v>0</v>
      </c>
      <c r="Y323" s="20">
        <f t="shared" si="91"/>
        <v>0</v>
      </c>
      <c r="Z323" s="20">
        <f t="shared" si="92"/>
        <v>0</v>
      </c>
      <c r="AA323" s="20">
        <f t="shared" si="93"/>
        <v>0</v>
      </c>
      <c r="AB323" s="20">
        <f t="shared" si="94"/>
        <v>0</v>
      </c>
      <c r="AC323" s="20">
        <f t="shared" si="95"/>
        <v>0</v>
      </c>
      <c r="AD323" s="20">
        <f>IF(A323="",21/24,MOD(VLOOKUP(A323,Parámetros!$A$24:$B$25,2,TRUE()),1))</f>
        <v>0.875</v>
      </c>
      <c r="AE323" s="5">
        <f>IF(A323="",0,IF(OR(WEEKDAY(A323,2)=7,COUNTIF(Festivos!$A$5:$A$451,A323)&gt;0),1,0))</f>
        <v>0</v>
      </c>
      <c r="AF323" s="5">
        <f>IF(A323="",0,IF(OR(WEEKDAY(A323+1,2)=7,COUNTIF(Festivos!$A$5:$A$451,A323+1)&gt;0),1,0))</f>
        <v>0</v>
      </c>
      <c r="AG323" s="9">
        <f>IF(A323="",0,VLOOKUP(A323,Parámetros!$A$18:$B$21,2,TRUE()))</f>
        <v>0</v>
      </c>
      <c r="AH323" s="20">
        <f t="shared" si="96"/>
        <v>0</v>
      </c>
      <c r="AI323" s="20">
        <f>MAX(0,MIN(AB323,Parámetros!$B$11)-MAX(X323,0))+MAX(0,MIN(AB323,1+Parámetros!$B$11)-MAX(X323,AD323))+MAX(0,MIN(AB323,2)-MAX(X323,1+AD323))</f>
        <v>0</v>
      </c>
      <c r="AJ323" s="20">
        <f t="shared" si="97"/>
        <v>0</v>
      </c>
      <c r="AK323" s="20">
        <f>AE323*(MAX(0,MIN(AB323,Parámetros!$B$11)-MAX(X323,0))+MAX(0,MIN(AB323,1)-MAX(X323,AD323)))+AF323*(MAX(0,MIN(AB323,1+Parámetros!$B$11)-MAX(X323,1))+MAX(0,MIN(AB323,2)-MAX(X323,1+AD323)))</f>
        <v>0</v>
      </c>
      <c r="AL323" s="20">
        <f t="shared" si="98"/>
        <v>0</v>
      </c>
      <c r="AM323" s="20">
        <f>MAX(0,MIN(AC323,Parámetros!$B$11)-MAX(AB323,0))+MAX(0,MIN(AC323,1+Parámetros!$B$11)-MAX(AB323,AD323))+MAX(0,MIN(AC323,2)-MAX(AB323,1+AD323))</f>
        <v>0</v>
      </c>
      <c r="AN323" s="20">
        <f t="shared" si="99"/>
        <v>0</v>
      </c>
      <c r="AO323" s="20">
        <f>AE323*(MAX(0,MIN(AC323,Parámetros!$B$11)-MAX(AB323,0))+MAX(0,MIN(AC323,1)-MAX(AB323,AD323)))+AF323*(MAX(0,MIN(AC323,1+Parámetros!$B$11)-MAX(AB323,1))+MAX(0,MIN(AC323,2)-MAX(AB323,1+AD323)))</f>
        <v>0</v>
      </c>
    </row>
    <row r="324" spans="1:41" x14ac:dyDescent="0.25">
      <c r="A324" s="15"/>
      <c r="B324" s="8"/>
      <c r="C324" s="5" t="str">
        <f>IF(B324="","",IFERROR(INDEX(Trabajadores!$B$5:$B$204,MATCH(B324,Trabajadores!$A$5:$A$204,0)),"Cédula no registrada"))</f>
        <v/>
      </c>
      <c r="D324" s="11"/>
      <c r="E324" s="11"/>
      <c r="F324" s="8"/>
      <c r="G324" s="18" t="str">
        <f>IF(A324="","",IFERROR(INDEX(Trabajadores!$E$5:$E$204,MATCH(B324,Trabajadores!$A$5:$A$204,0))/Parámetros!$B$6,0)+IF(IFERROR(INDEX(Trabajadores!$E$5:$E$204,MATCH(B324,Trabajadores!$A$5:$A$204,0)),"")="",Parámetros!$B$7,0))</f>
        <v/>
      </c>
      <c r="H324" s="5" t="str">
        <f t="shared" si="80"/>
        <v/>
      </c>
      <c r="I324" s="5" t="str">
        <f>IF(A324="","",IF(COUNTIF(Festivos!$A$5:$A$451,A324)&gt;0,"Festivo",IF(WEEKDAY(A324,2)=7,"Domingo",IF(AND(AF324=1,AC324&gt;1),IF(COUNTIF(Festivos!$A$5:$A$451,A324+1)&gt;0,"Festivo","Domingo")&amp;" desde las 00:00",""))))</f>
        <v/>
      </c>
      <c r="J324" s="19" t="str">
        <f t="shared" si="81"/>
        <v/>
      </c>
      <c r="K324" s="19" t="str">
        <f t="shared" si="82"/>
        <v/>
      </c>
      <c r="L324" s="19" t="str">
        <f t="shared" si="83"/>
        <v/>
      </c>
      <c r="M324" s="19" t="str">
        <f t="shared" si="84"/>
        <v/>
      </c>
      <c r="N324" s="19" t="str">
        <f t="shared" si="85"/>
        <v/>
      </c>
      <c r="O324" s="19" t="str">
        <f t="shared" si="86"/>
        <v/>
      </c>
      <c r="P324" s="19" t="str">
        <f t="shared" si="87"/>
        <v/>
      </c>
      <c r="Q324" s="19" t="str">
        <f t="shared" si="88"/>
        <v/>
      </c>
      <c r="R324" s="19" t="str">
        <f t="shared" si="89"/>
        <v/>
      </c>
      <c r="S324" s="17" t="str">
        <f>IF(B324="","",IFERROR(INDEX(Trabajadores!$G$5:$G$204,MATCH(B324,Trabajadores!$A$5:$A$204,0)),""))</f>
        <v/>
      </c>
      <c r="T324" s="17" t="str">
        <f>IF(OR(OR(A324="",D324="",E324=""),S324=""),"",ROUND(S324*(N(L324)*Parámetros!$B$8+N(M324)*(1+Parámetros!$B$9)+N(N324)*(1+Parámetros!$B$10)+N(O324)*(1+AG324)+N(P324)*(1+AG324+Parámetros!$B$8)+N(Q324)*(1+AG324+Parámetros!$B$9)+N(R324)*(1+AG324+Parámetros!$B$10)),0))</f>
        <v/>
      </c>
      <c r="U324" s="5" t="str">
        <f>IF(OR(A324="",D324="",E324=""),"",IF(N(M324)+N(N324)+N(Q324)+N(R324)&gt;Parámetros!$B$12,"Supera el límite de horas extras diarias",IF(C324="Cédula no registrada","Registre la cédula en «Trabajadores»","")))</f>
        <v/>
      </c>
      <c r="X324" s="20">
        <f t="shared" si="90"/>
        <v>0</v>
      </c>
      <c r="Y324" s="20">
        <f t="shared" si="91"/>
        <v>0</v>
      </c>
      <c r="Z324" s="20">
        <f t="shared" si="92"/>
        <v>0</v>
      </c>
      <c r="AA324" s="20">
        <f t="shared" si="93"/>
        <v>0</v>
      </c>
      <c r="AB324" s="20">
        <f t="shared" si="94"/>
        <v>0</v>
      </c>
      <c r="AC324" s="20">
        <f t="shared" si="95"/>
        <v>0</v>
      </c>
      <c r="AD324" s="20">
        <f>IF(A324="",21/24,MOD(VLOOKUP(A324,Parámetros!$A$24:$B$25,2,TRUE()),1))</f>
        <v>0.875</v>
      </c>
      <c r="AE324" s="5">
        <f>IF(A324="",0,IF(OR(WEEKDAY(A324,2)=7,COUNTIF(Festivos!$A$5:$A$451,A324)&gt;0),1,0))</f>
        <v>0</v>
      </c>
      <c r="AF324" s="5">
        <f>IF(A324="",0,IF(OR(WEEKDAY(A324+1,2)=7,COUNTIF(Festivos!$A$5:$A$451,A324+1)&gt;0),1,0))</f>
        <v>0</v>
      </c>
      <c r="AG324" s="9">
        <f>IF(A324="",0,VLOOKUP(A324,Parámetros!$A$18:$B$21,2,TRUE()))</f>
        <v>0</v>
      </c>
      <c r="AH324" s="20">
        <f t="shared" si="96"/>
        <v>0</v>
      </c>
      <c r="AI324" s="20">
        <f>MAX(0,MIN(AB324,Parámetros!$B$11)-MAX(X324,0))+MAX(0,MIN(AB324,1+Parámetros!$B$11)-MAX(X324,AD324))+MAX(0,MIN(AB324,2)-MAX(X324,1+AD324))</f>
        <v>0</v>
      </c>
      <c r="AJ324" s="20">
        <f t="shared" si="97"/>
        <v>0</v>
      </c>
      <c r="AK324" s="20">
        <f>AE324*(MAX(0,MIN(AB324,Parámetros!$B$11)-MAX(X324,0))+MAX(0,MIN(AB324,1)-MAX(X324,AD324)))+AF324*(MAX(0,MIN(AB324,1+Parámetros!$B$11)-MAX(X324,1))+MAX(0,MIN(AB324,2)-MAX(X324,1+AD324)))</f>
        <v>0</v>
      </c>
      <c r="AL324" s="20">
        <f t="shared" si="98"/>
        <v>0</v>
      </c>
      <c r="AM324" s="20">
        <f>MAX(0,MIN(AC324,Parámetros!$B$11)-MAX(AB324,0))+MAX(0,MIN(AC324,1+Parámetros!$B$11)-MAX(AB324,AD324))+MAX(0,MIN(AC324,2)-MAX(AB324,1+AD324))</f>
        <v>0</v>
      </c>
      <c r="AN324" s="20">
        <f t="shared" si="99"/>
        <v>0</v>
      </c>
      <c r="AO324" s="20">
        <f>AE324*(MAX(0,MIN(AC324,Parámetros!$B$11)-MAX(AB324,0))+MAX(0,MIN(AC324,1)-MAX(AB324,AD324)))+AF324*(MAX(0,MIN(AC324,1+Parámetros!$B$11)-MAX(AB324,1))+MAX(0,MIN(AC324,2)-MAX(AB324,1+AD324)))</f>
        <v>0</v>
      </c>
    </row>
    <row r="325" spans="1:41" x14ac:dyDescent="0.25">
      <c r="A325" s="15"/>
      <c r="B325" s="8"/>
      <c r="C325" s="5" t="str">
        <f>IF(B325="","",IFERROR(INDEX(Trabajadores!$B$5:$B$204,MATCH(B325,Trabajadores!$A$5:$A$204,0)),"Cédula no registrada"))</f>
        <v/>
      </c>
      <c r="D325" s="11"/>
      <c r="E325" s="11"/>
      <c r="F325" s="8"/>
      <c r="G325" s="18" t="str">
        <f>IF(A325="","",IFERROR(INDEX(Trabajadores!$E$5:$E$204,MATCH(B325,Trabajadores!$A$5:$A$204,0))/Parámetros!$B$6,0)+IF(IFERROR(INDEX(Trabajadores!$E$5:$E$204,MATCH(B325,Trabajadores!$A$5:$A$204,0)),"")="",Parámetros!$B$7,0))</f>
        <v/>
      </c>
      <c r="H325" s="5" t="str">
        <f t="shared" ref="H325:H388" si="100">IF(A325="","",CHOOSE(WEEKDAY(A325,2),"Lunes","Martes","Miércoles","Jueves","Viernes","Sábado","Domingo"))</f>
        <v/>
      </c>
      <c r="I325" s="5" t="str">
        <f>IF(A325="","",IF(COUNTIF(Festivos!$A$5:$A$451,A325)&gt;0,"Festivo",IF(WEEKDAY(A325,2)=7,"Domingo",IF(AND(AF325=1,AC325&gt;1),IF(COUNTIF(Festivos!$A$5:$A$451,A325+1)&gt;0,"Festivo","Domingo")&amp;" desde las 00:00",""))))</f>
        <v/>
      </c>
      <c r="J325" s="19" t="str">
        <f t="shared" ref="J325:J388" si="101">IF(OR(A325="",D325="",E325=""),"",ROUND((Z325)*24,2))</f>
        <v/>
      </c>
      <c r="K325" s="19" t="str">
        <f t="shared" ref="K325:K388" si="102">IF(OR(A325="",D325="",E325=""),"",ROUND((AH325-AI325-AJ325+AK325)*24,2))</f>
        <v/>
      </c>
      <c r="L325" s="19" t="str">
        <f t="shared" ref="L325:L388" si="103">IF(OR(A325="",D325="",E325=""),"",ROUND((AI325-AK325)*24,2))</f>
        <v/>
      </c>
      <c r="M325" s="19" t="str">
        <f t="shared" ref="M325:M388" si="104">IF(OR(A325="",D325="",E325=""),"",ROUND((AL325-AM325-AN325+AO325)*24,2))</f>
        <v/>
      </c>
      <c r="N325" s="19" t="str">
        <f t="shared" ref="N325:N388" si="105">IF(OR(A325="",D325="",E325=""),"",ROUND((AM325-AO325)*24,2))</f>
        <v/>
      </c>
      <c r="O325" s="19" t="str">
        <f t="shared" ref="O325:O388" si="106">IF(OR(A325="",D325="",E325=""),"",ROUND((AJ325-AK325)*24,2))</f>
        <v/>
      </c>
      <c r="P325" s="19" t="str">
        <f t="shared" ref="P325:P388" si="107">IF(OR(A325="",D325="",E325=""),"",ROUND((AK325)*24,2))</f>
        <v/>
      </c>
      <c r="Q325" s="19" t="str">
        <f t="shared" ref="Q325:Q388" si="108">IF(OR(A325="",D325="",E325=""),"",ROUND((AN325-AO325)*24,2))</f>
        <v/>
      </c>
      <c r="R325" s="19" t="str">
        <f t="shared" ref="R325:R388" si="109">IF(OR(A325="",D325="",E325=""),"",ROUND((AO325)*24,2))</f>
        <v/>
      </c>
      <c r="S325" s="17" t="str">
        <f>IF(B325="","",IFERROR(INDEX(Trabajadores!$G$5:$G$204,MATCH(B325,Trabajadores!$A$5:$A$204,0)),""))</f>
        <v/>
      </c>
      <c r="T325" s="17" t="str">
        <f>IF(OR(OR(A325="",D325="",E325=""),S325=""),"",ROUND(S325*(N(L325)*Parámetros!$B$8+N(M325)*(1+Parámetros!$B$9)+N(N325)*(1+Parámetros!$B$10)+N(O325)*(1+AG325)+N(P325)*(1+AG325+Parámetros!$B$8)+N(Q325)*(1+AG325+Parámetros!$B$9)+N(R325)*(1+AG325+Parámetros!$B$10)),0))</f>
        <v/>
      </c>
      <c r="U325" s="5" t="str">
        <f>IF(OR(A325="",D325="",E325=""),"",IF(N(M325)+N(N325)+N(Q325)+N(R325)&gt;Parámetros!$B$12,"Supera el límite de horas extras diarias",IF(C325="Cédula no registrada","Registre la cédula en «Trabajadores»","")))</f>
        <v/>
      </c>
      <c r="X325" s="20">
        <f t="shared" ref="X325:X388" si="110">IF(OR(A325="",D325="",E325=""),0,MOD(D325,1))</f>
        <v>0</v>
      </c>
      <c r="Y325" s="20">
        <f t="shared" ref="Y325:Y388" si="111">IF(OR(A325="",D325="",E325=""),0,IF(MOD(E325,1)&gt;X325,MOD(E325,1)-X325,MOD(E325,1)+1-X325))</f>
        <v>0</v>
      </c>
      <c r="Z325" s="20">
        <f t="shared" ref="Z325:Z388" si="112">MAX(0,Y325-N(F325)/1440)</f>
        <v>0</v>
      </c>
      <c r="AA325" s="20">
        <f t="shared" ref="AA325:AA388" si="113">IF(G325="",0,MAX(0,N(G325))/24)</f>
        <v>0</v>
      </c>
      <c r="AB325" s="20">
        <f t="shared" ref="AB325:AB388" si="114">X325+MIN(Z325,AA325)</f>
        <v>0</v>
      </c>
      <c r="AC325" s="20">
        <f t="shared" ref="AC325:AC388" si="115">X325+Z325</f>
        <v>0</v>
      </c>
      <c r="AD325" s="20">
        <f>IF(A325="",21/24,MOD(VLOOKUP(A325,Parámetros!$A$24:$B$25,2,TRUE()),1))</f>
        <v>0.875</v>
      </c>
      <c r="AE325" s="5">
        <f>IF(A325="",0,IF(OR(WEEKDAY(A325,2)=7,COUNTIF(Festivos!$A$5:$A$451,A325)&gt;0),1,0))</f>
        <v>0</v>
      </c>
      <c r="AF325" s="5">
        <f>IF(A325="",0,IF(OR(WEEKDAY(A325+1,2)=7,COUNTIF(Festivos!$A$5:$A$451,A325+1)&gt;0),1,0))</f>
        <v>0</v>
      </c>
      <c r="AG325" s="9">
        <f>IF(A325="",0,VLOOKUP(A325,Parámetros!$A$18:$B$21,2,TRUE()))</f>
        <v>0</v>
      </c>
      <c r="AH325" s="20">
        <f t="shared" ref="AH325:AH388" si="116">AB325-X325</f>
        <v>0</v>
      </c>
      <c r="AI325" s="20">
        <f>MAX(0,MIN(AB325,Parámetros!$B$11)-MAX(X325,0))+MAX(0,MIN(AB325,1+Parámetros!$B$11)-MAX(X325,AD325))+MAX(0,MIN(AB325,2)-MAX(X325,1+AD325))</f>
        <v>0</v>
      </c>
      <c r="AJ325" s="20">
        <f t="shared" ref="AJ325:AJ388" si="117">AE325*MAX(0,MIN(AB325,1)-MAX(X325,0))+AF325*MAX(0,MIN(AB325,2)-MAX(X325,1))</f>
        <v>0</v>
      </c>
      <c r="AK325" s="20">
        <f>AE325*(MAX(0,MIN(AB325,Parámetros!$B$11)-MAX(X325,0))+MAX(0,MIN(AB325,1)-MAX(X325,AD325)))+AF325*(MAX(0,MIN(AB325,1+Parámetros!$B$11)-MAX(X325,1))+MAX(0,MIN(AB325,2)-MAX(X325,1+AD325)))</f>
        <v>0</v>
      </c>
      <c r="AL325" s="20">
        <f t="shared" ref="AL325:AL388" si="118">AC325-AB325</f>
        <v>0</v>
      </c>
      <c r="AM325" s="20">
        <f>MAX(0,MIN(AC325,Parámetros!$B$11)-MAX(AB325,0))+MAX(0,MIN(AC325,1+Parámetros!$B$11)-MAX(AB325,AD325))+MAX(0,MIN(AC325,2)-MAX(AB325,1+AD325))</f>
        <v>0</v>
      </c>
      <c r="AN325" s="20">
        <f t="shared" ref="AN325:AN388" si="119">AE325*MAX(0,MIN(AC325,1)-MAX(AB325,0))+AF325*MAX(0,MIN(AC325,2)-MAX(AB325,1))</f>
        <v>0</v>
      </c>
      <c r="AO325" s="20">
        <f>AE325*(MAX(0,MIN(AC325,Parámetros!$B$11)-MAX(AB325,0))+MAX(0,MIN(AC325,1)-MAX(AB325,AD325)))+AF325*(MAX(0,MIN(AC325,1+Parámetros!$B$11)-MAX(AB325,1))+MAX(0,MIN(AC325,2)-MAX(AB325,1+AD325)))</f>
        <v>0</v>
      </c>
    </row>
    <row r="326" spans="1:41" x14ac:dyDescent="0.25">
      <c r="A326" s="15"/>
      <c r="B326" s="8"/>
      <c r="C326" s="5" t="str">
        <f>IF(B326="","",IFERROR(INDEX(Trabajadores!$B$5:$B$204,MATCH(B326,Trabajadores!$A$5:$A$204,0)),"Cédula no registrada"))</f>
        <v/>
      </c>
      <c r="D326" s="11"/>
      <c r="E326" s="11"/>
      <c r="F326" s="8"/>
      <c r="G326" s="18" t="str">
        <f>IF(A326="","",IFERROR(INDEX(Trabajadores!$E$5:$E$204,MATCH(B326,Trabajadores!$A$5:$A$204,0))/Parámetros!$B$6,0)+IF(IFERROR(INDEX(Trabajadores!$E$5:$E$204,MATCH(B326,Trabajadores!$A$5:$A$204,0)),"")="",Parámetros!$B$7,0))</f>
        <v/>
      </c>
      <c r="H326" s="5" t="str">
        <f t="shared" si="100"/>
        <v/>
      </c>
      <c r="I326" s="5" t="str">
        <f>IF(A326="","",IF(COUNTIF(Festivos!$A$5:$A$451,A326)&gt;0,"Festivo",IF(WEEKDAY(A326,2)=7,"Domingo",IF(AND(AF326=1,AC326&gt;1),IF(COUNTIF(Festivos!$A$5:$A$451,A326+1)&gt;0,"Festivo","Domingo")&amp;" desde las 00:00",""))))</f>
        <v/>
      </c>
      <c r="J326" s="19" t="str">
        <f t="shared" si="101"/>
        <v/>
      </c>
      <c r="K326" s="19" t="str">
        <f t="shared" si="102"/>
        <v/>
      </c>
      <c r="L326" s="19" t="str">
        <f t="shared" si="103"/>
        <v/>
      </c>
      <c r="M326" s="19" t="str">
        <f t="shared" si="104"/>
        <v/>
      </c>
      <c r="N326" s="19" t="str">
        <f t="shared" si="105"/>
        <v/>
      </c>
      <c r="O326" s="19" t="str">
        <f t="shared" si="106"/>
        <v/>
      </c>
      <c r="P326" s="19" t="str">
        <f t="shared" si="107"/>
        <v/>
      </c>
      <c r="Q326" s="19" t="str">
        <f t="shared" si="108"/>
        <v/>
      </c>
      <c r="R326" s="19" t="str">
        <f t="shared" si="109"/>
        <v/>
      </c>
      <c r="S326" s="17" t="str">
        <f>IF(B326="","",IFERROR(INDEX(Trabajadores!$G$5:$G$204,MATCH(B326,Trabajadores!$A$5:$A$204,0)),""))</f>
        <v/>
      </c>
      <c r="T326" s="17" t="str">
        <f>IF(OR(OR(A326="",D326="",E326=""),S326=""),"",ROUND(S326*(N(L326)*Parámetros!$B$8+N(M326)*(1+Parámetros!$B$9)+N(N326)*(1+Parámetros!$B$10)+N(O326)*(1+AG326)+N(P326)*(1+AG326+Parámetros!$B$8)+N(Q326)*(1+AG326+Parámetros!$B$9)+N(R326)*(1+AG326+Parámetros!$B$10)),0))</f>
        <v/>
      </c>
      <c r="U326" s="5" t="str">
        <f>IF(OR(A326="",D326="",E326=""),"",IF(N(M326)+N(N326)+N(Q326)+N(R326)&gt;Parámetros!$B$12,"Supera el límite de horas extras diarias",IF(C326="Cédula no registrada","Registre la cédula en «Trabajadores»","")))</f>
        <v/>
      </c>
      <c r="X326" s="20">
        <f t="shared" si="110"/>
        <v>0</v>
      </c>
      <c r="Y326" s="20">
        <f t="shared" si="111"/>
        <v>0</v>
      </c>
      <c r="Z326" s="20">
        <f t="shared" si="112"/>
        <v>0</v>
      </c>
      <c r="AA326" s="20">
        <f t="shared" si="113"/>
        <v>0</v>
      </c>
      <c r="AB326" s="20">
        <f t="shared" si="114"/>
        <v>0</v>
      </c>
      <c r="AC326" s="20">
        <f t="shared" si="115"/>
        <v>0</v>
      </c>
      <c r="AD326" s="20">
        <f>IF(A326="",21/24,MOD(VLOOKUP(A326,Parámetros!$A$24:$B$25,2,TRUE()),1))</f>
        <v>0.875</v>
      </c>
      <c r="AE326" s="5">
        <f>IF(A326="",0,IF(OR(WEEKDAY(A326,2)=7,COUNTIF(Festivos!$A$5:$A$451,A326)&gt;0),1,0))</f>
        <v>0</v>
      </c>
      <c r="AF326" s="5">
        <f>IF(A326="",0,IF(OR(WEEKDAY(A326+1,2)=7,COUNTIF(Festivos!$A$5:$A$451,A326+1)&gt;0),1,0))</f>
        <v>0</v>
      </c>
      <c r="AG326" s="9">
        <f>IF(A326="",0,VLOOKUP(A326,Parámetros!$A$18:$B$21,2,TRUE()))</f>
        <v>0</v>
      </c>
      <c r="AH326" s="20">
        <f t="shared" si="116"/>
        <v>0</v>
      </c>
      <c r="AI326" s="20">
        <f>MAX(0,MIN(AB326,Parámetros!$B$11)-MAX(X326,0))+MAX(0,MIN(AB326,1+Parámetros!$B$11)-MAX(X326,AD326))+MAX(0,MIN(AB326,2)-MAX(X326,1+AD326))</f>
        <v>0</v>
      </c>
      <c r="AJ326" s="20">
        <f t="shared" si="117"/>
        <v>0</v>
      </c>
      <c r="AK326" s="20">
        <f>AE326*(MAX(0,MIN(AB326,Parámetros!$B$11)-MAX(X326,0))+MAX(0,MIN(AB326,1)-MAX(X326,AD326)))+AF326*(MAX(0,MIN(AB326,1+Parámetros!$B$11)-MAX(X326,1))+MAX(0,MIN(AB326,2)-MAX(X326,1+AD326)))</f>
        <v>0</v>
      </c>
      <c r="AL326" s="20">
        <f t="shared" si="118"/>
        <v>0</v>
      </c>
      <c r="AM326" s="20">
        <f>MAX(0,MIN(AC326,Parámetros!$B$11)-MAX(AB326,0))+MAX(0,MIN(AC326,1+Parámetros!$B$11)-MAX(AB326,AD326))+MAX(0,MIN(AC326,2)-MAX(AB326,1+AD326))</f>
        <v>0</v>
      </c>
      <c r="AN326" s="20">
        <f t="shared" si="119"/>
        <v>0</v>
      </c>
      <c r="AO326" s="20">
        <f>AE326*(MAX(0,MIN(AC326,Parámetros!$B$11)-MAX(AB326,0))+MAX(0,MIN(AC326,1)-MAX(AB326,AD326)))+AF326*(MAX(0,MIN(AC326,1+Parámetros!$B$11)-MAX(AB326,1))+MAX(0,MIN(AC326,2)-MAX(AB326,1+AD326)))</f>
        <v>0</v>
      </c>
    </row>
    <row r="327" spans="1:41" x14ac:dyDescent="0.25">
      <c r="A327" s="15"/>
      <c r="B327" s="8"/>
      <c r="C327" s="5" t="str">
        <f>IF(B327="","",IFERROR(INDEX(Trabajadores!$B$5:$B$204,MATCH(B327,Trabajadores!$A$5:$A$204,0)),"Cédula no registrada"))</f>
        <v/>
      </c>
      <c r="D327" s="11"/>
      <c r="E327" s="11"/>
      <c r="F327" s="8"/>
      <c r="G327" s="18" t="str">
        <f>IF(A327="","",IFERROR(INDEX(Trabajadores!$E$5:$E$204,MATCH(B327,Trabajadores!$A$5:$A$204,0))/Parámetros!$B$6,0)+IF(IFERROR(INDEX(Trabajadores!$E$5:$E$204,MATCH(B327,Trabajadores!$A$5:$A$204,0)),"")="",Parámetros!$B$7,0))</f>
        <v/>
      </c>
      <c r="H327" s="5" t="str">
        <f t="shared" si="100"/>
        <v/>
      </c>
      <c r="I327" s="5" t="str">
        <f>IF(A327="","",IF(COUNTIF(Festivos!$A$5:$A$451,A327)&gt;0,"Festivo",IF(WEEKDAY(A327,2)=7,"Domingo",IF(AND(AF327=1,AC327&gt;1),IF(COUNTIF(Festivos!$A$5:$A$451,A327+1)&gt;0,"Festivo","Domingo")&amp;" desde las 00:00",""))))</f>
        <v/>
      </c>
      <c r="J327" s="19" t="str">
        <f t="shared" si="101"/>
        <v/>
      </c>
      <c r="K327" s="19" t="str">
        <f t="shared" si="102"/>
        <v/>
      </c>
      <c r="L327" s="19" t="str">
        <f t="shared" si="103"/>
        <v/>
      </c>
      <c r="M327" s="19" t="str">
        <f t="shared" si="104"/>
        <v/>
      </c>
      <c r="N327" s="19" t="str">
        <f t="shared" si="105"/>
        <v/>
      </c>
      <c r="O327" s="19" t="str">
        <f t="shared" si="106"/>
        <v/>
      </c>
      <c r="P327" s="19" t="str">
        <f t="shared" si="107"/>
        <v/>
      </c>
      <c r="Q327" s="19" t="str">
        <f t="shared" si="108"/>
        <v/>
      </c>
      <c r="R327" s="19" t="str">
        <f t="shared" si="109"/>
        <v/>
      </c>
      <c r="S327" s="17" t="str">
        <f>IF(B327="","",IFERROR(INDEX(Trabajadores!$G$5:$G$204,MATCH(B327,Trabajadores!$A$5:$A$204,0)),""))</f>
        <v/>
      </c>
      <c r="T327" s="17" t="str">
        <f>IF(OR(OR(A327="",D327="",E327=""),S327=""),"",ROUND(S327*(N(L327)*Parámetros!$B$8+N(M327)*(1+Parámetros!$B$9)+N(N327)*(1+Parámetros!$B$10)+N(O327)*(1+AG327)+N(P327)*(1+AG327+Parámetros!$B$8)+N(Q327)*(1+AG327+Parámetros!$B$9)+N(R327)*(1+AG327+Parámetros!$B$10)),0))</f>
        <v/>
      </c>
      <c r="U327" s="5" t="str">
        <f>IF(OR(A327="",D327="",E327=""),"",IF(N(M327)+N(N327)+N(Q327)+N(R327)&gt;Parámetros!$B$12,"Supera el límite de horas extras diarias",IF(C327="Cédula no registrada","Registre la cédula en «Trabajadores»","")))</f>
        <v/>
      </c>
      <c r="X327" s="20">
        <f t="shared" si="110"/>
        <v>0</v>
      </c>
      <c r="Y327" s="20">
        <f t="shared" si="111"/>
        <v>0</v>
      </c>
      <c r="Z327" s="20">
        <f t="shared" si="112"/>
        <v>0</v>
      </c>
      <c r="AA327" s="20">
        <f t="shared" si="113"/>
        <v>0</v>
      </c>
      <c r="AB327" s="20">
        <f t="shared" si="114"/>
        <v>0</v>
      </c>
      <c r="AC327" s="20">
        <f t="shared" si="115"/>
        <v>0</v>
      </c>
      <c r="AD327" s="20">
        <f>IF(A327="",21/24,MOD(VLOOKUP(A327,Parámetros!$A$24:$B$25,2,TRUE()),1))</f>
        <v>0.875</v>
      </c>
      <c r="AE327" s="5">
        <f>IF(A327="",0,IF(OR(WEEKDAY(A327,2)=7,COUNTIF(Festivos!$A$5:$A$451,A327)&gt;0),1,0))</f>
        <v>0</v>
      </c>
      <c r="AF327" s="5">
        <f>IF(A327="",0,IF(OR(WEEKDAY(A327+1,2)=7,COUNTIF(Festivos!$A$5:$A$451,A327+1)&gt;0),1,0))</f>
        <v>0</v>
      </c>
      <c r="AG327" s="9">
        <f>IF(A327="",0,VLOOKUP(A327,Parámetros!$A$18:$B$21,2,TRUE()))</f>
        <v>0</v>
      </c>
      <c r="AH327" s="20">
        <f t="shared" si="116"/>
        <v>0</v>
      </c>
      <c r="AI327" s="20">
        <f>MAX(0,MIN(AB327,Parámetros!$B$11)-MAX(X327,0))+MAX(0,MIN(AB327,1+Parámetros!$B$11)-MAX(X327,AD327))+MAX(0,MIN(AB327,2)-MAX(X327,1+AD327))</f>
        <v>0</v>
      </c>
      <c r="AJ327" s="20">
        <f t="shared" si="117"/>
        <v>0</v>
      </c>
      <c r="AK327" s="20">
        <f>AE327*(MAX(0,MIN(AB327,Parámetros!$B$11)-MAX(X327,0))+MAX(0,MIN(AB327,1)-MAX(X327,AD327)))+AF327*(MAX(0,MIN(AB327,1+Parámetros!$B$11)-MAX(X327,1))+MAX(0,MIN(AB327,2)-MAX(X327,1+AD327)))</f>
        <v>0</v>
      </c>
      <c r="AL327" s="20">
        <f t="shared" si="118"/>
        <v>0</v>
      </c>
      <c r="AM327" s="20">
        <f>MAX(0,MIN(AC327,Parámetros!$B$11)-MAX(AB327,0))+MAX(0,MIN(AC327,1+Parámetros!$B$11)-MAX(AB327,AD327))+MAX(0,MIN(AC327,2)-MAX(AB327,1+AD327))</f>
        <v>0</v>
      </c>
      <c r="AN327" s="20">
        <f t="shared" si="119"/>
        <v>0</v>
      </c>
      <c r="AO327" s="20">
        <f>AE327*(MAX(0,MIN(AC327,Parámetros!$B$11)-MAX(AB327,0))+MAX(0,MIN(AC327,1)-MAX(AB327,AD327)))+AF327*(MAX(0,MIN(AC327,1+Parámetros!$B$11)-MAX(AB327,1))+MAX(0,MIN(AC327,2)-MAX(AB327,1+AD327)))</f>
        <v>0</v>
      </c>
    </row>
    <row r="328" spans="1:41" x14ac:dyDescent="0.25">
      <c r="A328" s="15"/>
      <c r="B328" s="8"/>
      <c r="C328" s="5" t="str">
        <f>IF(B328="","",IFERROR(INDEX(Trabajadores!$B$5:$B$204,MATCH(B328,Trabajadores!$A$5:$A$204,0)),"Cédula no registrada"))</f>
        <v/>
      </c>
      <c r="D328" s="11"/>
      <c r="E328" s="11"/>
      <c r="F328" s="8"/>
      <c r="G328" s="18" t="str">
        <f>IF(A328="","",IFERROR(INDEX(Trabajadores!$E$5:$E$204,MATCH(B328,Trabajadores!$A$5:$A$204,0))/Parámetros!$B$6,0)+IF(IFERROR(INDEX(Trabajadores!$E$5:$E$204,MATCH(B328,Trabajadores!$A$5:$A$204,0)),"")="",Parámetros!$B$7,0))</f>
        <v/>
      </c>
      <c r="H328" s="5" t="str">
        <f t="shared" si="100"/>
        <v/>
      </c>
      <c r="I328" s="5" t="str">
        <f>IF(A328="","",IF(COUNTIF(Festivos!$A$5:$A$451,A328)&gt;0,"Festivo",IF(WEEKDAY(A328,2)=7,"Domingo",IF(AND(AF328=1,AC328&gt;1),IF(COUNTIF(Festivos!$A$5:$A$451,A328+1)&gt;0,"Festivo","Domingo")&amp;" desde las 00:00",""))))</f>
        <v/>
      </c>
      <c r="J328" s="19" t="str">
        <f t="shared" si="101"/>
        <v/>
      </c>
      <c r="K328" s="19" t="str">
        <f t="shared" si="102"/>
        <v/>
      </c>
      <c r="L328" s="19" t="str">
        <f t="shared" si="103"/>
        <v/>
      </c>
      <c r="M328" s="19" t="str">
        <f t="shared" si="104"/>
        <v/>
      </c>
      <c r="N328" s="19" t="str">
        <f t="shared" si="105"/>
        <v/>
      </c>
      <c r="O328" s="19" t="str">
        <f t="shared" si="106"/>
        <v/>
      </c>
      <c r="P328" s="19" t="str">
        <f t="shared" si="107"/>
        <v/>
      </c>
      <c r="Q328" s="19" t="str">
        <f t="shared" si="108"/>
        <v/>
      </c>
      <c r="R328" s="19" t="str">
        <f t="shared" si="109"/>
        <v/>
      </c>
      <c r="S328" s="17" t="str">
        <f>IF(B328="","",IFERROR(INDEX(Trabajadores!$G$5:$G$204,MATCH(B328,Trabajadores!$A$5:$A$204,0)),""))</f>
        <v/>
      </c>
      <c r="T328" s="17" t="str">
        <f>IF(OR(OR(A328="",D328="",E328=""),S328=""),"",ROUND(S328*(N(L328)*Parámetros!$B$8+N(M328)*(1+Parámetros!$B$9)+N(N328)*(1+Parámetros!$B$10)+N(O328)*(1+AG328)+N(P328)*(1+AG328+Parámetros!$B$8)+N(Q328)*(1+AG328+Parámetros!$B$9)+N(R328)*(1+AG328+Parámetros!$B$10)),0))</f>
        <v/>
      </c>
      <c r="U328" s="5" t="str">
        <f>IF(OR(A328="",D328="",E328=""),"",IF(N(M328)+N(N328)+N(Q328)+N(R328)&gt;Parámetros!$B$12,"Supera el límite de horas extras diarias",IF(C328="Cédula no registrada","Registre la cédula en «Trabajadores»","")))</f>
        <v/>
      </c>
      <c r="X328" s="20">
        <f t="shared" si="110"/>
        <v>0</v>
      </c>
      <c r="Y328" s="20">
        <f t="shared" si="111"/>
        <v>0</v>
      </c>
      <c r="Z328" s="20">
        <f t="shared" si="112"/>
        <v>0</v>
      </c>
      <c r="AA328" s="20">
        <f t="shared" si="113"/>
        <v>0</v>
      </c>
      <c r="AB328" s="20">
        <f t="shared" si="114"/>
        <v>0</v>
      </c>
      <c r="AC328" s="20">
        <f t="shared" si="115"/>
        <v>0</v>
      </c>
      <c r="AD328" s="20">
        <f>IF(A328="",21/24,MOD(VLOOKUP(A328,Parámetros!$A$24:$B$25,2,TRUE()),1))</f>
        <v>0.875</v>
      </c>
      <c r="AE328" s="5">
        <f>IF(A328="",0,IF(OR(WEEKDAY(A328,2)=7,COUNTIF(Festivos!$A$5:$A$451,A328)&gt;0),1,0))</f>
        <v>0</v>
      </c>
      <c r="AF328" s="5">
        <f>IF(A328="",0,IF(OR(WEEKDAY(A328+1,2)=7,COUNTIF(Festivos!$A$5:$A$451,A328+1)&gt;0),1,0))</f>
        <v>0</v>
      </c>
      <c r="AG328" s="9">
        <f>IF(A328="",0,VLOOKUP(A328,Parámetros!$A$18:$B$21,2,TRUE()))</f>
        <v>0</v>
      </c>
      <c r="AH328" s="20">
        <f t="shared" si="116"/>
        <v>0</v>
      </c>
      <c r="AI328" s="20">
        <f>MAX(0,MIN(AB328,Parámetros!$B$11)-MAX(X328,0))+MAX(0,MIN(AB328,1+Parámetros!$B$11)-MAX(X328,AD328))+MAX(0,MIN(AB328,2)-MAX(X328,1+AD328))</f>
        <v>0</v>
      </c>
      <c r="AJ328" s="20">
        <f t="shared" si="117"/>
        <v>0</v>
      </c>
      <c r="AK328" s="20">
        <f>AE328*(MAX(0,MIN(AB328,Parámetros!$B$11)-MAX(X328,0))+MAX(0,MIN(AB328,1)-MAX(X328,AD328)))+AF328*(MAX(0,MIN(AB328,1+Parámetros!$B$11)-MAX(X328,1))+MAX(0,MIN(AB328,2)-MAX(X328,1+AD328)))</f>
        <v>0</v>
      </c>
      <c r="AL328" s="20">
        <f t="shared" si="118"/>
        <v>0</v>
      </c>
      <c r="AM328" s="20">
        <f>MAX(0,MIN(AC328,Parámetros!$B$11)-MAX(AB328,0))+MAX(0,MIN(AC328,1+Parámetros!$B$11)-MAX(AB328,AD328))+MAX(0,MIN(AC328,2)-MAX(AB328,1+AD328))</f>
        <v>0</v>
      </c>
      <c r="AN328" s="20">
        <f t="shared" si="119"/>
        <v>0</v>
      </c>
      <c r="AO328" s="20">
        <f>AE328*(MAX(0,MIN(AC328,Parámetros!$B$11)-MAX(AB328,0))+MAX(0,MIN(AC328,1)-MAX(AB328,AD328)))+AF328*(MAX(0,MIN(AC328,1+Parámetros!$B$11)-MAX(AB328,1))+MAX(0,MIN(AC328,2)-MAX(AB328,1+AD328)))</f>
        <v>0</v>
      </c>
    </row>
    <row r="329" spans="1:41" x14ac:dyDescent="0.25">
      <c r="A329" s="15"/>
      <c r="B329" s="8"/>
      <c r="C329" s="5" t="str">
        <f>IF(B329="","",IFERROR(INDEX(Trabajadores!$B$5:$B$204,MATCH(B329,Trabajadores!$A$5:$A$204,0)),"Cédula no registrada"))</f>
        <v/>
      </c>
      <c r="D329" s="11"/>
      <c r="E329" s="11"/>
      <c r="F329" s="8"/>
      <c r="G329" s="18" t="str">
        <f>IF(A329="","",IFERROR(INDEX(Trabajadores!$E$5:$E$204,MATCH(B329,Trabajadores!$A$5:$A$204,0))/Parámetros!$B$6,0)+IF(IFERROR(INDEX(Trabajadores!$E$5:$E$204,MATCH(B329,Trabajadores!$A$5:$A$204,0)),"")="",Parámetros!$B$7,0))</f>
        <v/>
      </c>
      <c r="H329" s="5" t="str">
        <f t="shared" si="100"/>
        <v/>
      </c>
      <c r="I329" s="5" t="str">
        <f>IF(A329="","",IF(COUNTIF(Festivos!$A$5:$A$451,A329)&gt;0,"Festivo",IF(WEEKDAY(A329,2)=7,"Domingo",IF(AND(AF329=1,AC329&gt;1),IF(COUNTIF(Festivos!$A$5:$A$451,A329+1)&gt;0,"Festivo","Domingo")&amp;" desde las 00:00",""))))</f>
        <v/>
      </c>
      <c r="J329" s="19" t="str">
        <f t="shared" si="101"/>
        <v/>
      </c>
      <c r="K329" s="19" t="str">
        <f t="shared" si="102"/>
        <v/>
      </c>
      <c r="L329" s="19" t="str">
        <f t="shared" si="103"/>
        <v/>
      </c>
      <c r="M329" s="19" t="str">
        <f t="shared" si="104"/>
        <v/>
      </c>
      <c r="N329" s="19" t="str">
        <f t="shared" si="105"/>
        <v/>
      </c>
      <c r="O329" s="19" t="str">
        <f t="shared" si="106"/>
        <v/>
      </c>
      <c r="P329" s="19" t="str">
        <f t="shared" si="107"/>
        <v/>
      </c>
      <c r="Q329" s="19" t="str">
        <f t="shared" si="108"/>
        <v/>
      </c>
      <c r="R329" s="19" t="str">
        <f t="shared" si="109"/>
        <v/>
      </c>
      <c r="S329" s="17" t="str">
        <f>IF(B329="","",IFERROR(INDEX(Trabajadores!$G$5:$G$204,MATCH(B329,Trabajadores!$A$5:$A$204,0)),""))</f>
        <v/>
      </c>
      <c r="T329" s="17" t="str">
        <f>IF(OR(OR(A329="",D329="",E329=""),S329=""),"",ROUND(S329*(N(L329)*Parámetros!$B$8+N(M329)*(1+Parámetros!$B$9)+N(N329)*(1+Parámetros!$B$10)+N(O329)*(1+AG329)+N(P329)*(1+AG329+Parámetros!$B$8)+N(Q329)*(1+AG329+Parámetros!$B$9)+N(R329)*(1+AG329+Parámetros!$B$10)),0))</f>
        <v/>
      </c>
      <c r="U329" s="5" t="str">
        <f>IF(OR(A329="",D329="",E329=""),"",IF(N(M329)+N(N329)+N(Q329)+N(R329)&gt;Parámetros!$B$12,"Supera el límite de horas extras diarias",IF(C329="Cédula no registrada","Registre la cédula en «Trabajadores»","")))</f>
        <v/>
      </c>
      <c r="X329" s="20">
        <f t="shared" si="110"/>
        <v>0</v>
      </c>
      <c r="Y329" s="20">
        <f t="shared" si="111"/>
        <v>0</v>
      </c>
      <c r="Z329" s="20">
        <f t="shared" si="112"/>
        <v>0</v>
      </c>
      <c r="AA329" s="20">
        <f t="shared" si="113"/>
        <v>0</v>
      </c>
      <c r="AB329" s="20">
        <f t="shared" si="114"/>
        <v>0</v>
      </c>
      <c r="AC329" s="20">
        <f t="shared" si="115"/>
        <v>0</v>
      </c>
      <c r="AD329" s="20">
        <f>IF(A329="",21/24,MOD(VLOOKUP(A329,Parámetros!$A$24:$B$25,2,TRUE()),1))</f>
        <v>0.875</v>
      </c>
      <c r="AE329" s="5">
        <f>IF(A329="",0,IF(OR(WEEKDAY(A329,2)=7,COUNTIF(Festivos!$A$5:$A$451,A329)&gt;0),1,0))</f>
        <v>0</v>
      </c>
      <c r="AF329" s="5">
        <f>IF(A329="",0,IF(OR(WEEKDAY(A329+1,2)=7,COUNTIF(Festivos!$A$5:$A$451,A329+1)&gt;0),1,0))</f>
        <v>0</v>
      </c>
      <c r="AG329" s="9">
        <f>IF(A329="",0,VLOOKUP(A329,Parámetros!$A$18:$B$21,2,TRUE()))</f>
        <v>0</v>
      </c>
      <c r="AH329" s="20">
        <f t="shared" si="116"/>
        <v>0</v>
      </c>
      <c r="AI329" s="20">
        <f>MAX(0,MIN(AB329,Parámetros!$B$11)-MAX(X329,0))+MAX(0,MIN(AB329,1+Parámetros!$B$11)-MAX(X329,AD329))+MAX(0,MIN(AB329,2)-MAX(X329,1+AD329))</f>
        <v>0</v>
      </c>
      <c r="AJ329" s="20">
        <f t="shared" si="117"/>
        <v>0</v>
      </c>
      <c r="AK329" s="20">
        <f>AE329*(MAX(0,MIN(AB329,Parámetros!$B$11)-MAX(X329,0))+MAX(0,MIN(AB329,1)-MAX(X329,AD329)))+AF329*(MAX(0,MIN(AB329,1+Parámetros!$B$11)-MAX(X329,1))+MAX(0,MIN(AB329,2)-MAX(X329,1+AD329)))</f>
        <v>0</v>
      </c>
      <c r="AL329" s="20">
        <f t="shared" si="118"/>
        <v>0</v>
      </c>
      <c r="AM329" s="20">
        <f>MAX(0,MIN(AC329,Parámetros!$B$11)-MAX(AB329,0))+MAX(0,MIN(AC329,1+Parámetros!$B$11)-MAX(AB329,AD329))+MAX(0,MIN(AC329,2)-MAX(AB329,1+AD329))</f>
        <v>0</v>
      </c>
      <c r="AN329" s="20">
        <f t="shared" si="119"/>
        <v>0</v>
      </c>
      <c r="AO329" s="20">
        <f>AE329*(MAX(0,MIN(AC329,Parámetros!$B$11)-MAX(AB329,0))+MAX(0,MIN(AC329,1)-MAX(AB329,AD329)))+AF329*(MAX(0,MIN(AC329,1+Parámetros!$B$11)-MAX(AB329,1))+MAX(0,MIN(AC329,2)-MAX(AB329,1+AD329)))</f>
        <v>0</v>
      </c>
    </row>
    <row r="330" spans="1:41" x14ac:dyDescent="0.25">
      <c r="A330" s="15"/>
      <c r="B330" s="8"/>
      <c r="C330" s="5" t="str">
        <f>IF(B330="","",IFERROR(INDEX(Trabajadores!$B$5:$B$204,MATCH(B330,Trabajadores!$A$5:$A$204,0)),"Cédula no registrada"))</f>
        <v/>
      </c>
      <c r="D330" s="11"/>
      <c r="E330" s="11"/>
      <c r="F330" s="8"/>
      <c r="G330" s="18" t="str">
        <f>IF(A330="","",IFERROR(INDEX(Trabajadores!$E$5:$E$204,MATCH(B330,Trabajadores!$A$5:$A$204,0))/Parámetros!$B$6,0)+IF(IFERROR(INDEX(Trabajadores!$E$5:$E$204,MATCH(B330,Trabajadores!$A$5:$A$204,0)),"")="",Parámetros!$B$7,0))</f>
        <v/>
      </c>
      <c r="H330" s="5" t="str">
        <f t="shared" si="100"/>
        <v/>
      </c>
      <c r="I330" s="5" t="str">
        <f>IF(A330="","",IF(COUNTIF(Festivos!$A$5:$A$451,A330)&gt;0,"Festivo",IF(WEEKDAY(A330,2)=7,"Domingo",IF(AND(AF330=1,AC330&gt;1),IF(COUNTIF(Festivos!$A$5:$A$451,A330+1)&gt;0,"Festivo","Domingo")&amp;" desde las 00:00",""))))</f>
        <v/>
      </c>
      <c r="J330" s="19" t="str">
        <f t="shared" si="101"/>
        <v/>
      </c>
      <c r="K330" s="19" t="str">
        <f t="shared" si="102"/>
        <v/>
      </c>
      <c r="L330" s="19" t="str">
        <f t="shared" si="103"/>
        <v/>
      </c>
      <c r="M330" s="19" t="str">
        <f t="shared" si="104"/>
        <v/>
      </c>
      <c r="N330" s="19" t="str">
        <f t="shared" si="105"/>
        <v/>
      </c>
      <c r="O330" s="19" t="str">
        <f t="shared" si="106"/>
        <v/>
      </c>
      <c r="P330" s="19" t="str">
        <f t="shared" si="107"/>
        <v/>
      </c>
      <c r="Q330" s="19" t="str">
        <f t="shared" si="108"/>
        <v/>
      </c>
      <c r="R330" s="19" t="str">
        <f t="shared" si="109"/>
        <v/>
      </c>
      <c r="S330" s="17" t="str">
        <f>IF(B330="","",IFERROR(INDEX(Trabajadores!$G$5:$G$204,MATCH(B330,Trabajadores!$A$5:$A$204,0)),""))</f>
        <v/>
      </c>
      <c r="T330" s="17" t="str">
        <f>IF(OR(OR(A330="",D330="",E330=""),S330=""),"",ROUND(S330*(N(L330)*Parámetros!$B$8+N(M330)*(1+Parámetros!$B$9)+N(N330)*(1+Parámetros!$B$10)+N(O330)*(1+AG330)+N(P330)*(1+AG330+Parámetros!$B$8)+N(Q330)*(1+AG330+Parámetros!$B$9)+N(R330)*(1+AG330+Parámetros!$B$10)),0))</f>
        <v/>
      </c>
      <c r="U330" s="5" t="str">
        <f>IF(OR(A330="",D330="",E330=""),"",IF(N(M330)+N(N330)+N(Q330)+N(R330)&gt;Parámetros!$B$12,"Supera el límite de horas extras diarias",IF(C330="Cédula no registrada","Registre la cédula en «Trabajadores»","")))</f>
        <v/>
      </c>
      <c r="X330" s="20">
        <f t="shared" si="110"/>
        <v>0</v>
      </c>
      <c r="Y330" s="20">
        <f t="shared" si="111"/>
        <v>0</v>
      </c>
      <c r="Z330" s="20">
        <f t="shared" si="112"/>
        <v>0</v>
      </c>
      <c r="AA330" s="20">
        <f t="shared" si="113"/>
        <v>0</v>
      </c>
      <c r="AB330" s="20">
        <f t="shared" si="114"/>
        <v>0</v>
      </c>
      <c r="AC330" s="20">
        <f t="shared" si="115"/>
        <v>0</v>
      </c>
      <c r="AD330" s="20">
        <f>IF(A330="",21/24,MOD(VLOOKUP(A330,Parámetros!$A$24:$B$25,2,TRUE()),1))</f>
        <v>0.875</v>
      </c>
      <c r="AE330" s="5">
        <f>IF(A330="",0,IF(OR(WEEKDAY(A330,2)=7,COUNTIF(Festivos!$A$5:$A$451,A330)&gt;0),1,0))</f>
        <v>0</v>
      </c>
      <c r="AF330" s="5">
        <f>IF(A330="",0,IF(OR(WEEKDAY(A330+1,2)=7,COUNTIF(Festivos!$A$5:$A$451,A330+1)&gt;0),1,0))</f>
        <v>0</v>
      </c>
      <c r="AG330" s="9">
        <f>IF(A330="",0,VLOOKUP(A330,Parámetros!$A$18:$B$21,2,TRUE()))</f>
        <v>0</v>
      </c>
      <c r="AH330" s="20">
        <f t="shared" si="116"/>
        <v>0</v>
      </c>
      <c r="AI330" s="20">
        <f>MAX(0,MIN(AB330,Parámetros!$B$11)-MAX(X330,0))+MAX(0,MIN(AB330,1+Parámetros!$B$11)-MAX(X330,AD330))+MAX(0,MIN(AB330,2)-MAX(X330,1+AD330))</f>
        <v>0</v>
      </c>
      <c r="AJ330" s="20">
        <f t="shared" si="117"/>
        <v>0</v>
      </c>
      <c r="AK330" s="20">
        <f>AE330*(MAX(0,MIN(AB330,Parámetros!$B$11)-MAX(X330,0))+MAX(0,MIN(AB330,1)-MAX(X330,AD330)))+AF330*(MAX(0,MIN(AB330,1+Parámetros!$B$11)-MAX(X330,1))+MAX(0,MIN(AB330,2)-MAX(X330,1+AD330)))</f>
        <v>0</v>
      </c>
      <c r="AL330" s="20">
        <f t="shared" si="118"/>
        <v>0</v>
      </c>
      <c r="AM330" s="20">
        <f>MAX(0,MIN(AC330,Parámetros!$B$11)-MAX(AB330,0))+MAX(0,MIN(AC330,1+Parámetros!$B$11)-MAX(AB330,AD330))+MAX(0,MIN(AC330,2)-MAX(AB330,1+AD330))</f>
        <v>0</v>
      </c>
      <c r="AN330" s="20">
        <f t="shared" si="119"/>
        <v>0</v>
      </c>
      <c r="AO330" s="20">
        <f>AE330*(MAX(0,MIN(AC330,Parámetros!$B$11)-MAX(AB330,0))+MAX(0,MIN(AC330,1)-MAX(AB330,AD330)))+AF330*(MAX(0,MIN(AC330,1+Parámetros!$B$11)-MAX(AB330,1))+MAX(0,MIN(AC330,2)-MAX(AB330,1+AD330)))</f>
        <v>0</v>
      </c>
    </row>
    <row r="331" spans="1:41" x14ac:dyDescent="0.25">
      <c r="A331" s="15"/>
      <c r="B331" s="8"/>
      <c r="C331" s="5" t="str">
        <f>IF(B331="","",IFERROR(INDEX(Trabajadores!$B$5:$B$204,MATCH(B331,Trabajadores!$A$5:$A$204,0)),"Cédula no registrada"))</f>
        <v/>
      </c>
      <c r="D331" s="11"/>
      <c r="E331" s="11"/>
      <c r="F331" s="8"/>
      <c r="G331" s="18" t="str">
        <f>IF(A331="","",IFERROR(INDEX(Trabajadores!$E$5:$E$204,MATCH(B331,Trabajadores!$A$5:$A$204,0))/Parámetros!$B$6,0)+IF(IFERROR(INDEX(Trabajadores!$E$5:$E$204,MATCH(B331,Trabajadores!$A$5:$A$204,0)),"")="",Parámetros!$B$7,0))</f>
        <v/>
      </c>
      <c r="H331" s="5" t="str">
        <f t="shared" si="100"/>
        <v/>
      </c>
      <c r="I331" s="5" t="str">
        <f>IF(A331="","",IF(COUNTIF(Festivos!$A$5:$A$451,A331)&gt;0,"Festivo",IF(WEEKDAY(A331,2)=7,"Domingo",IF(AND(AF331=1,AC331&gt;1),IF(COUNTIF(Festivos!$A$5:$A$451,A331+1)&gt;0,"Festivo","Domingo")&amp;" desde las 00:00",""))))</f>
        <v/>
      </c>
      <c r="J331" s="19" t="str">
        <f t="shared" si="101"/>
        <v/>
      </c>
      <c r="K331" s="19" t="str">
        <f t="shared" si="102"/>
        <v/>
      </c>
      <c r="L331" s="19" t="str">
        <f t="shared" si="103"/>
        <v/>
      </c>
      <c r="M331" s="19" t="str">
        <f t="shared" si="104"/>
        <v/>
      </c>
      <c r="N331" s="19" t="str">
        <f t="shared" si="105"/>
        <v/>
      </c>
      <c r="O331" s="19" t="str">
        <f t="shared" si="106"/>
        <v/>
      </c>
      <c r="P331" s="19" t="str">
        <f t="shared" si="107"/>
        <v/>
      </c>
      <c r="Q331" s="19" t="str">
        <f t="shared" si="108"/>
        <v/>
      </c>
      <c r="R331" s="19" t="str">
        <f t="shared" si="109"/>
        <v/>
      </c>
      <c r="S331" s="17" t="str">
        <f>IF(B331="","",IFERROR(INDEX(Trabajadores!$G$5:$G$204,MATCH(B331,Trabajadores!$A$5:$A$204,0)),""))</f>
        <v/>
      </c>
      <c r="T331" s="17" t="str">
        <f>IF(OR(OR(A331="",D331="",E331=""),S331=""),"",ROUND(S331*(N(L331)*Parámetros!$B$8+N(M331)*(1+Parámetros!$B$9)+N(N331)*(1+Parámetros!$B$10)+N(O331)*(1+AG331)+N(P331)*(1+AG331+Parámetros!$B$8)+N(Q331)*(1+AG331+Parámetros!$B$9)+N(R331)*(1+AG331+Parámetros!$B$10)),0))</f>
        <v/>
      </c>
      <c r="U331" s="5" t="str">
        <f>IF(OR(A331="",D331="",E331=""),"",IF(N(M331)+N(N331)+N(Q331)+N(R331)&gt;Parámetros!$B$12,"Supera el límite de horas extras diarias",IF(C331="Cédula no registrada","Registre la cédula en «Trabajadores»","")))</f>
        <v/>
      </c>
      <c r="X331" s="20">
        <f t="shared" si="110"/>
        <v>0</v>
      </c>
      <c r="Y331" s="20">
        <f t="shared" si="111"/>
        <v>0</v>
      </c>
      <c r="Z331" s="20">
        <f t="shared" si="112"/>
        <v>0</v>
      </c>
      <c r="AA331" s="20">
        <f t="shared" si="113"/>
        <v>0</v>
      </c>
      <c r="AB331" s="20">
        <f t="shared" si="114"/>
        <v>0</v>
      </c>
      <c r="AC331" s="20">
        <f t="shared" si="115"/>
        <v>0</v>
      </c>
      <c r="AD331" s="20">
        <f>IF(A331="",21/24,MOD(VLOOKUP(A331,Parámetros!$A$24:$B$25,2,TRUE()),1))</f>
        <v>0.875</v>
      </c>
      <c r="AE331" s="5">
        <f>IF(A331="",0,IF(OR(WEEKDAY(A331,2)=7,COUNTIF(Festivos!$A$5:$A$451,A331)&gt;0),1,0))</f>
        <v>0</v>
      </c>
      <c r="AF331" s="5">
        <f>IF(A331="",0,IF(OR(WEEKDAY(A331+1,2)=7,COUNTIF(Festivos!$A$5:$A$451,A331+1)&gt;0),1,0))</f>
        <v>0</v>
      </c>
      <c r="AG331" s="9">
        <f>IF(A331="",0,VLOOKUP(A331,Parámetros!$A$18:$B$21,2,TRUE()))</f>
        <v>0</v>
      </c>
      <c r="AH331" s="20">
        <f t="shared" si="116"/>
        <v>0</v>
      </c>
      <c r="AI331" s="20">
        <f>MAX(0,MIN(AB331,Parámetros!$B$11)-MAX(X331,0))+MAX(0,MIN(AB331,1+Parámetros!$B$11)-MAX(X331,AD331))+MAX(0,MIN(AB331,2)-MAX(X331,1+AD331))</f>
        <v>0</v>
      </c>
      <c r="AJ331" s="20">
        <f t="shared" si="117"/>
        <v>0</v>
      </c>
      <c r="AK331" s="20">
        <f>AE331*(MAX(0,MIN(AB331,Parámetros!$B$11)-MAX(X331,0))+MAX(0,MIN(AB331,1)-MAX(X331,AD331)))+AF331*(MAX(0,MIN(AB331,1+Parámetros!$B$11)-MAX(X331,1))+MAX(0,MIN(AB331,2)-MAX(X331,1+AD331)))</f>
        <v>0</v>
      </c>
      <c r="AL331" s="20">
        <f t="shared" si="118"/>
        <v>0</v>
      </c>
      <c r="AM331" s="20">
        <f>MAX(0,MIN(AC331,Parámetros!$B$11)-MAX(AB331,0))+MAX(0,MIN(AC331,1+Parámetros!$B$11)-MAX(AB331,AD331))+MAX(0,MIN(AC331,2)-MAX(AB331,1+AD331))</f>
        <v>0</v>
      </c>
      <c r="AN331" s="20">
        <f t="shared" si="119"/>
        <v>0</v>
      </c>
      <c r="AO331" s="20">
        <f>AE331*(MAX(0,MIN(AC331,Parámetros!$B$11)-MAX(AB331,0))+MAX(0,MIN(AC331,1)-MAX(AB331,AD331)))+AF331*(MAX(0,MIN(AC331,1+Parámetros!$B$11)-MAX(AB331,1))+MAX(0,MIN(AC331,2)-MAX(AB331,1+AD331)))</f>
        <v>0</v>
      </c>
    </row>
    <row r="332" spans="1:41" x14ac:dyDescent="0.25">
      <c r="A332" s="15"/>
      <c r="B332" s="8"/>
      <c r="C332" s="5" t="str">
        <f>IF(B332="","",IFERROR(INDEX(Trabajadores!$B$5:$B$204,MATCH(B332,Trabajadores!$A$5:$A$204,0)),"Cédula no registrada"))</f>
        <v/>
      </c>
      <c r="D332" s="11"/>
      <c r="E332" s="11"/>
      <c r="F332" s="8"/>
      <c r="G332" s="18" t="str">
        <f>IF(A332="","",IFERROR(INDEX(Trabajadores!$E$5:$E$204,MATCH(B332,Trabajadores!$A$5:$A$204,0))/Parámetros!$B$6,0)+IF(IFERROR(INDEX(Trabajadores!$E$5:$E$204,MATCH(B332,Trabajadores!$A$5:$A$204,0)),"")="",Parámetros!$B$7,0))</f>
        <v/>
      </c>
      <c r="H332" s="5" t="str">
        <f t="shared" si="100"/>
        <v/>
      </c>
      <c r="I332" s="5" t="str">
        <f>IF(A332="","",IF(COUNTIF(Festivos!$A$5:$A$451,A332)&gt;0,"Festivo",IF(WEEKDAY(A332,2)=7,"Domingo",IF(AND(AF332=1,AC332&gt;1),IF(COUNTIF(Festivos!$A$5:$A$451,A332+1)&gt;0,"Festivo","Domingo")&amp;" desde las 00:00",""))))</f>
        <v/>
      </c>
      <c r="J332" s="19" t="str">
        <f t="shared" si="101"/>
        <v/>
      </c>
      <c r="K332" s="19" t="str">
        <f t="shared" si="102"/>
        <v/>
      </c>
      <c r="L332" s="19" t="str">
        <f t="shared" si="103"/>
        <v/>
      </c>
      <c r="M332" s="19" t="str">
        <f t="shared" si="104"/>
        <v/>
      </c>
      <c r="N332" s="19" t="str">
        <f t="shared" si="105"/>
        <v/>
      </c>
      <c r="O332" s="19" t="str">
        <f t="shared" si="106"/>
        <v/>
      </c>
      <c r="P332" s="19" t="str">
        <f t="shared" si="107"/>
        <v/>
      </c>
      <c r="Q332" s="19" t="str">
        <f t="shared" si="108"/>
        <v/>
      </c>
      <c r="R332" s="19" t="str">
        <f t="shared" si="109"/>
        <v/>
      </c>
      <c r="S332" s="17" t="str">
        <f>IF(B332="","",IFERROR(INDEX(Trabajadores!$G$5:$G$204,MATCH(B332,Trabajadores!$A$5:$A$204,0)),""))</f>
        <v/>
      </c>
      <c r="T332" s="17" t="str">
        <f>IF(OR(OR(A332="",D332="",E332=""),S332=""),"",ROUND(S332*(N(L332)*Parámetros!$B$8+N(M332)*(1+Parámetros!$B$9)+N(N332)*(1+Parámetros!$B$10)+N(O332)*(1+AG332)+N(P332)*(1+AG332+Parámetros!$B$8)+N(Q332)*(1+AG332+Parámetros!$B$9)+N(R332)*(1+AG332+Parámetros!$B$10)),0))</f>
        <v/>
      </c>
      <c r="U332" s="5" t="str">
        <f>IF(OR(A332="",D332="",E332=""),"",IF(N(M332)+N(N332)+N(Q332)+N(R332)&gt;Parámetros!$B$12,"Supera el límite de horas extras diarias",IF(C332="Cédula no registrada","Registre la cédula en «Trabajadores»","")))</f>
        <v/>
      </c>
      <c r="X332" s="20">
        <f t="shared" si="110"/>
        <v>0</v>
      </c>
      <c r="Y332" s="20">
        <f t="shared" si="111"/>
        <v>0</v>
      </c>
      <c r="Z332" s="20">
        <f t="shared" si="112"/>
        <v>0</v>
      </c>
      <c r="AA332" s="20">
        <f t="shared" si="113"/>
        <v>0</v>
      </c>
      <c r="AB332" s="20">
        <f t="shared" si="114"/>
        <v>0</v>
      </c>
      <c r="AC332" s="20">
        <f t="shared" si="115"/>
        <v>0</v>
      </c>
      <c r="AD332" s="20">
        <f>IF(A332="",21/24,MOD(VLOOKUP(A332,Parámetros!$A$24:$B$25,2,TRUE()),1))</f>
        <v>0.875</v>
      </c>
      <c r="AE332" s="5">
        <f>IF(A332="",0,IF(OR(WEEKDAY(A332,2)=7,COUNTIF(Festivos!$A$5:$A$451,A332)&gt;0),1,0))</f>
        <v>0</v>
      </c>
      <c r="AF332" s="5">
        <f>IF(A332="",0,IF(OR(WEEKDAY(A332+1,2)=7,COUNTIF(Festivos!$A$5:$A$451,A332+1)&gt;0),1,0))</f>
        <v>0</v>
      </c>
      <c r="AG332" s="9">
        <f>IF(A332="",0,VLOOKUP(A332,Parámetros!$A$18:$B$21,2,TRUE()))</f>
        <v>0</v>
      </c>
      <c r="AH332" s="20">
        <f t="shared" si="116"/>
        <v>0</v>
      </c>
      <c r="AI332" s="20">
        <f>MAX(0,MIN(AB332,Parámetros!$B$11)-MAX(X332,0))+MAX(0,MIN(AB332,1+Parámetros!$B$11)-MAX(X332,AD332))+MAX(0,MIN(AB332,2)-MAX(X332,1+AD332))</f>
        <v>0</v>
      </c>
      <c r="AJ332" s="20">
        <f t="shared" si="117"/>
        <v>0</v>
      </c>
      <c r="AK332" s="20">
        <f>AE332*(MAX(0,MIN(AB332,Parámetros!$B$11)-MAX(X332,0))+MAX(0,MIN(AB332,1)-MAX(X332,AD332)))+AF332*(MAX(0,MIN(AB332,1+Parámetros!$B$11)-MAX(X332,1))+MAX(0,MIN(AB332,2)-MAX(X332,1+AD332)))</f>
        <v>0</v>
      </c>
      <c r="AL332" s="20">
        <f t="shared" si="118"/>
        <v>0</v>
      </c>
      <c r="AM332" s="20">
        <f>MAX(0,MIN(AC332,Parámetros!$B$11)-MAX(AB332,0))+MAX(0,MIN(AC332,1+Parámetros!$B$11)-MAX(AB332,AD332))+MAX(0,MIN(AC332,2)-MAX(AB332,1+AD332))</f>
        <v>0</v>
      </c>
      <c r="AN332" s="20">
        <f t="shared" si="119"/>
        <v>0</v>
      </c>
      <c r="AO332" s="20">
        <f>AE332*(MAX(0,MIN(AC332,Parámetros!$B$11)-MAX(AB332,0))+MAX(0,MIN(AC332,1)-MAX(AB332,AD332)))+AF332*(MAX(0,MIN(AC332,1+Parámetros!$B$11)-MAX(AB332,1))+MAX(0,MIN(AC332,2)-MAX(AB332,1+AD332)))</f>
        <v>0</v>
      </c>
    </row>
    <row r="333" spans="1:41" x14ac:dyDescent="0.25">
      <c r="A333" s="15"/>
      <c r="B333" s="8"/>
      <c r="C333" s="5" t="str">
        <f>IF(B333="","",IFERROR(INDEX(Trabajadores!$B$5:$B$204,MATCH(B333,Trabajadores!$A$5:$A$204,0)),"Cédula no registrada"))</f>
        <v/>
      </c>
      <c r="D333" s="11"/>
      <c r="E333" s="11"/>
      <c r="F333" s="8"/>
      <c r="G333" s="18" t="str">
        <f>IF(A333="","",IFERROR(INDEX(Trabajadores!$E$5:$E$204,MATCH(B333,Trabajadores!$A$5:$A$204,0))/Parámetros!$B$6,0)+IF(IFERROR(INDEX(Trabajadores!$E$5:$E$204,MATCH(B333,Trabajadores!$A$5:$A$204,0)),"")="",Parámetros!$B$7,0))</f>
        <v/>
      </c>
      <c r="H333" s="5" t="str">
        <f t="shared" si="100"/>
        <v/>
      </c>
      <c r="I333" s="5" t="str">
        <f>IF(A333="","",IF(COUNTIF(Festivos!$A$5:$A$451,A333)&gt;0,"Festivo",IF(WEEKDAY(A333,2)=7,"Domingo",IF(AND(AF333=1,AC333&gt;1),IF(COUNTIF(Festivos!$A$5:$A$451,A333+1)&gt;0,"Festivo","Domingo")&amp;" desde las 00:00",""))))</f>
        <v/>
      </c>
      <c r="J333" s="19" t="str">
        <f t="shared" si="101"/>
        <v/>
      </c>
      <c r="K333" s="19" t="str">
        <f t="shared" si="102"/>
        <v/>
      </c>
      <c r="L333" s="19" t="str">
        <f t="shared" si="103"/>
        <v/>
      </c>
      <c r="M333" s="19" t="str">
        <f t="shared" si="104"/>
        <v/>
      </c>
      <c r="N333" s="19" t="str">
        <f t="shared" si="105"/>
        <v/>
      </c>
      <c r="O333" s="19" t="str">
        <f t="shared" si="106"/>
        <v/>
      </c>
      <c r="P333" s="19" t="str">
        <f t="shared" si="107"/>
        <v/>
      </c>
      <c r="Q333" s="19" t="str">
        <f t="shared" si="108"/>
        <v/>
      </c>
      <c r="R333" s="19" t="str">
        <f t="shared" si="109"/>
        <v/>
      </c>
      <c r="S333" s="17" t="str">
        <f>IF(B333="","",IFERROR(INDEX(Trabajadores!$G$5:$G$204,MATCH(B333,Trabajadores!$A$5:$A$204,0)),""))</f>
        <v/>
      </c>
      <c r="T333" s="17" t="str">
        <f>IF(OR(OR(A333="",D333="",E333=""),S333=""),"",ROUND(S333*(N(L333)*Parámetros!$B$8+N(M333)*(1+Parámetros!$B$9)+N(N333)*(1+Parámetros!$B$10)+N(O333)*(1+AG333)+N(P333)*(1+AG333+Parámetros!$B$8)+N(Q333)*(1+AG333+Parámetros!$B$9)+N(R333)*(1+AG333+Parámetros!$B$10)),0))</f>
        <v/>
      </c>
      <c r="U333" s="5" t="str">
        <f>IF(OR(A333="",D333="",E333=""),"",IF(N(M333)+N(N333)+N(Q333)+N(R333)&gt;Parámetros!$B$12,"Supera el límite de horas extras diarias",IF(C333="Cédula no registrada","Registre la cédula en «Trabajadores»","")))</f>
        <v/>
      </c>
      <c r="X333" s="20">
        <f t="shared" si="110"/>
        <v>0</v>
      </c>
      <c r="Y333" s="20">
        <f t="shared" si="111"/>
        <v>0</v>
      </c>
      <c r="Z333" s="20">
        <f t="shared" si="112"/>
        <v>0</v>
      </c>
      <c r="AA333" s="20">
        <f t="shared" si="113"/>
        <v>0</v>
      </c>
      <c r="AB333" s="20">
        <f t="shared" si="114"/>
        <v>0</v>
      </c>
      <c r="AC333" s="20">
        <f t="shared" si="115"/>
        <v>0</v>
      </c>
      <c r="AD333" s="20">
        <f>IF(A333="",21/24,MOD(VLOOKUP(A333,Parámetros!$A$24:$B$25,2,TRUE()),1))</f>
        <v>0.875</v>
      </c>
      <c r="AE333" s="5">
        <f>IF(A333="",0,IF(OR(WEEKDAY(A333,2)=7,COUNTIF(Festivos!$A$5:$A$451,A333)&gt;0),1,0))</f>
        <v>0</v>
      </c>
      <c r="AF333" s="5">
        <f>IF(A333="",0,IF(OR(WEEKDAY(A333+1,2)=7,COUNTIF(Festivos!$A$5:$A$451,A333+1)&gt;0),1,0))</f>
        <v>0</v>
      </c>
      <c r="AG333" s="9">
        <f>IF(A333="",0,VLOOKUP(A333,Parámetros!$A$18:$B$21,2,TRUE()))</f>
        <v>0</v>
      </c>
      <c r="AH333" s="20">
        <f t="shared" si="116"/>
        <v>0</v>
      </c>
      <c r="AI333" s="20">
        <f>MAX(0,MIN(AB333,Parámetros!$B$11)-MAX(X333,0))+MAX(0,MIN(AB333,1+Parámetros!$B$11)-MAX(X333,AD333))+MAX(0,MIN(AB333,2)-MAX(X333,1+AD333))</f>
        <v>0</v>
      </c>
      <c r="AJ333" s="20">
        <f t="shared" si="117"/>
        <v>0</v>
      </c>
      <c r="AK333" s="20">
        <f>AE333*(MAX(0,MIN(AB333,Parámetros!$B$11)-MAX(X333,0))+MAX(0,MIN(AB333,1)-MAX(X333,AD333)))+AF333*(MAX(0,MIN(AB333,1+Parámetros!$B$11)-MAX(X333,1))+MAX(0,MIN(AB333,2)-MAX(X333,1+AD333)))</f>
        <v>0</v>
      </c>
      <c r="AL333" s="20">
        <f t="shared" si="118"/>
        <v>0</v>
      </c>
      <c r="AM333" s="20">
        <f>MAX(0,MIN(AC333,Parámetros!$B$11)-MAX(AB333,0))+MAX(0,MIN(AC333,1+Parámetros!$B$11)-MAX(AB333,AD333))+MAX(0,MIN(AC333,2)-MAX(AB333,1+AD333))</f>
        <v>0</v>
      </c>
      <c r="AN333" s="20">
        <f t="shared" si="119"/>
        <v>0</v>
      </c>
      <c r="AO333" s="20">
        <f>AE333*(MAX(0,MIN(AC333,Parámetros!$B$11)-MAX(AB333,0))+MAX(0,MIN(AC333,1)-MAX(AB333,AD333)))+AF333*(MAX(0,MIN(AC333,1+Parámetros!$B$11)-MAX(AB333,1))+MAX(0,MIN(AC333,2)-MAX(AB333,1+AD333)))</f>
        <v>0</v>
      </c>
    </row>
    <row r="334" spans="1:41" x14ac:dyDescent="0.25">
      <c r="A334" s="15"/>
      <c r="B334" s="8"/>
      <c r="C334" s="5" t="str">
        <f>IF(B334="","",IFERROR(INDEX(Trabajadores!$B$5:$B$204,MATCH(B334,Trabajadores!$A$5:$A$204,0)),"Cédula no registrada"))</f>
        <v/>
      </c>
      <c r="D334" s="11"/>
      <c r="E334" s="11"/>
      <c r="F334" s="8"/>
      <c r="G334" s="18" t="str">
        <f>IF(A334="","",IFERROR(INDEX(Trabajadores!$E$5:$E$204,MATCH(B334,Trabajadores!$A$5:$A$204,0))/Parámetros!$B$6,0)+IF(IFERROR(INDEX(Trabajadores!$E$5:$E$204,MATCH(B334,Trabajadores!$A$5:$A$204,0)),"")="",Parámetros!$B$7,0))</f>
        <v/>
      </c>
      <c r="H334" s="5" t="str">
        <f t="shared" si="100"/>
        <v/>
      </c>
      <c r="I334" s="5" t="str">
        <f>IF(A334="","",IF(COUNTIF(Festivos!$A$5:$A$451,A334)&gt;0,"Festivo",IF(WEEKDAY(A334,2)=7,"Domingo",IF(AND(AF334=1,AC334&gt;1),IF(COUNTIF(Festivos!$A$5:$A$451,A334+1)&gt;0,"Festivo","Domingo")&amp;" desde las 00:00",""))))</f>
        <v/>
      </c>
      <c r="J334" s="19" t="str">
        <f t="shared" si="101"/>
        <v/>
      </c>
      <c r="K334" s="19" t="str">
        <f t="shared" si="102"/>
        <v/>
      </c>
      <c r="L334" s="19" t="str">
        <f t="shared" si="103"/>
        <v/>
      </c>
      <c r="M334" s="19" t="str">
        <f t="shared" si="104"/>
        <v/>
      </c>
      <c r="N334" s="19" t="str">
        <f t="shared" si="105"/>
        <v/>
      </c>
      <c r="O334" s="19" t="str">
        <f t="shared" si="106"/>
        <v/>
      </c>
      <c r="P334" s="19" t="str">
        <f t="shared" si="107"/>
        <v/>
      </c>
      <c r="Q334" s="19" t="str">
        <f t="shared" si="108"/>
        <v/>
      </c>
      <c r="R334" s="19" t="str">
        <f t="shared" si="109"/>
        <v/>
      </c>
      <c r="S334" s="17" t="str">
        <f>IF(B334="","",IFERROR(INDEX(Trabajadores!$G$5:$G$204,MATCH(B334,Trabajadores!$A$5:$A$204,0)),""))</f>
        <v/>
      </c>
      <c r="T334" s="17" t="str">
        <f>IF(OR(OR(A334="",D334="",E334=""),S334=""),"",ROUND(S334*(N(L334)*Parámetros!$B$8+N(M334)*(1+Parámetros!$B$9)+N(N334)*(1+Parámetros!$B$10)+N(O334)*(1+AG334)+N(P334)*(1+AG334+Parámetros!$B$8)+N(Q334)*(1+AG334+Parámetros!$B$9)+N(R334)*(1+AG334+Parámetros!$B$10)),0))</f>
        <v/>
      </c>
      <c r="U334" s="5" t="str">
        <f>IF(OR(A334="",D334="",E334=""),"",IF(N(M334)+N(N334)+N(Q334)+N(R334)&gt;Parámetros!$B$12,"Supera el límite de horas extras diarias",IF(C334="Cédula no registrada","Registre la cédula en «Trabajadores»","")))</f>
        <v/>
      </c>
      <c r="X334" s="20">
        <f t="shared" si="110"/>
        <v>0</v>
      </c>
      <c r="Y334" s="20">
        <f t="shared" si="111"/>
        <v>0</v>
      </c>
      <c r="Z334" s="20">
        <f t="shared" si="112"/>
        <v>0</v>
      </c>
      <c r="AA334" s="20">
        <f t="shared" si="113"/>
        <v>0</v>
      </c>
      <c r="AB334" s="20">
        <f t="shared" si="114"/>
        <v>0</v>
      </c>
      <c r="AC334" s="20">
        <f t="shared" si="115"/>
        <v>0</v>
      </c>
      <c r="AD334" s="20">
        <f>IF(A334="",21/24,MOD(VLOOKUP(A334,Parámetros!$A$24:$B$25,2,TRUE()),1))</f>
        <v>0.875</v>
      </c>
      <c r="AE334" s="5">
        <f>IF(A334="",0,IF(OR(WEEKDAY(A334,2)=7,COUNTIF(Festivos!$A$5:$A$451,A334)&gt;0),1,0))</f>
        <v>0</v>
      </c>
      <c r="AF334" s="5">
        <f>IF(A334="",0,IF(OR(WEEKDAY(A334+1,2)=7,COUNTIF(Festivos!$A$5:$A$451,A334+1)&gt;0),1,0))</f>
        <v>0</v>
      </c>
      <c r="AG334" s="9">
        <f>IF(A334="",0,VLOOKUP(A334,Parámetros!$A$18:$B$21,2,TRUE()))</f>
        <v>0</v>
      </c>
      <c r="AH334" s="20">
        <f t="shared" si="116"/>
        <v>0</v>
      </c>
      <c r="AI334" s="20">
        <f>MAX(0,MIN(AB334,Parámetros!$B$11)-MAX(X334,0))+MAX(0,MIN(AB334,1+Parámetros!$B$11)-MAX(X334,AD334))+MAX(0,MIN(AB334,2)-MAX(X334,1+AD334))</f>
        <v>0</v>
      </c>
      <c r="AJ334" s="20">
        <f t="shared" si="117"/>
        <v>0</v>
      </c>
      <c r="AK334" s="20">
        <f>AE334*(MAX(0,MIN(AB334,Parámetros!$B$11)-MAX(X334,0))+MAX(0,MIN(AB334,1)-MAX(X334,AD334)))+AF334*(MAX(0,MIN(AB334,1+Parámetros!$B$11)-MAX(X334,1))+MAX(0,MIN(AB334,2)-MAX(X334,1+AD334)))</f>
        <v>0</v>
      </c>
      <c r="AL334" s="20">
        <f t="shared" si="118"/>
        <v>0</v>
      </c>
      <c r="AM334" s="20">
        <f>MAX(0,MIN(AC334,Parámetros!$B$11)-MAX(AB334,0))+MAX(0,MIN(AC334,1+Parámetros!$B$11)-MAX(AB334,AD334))+MAX(0,MIN(AC334,2)-MAX(AB334,1+AD334))</f>
        <v>0</v>
      </c>
      <c r="AN334" s="20">
        <f t="shared" si="119"/>
        <v>0</v>
      </c>
      <c r="AO334" s="20">
        <f>AE334*(MAX(0,MIN(AC334,Parámetros!$B$11)-MAX(AB334,0))+MAX(0,MIN(AC334,1)-MAX(AB334,AD334)))+AF334*(MAX(0,MIN(AC334,1+Parámetros!$B$11)-MAX(AB334,1))+MAX(0,MIN(AC334,2)-MAX(AB334,1+AD334)))</f>
        <v>0</v>
      </c>
    </row>
    <row r="335" spans="1:41" x14ac:dyDescent="0.25">
      <c r="A335" s="15"/>
      <c r="B335" s="8"/>
      <c r="C335" s="5" t="str">
        <f>IF(B335="","",IFERROR(INDEX(Trabajadores!$B$5:$B$204,MATCH(B335,Trabajadores!$A$5:$A$204,0)),"Cédula no registrada"))</f>
        <v/>
      </c>
      <c r="D335" s="11"/>
      <c r="E335" s="11"/>
      <c r="F335" s="8"/>
      <c r="G335" s="18" t="str">
        <f>IF(A335="","",IFERROR(INDEX(Trabajadores!$E$5:$E$204,MATCH(B335,Trabajadores!$A$5:$A$204,0))/Parámetros!$B$6,0)+IF(IFERROR(INDEX(Trabajadores!$E$5:$E$204,MATCH(B335,Trabajadores!$A$5:$A$204,0)),"")="",Parámetros!$B$7,0))</f>
        <v/>
      </c>
      <c r="H335" s="5" t="str">
        <f t="shared" si="100"/>
        <v/>
      </c>
      <c r="I335" s="5" t="str">
        <f>IF(A335="","",IF(COUNTIF(Festivos!$A$5:$A$451,A335)&gt;0,"Festivo",IF(WEEKDAY(A335,2)=7,"Domingo",IF(AND(AF335=1,AC335&gt;1),IF(COUNTIF(Festivos!$A$5:$A$451,A335+1)&gt;0,"Festivo","Domingo")&amp;" desde las 00:00",""))))</f>
        <v/>
      </c>
      <c r="J335" s="19" t="str">
        <f t="shared" si="101"/>
        <v/>
      </c>
      <c r="K335" s="19" t="str">
        <f t="shared" si="102"/>
        <v/>
      </c>
      <c r="L335" s="19" t="str">
        <f t="shared" si="103"/>
        <v/>
      </c>
      <c r="M335" s="19" t="str">
        <f t="shared" si="104"/>
        <v/>
      </c>
      <c r="N335" s="19" t="str">
        <f t="shared" si="105"/>
        <v/>
      </c>
      <c r="O335" s="19" t="str">
        <f t="shared" si="106"/>
        <v/>
      </c>
      <c r="P335" s="19" t="str">
        <f t="shared" si="107"/>
        <v/>
      </c>
      <c r="Q335" s="19" t="str">
        <f t="shared" si="108"/>
        <v/>
      </c>
      <c r="R335" s="19" t="str">
        <f t="shared" si="109"/>
        <v/>
      </c>
      <c r="S335" s="17" t="str">
        <f>IF(B335="","",IFERROR(INDEX(Trabajadores!$G$5:$G$204,MATCH(B335,Trabajadores!$A$5:$A$204,0)),""))</f>
        <v/>
      </c>
      <c r="T335" s="17" t="str">
        <f>IF(OR(OR(A335="",D335="",E335=""),S335=""),"",ROUND(S335*(N(L335)*Parámetros!$B$8+N(M335)*(1+Parámetros!$B$9)+N(N335)*(1+Parámetros!$B$10)+N(O335)*(1+AG335)+N(P335)*(1+AG335+Parámetros!$B$8)+N(Q335)*(1+AG335+Parámetros!$B$9)+N(R335)*(1+AG335+Parámetros!$B$10)),0))</f>
        <v/>
      </c>
      <c r="U335" s="5" t="str">
        <f>IF(OR(A335="",D335="",E335=""),"",IF(N(M335)+N(N335)+N(Q335)+N(R335)&gt;Parámetros!$B$12,"Supera el límite de horas extras diarias",IF(C335="Cédula no registrada","Registre la cédula en «Trabajadores»","")))</f>
        <v/>
      </c>
      <c r="X335" s="20">
        <f t="shared" si="110"/>
        <v>0</v>
      </c>
      <c r="Y335" s="20">
        <f t="shared" si="111"/>
        <v>0</v>
      </c>
      <c r="Z335" s="20">
        <f t="shared" si="112"/>
        <v>0</v>
      </c>
      <c r="AA335" s="20">
        <f t="shared" si="113"/>
        <v>0</v>
      </c>
      <c r="AB335" s="20">
        <f t="shared" si="114"/>
        <v>0</v>
      </c>
      <c r="AC335" s="20">
        <f t="shared" si="115"/>
        <v>0</v>
      </c>
      <c r="AD335" s="20">
        <f>IF(A335="",21/24,MOD(VLOOKUP(A335,Parámetros!$A$24:$B$25,2,TRUE()),1))</f>
        <v>0.875</v>
      </c>
      <c r="AE335" s="5">
        <f>IF(A335="",0,IF(OR(WEEKDAY(A335,2)=7,COUNTIF(Festivos!$A$5:$A$451,A335)&gt;0),1,0))</f>
        <v>0</v>
      </c>
      <c r="AF335" s="5">
        <f>IF(A335="",0,IF(OR(WEEKDAY(A335+1,2)=7,COUNTIF(Festivos!$A$5:$A$451,A335+1)&gt;0),1,0))</f>
        <v>0</v>
      </c>
      <c r="AG335" s="9">
        <f>IF(A335="",0,VLOOKUP(A335,Parámetros!$A$18:$B$21,2,TRUE()))</f>
        <v>0</v>
      </c>
      <c r="AH335" s="20">
        <f t="shared" si="116"/>
        <v>0</v>
      </c>
      <c r="AI335" s="20">
        <f>MAX(0,MIN(AB335,Parámetros!$B$11)-MAX(X335,0))+MAX(0,MIN(AB335,1+Parámetros!$B$11)-MAX(X335,AD335))+MAX(0,MIN(AB335,2)-MAX(X335,1+AD335))</f>
        <v>0</v>
      </c>
      <c r="AJ335" s="20">
        <f t="shared" si="117"/>
        <v>0</v>
      </c>
      <c r="AK335" s="20">
        <f>AE335*(MAX(0,MIN(AB335,Parámetros!$B$11)-MAX(X335,0))+MAX(0,MIN(AB335,1)-MAX(X335,AD335)))+AF335*(MAX(0,MIN(AB335,1+Parámetros!$B$11)-MAX(X335,1))+MAX(0,MIN(AB335,2)-MAX(X335,1+AD335)))</f>
        <v>0</v>
      </c>
      <c r="AL335" s="20">
        <f t="shared" si="118"/>
        <v>0</v>
      </c>
      <c r="AM335" s="20">
        <f>MAX(0,MIN(AC335,Parámetros!$B$11)-MAX(AB335,0))+MAX(0,MIN(AC335,1+Parámetros!$B$11)-MAX(AB335,AD335))+MAX(0,MIN(AC335,2)-MAX(AB335,1+AD335))</f>
        <v>0</v>
      </c>
      <c r="AN335" s="20">
        <f t="shared" si="119"/>
        <v>0</v>
      </c>
      <c r="AO335" s="20">
        <f>AE335*(MAX(0,MIN(AC335,Parámetros!$B$11)-MAX(AB335,0))+MAX(0,MIN(AC335,1)-MAX(AB335,AD335)))+AF335*(MAX(0,MIN(AC335,1+Parámetros!$B$11)-MAX(AB335,1))+MAX(0,MIN(AC335,2)-MAX(AB335,1+AD335)))</f>
        <v>0</v>
      </c>
    </row>
    <row r="336" spans="1:41" x14ac:dyDescent="0.25">
      <c r="A336" s="15"/>
      <c r="B336" s="8"/>
      <c r="C336" s="5" t="str">
        <f>IF(B336="","",IFERROR(INDEX(Trabajadores!$B$5:$B$204,MATCH(B336,Trabajadores!$A$5:$A$204,0)),"Cédula no registrada"))</f>
        <v/>
      </c>
      <c r="D336" s="11"/>
      <c r="E336" s="11"/>
      <c r="F336" s="8"/>
      <c r="G336" s="18" t="str">
        <f>IF(A336="","",IFERROR(INDEX(Trabajadores!$E$5:$E$204,MATCH(B336,Trabajadores!$A$5:$A$204,0))/Parámetros!$B$6,0)+IF(IFERROR(INDEX(Trabajadores!$E$5:$E$204,MATCH(B336,Trabajadores!$A$5:$A$204,0)),"")="",Parámetros!$B$7,0))</f>
        <v/>
      </c>
      <c r="H336" s="5" t="str">
        <f t="shared" si="100"/>
        <v/>
      </c>
      <c r="I336" s="5" t="str">
        <f>IF(A336="","",IF(COUNTIF(Festivos!$A$5:$A$451,A336)&gt;0,"Festivo",IF(WEEKDAY(A336,2)=7,"Domingo",IF(AND(AF336=1,AC336&gt;1),IF(COUNTIF(Festivos!$A$5:$A$451,A336+1)&gt;0,"Festivo","Domingo")&amp;" desde las 00:00",""))))</f>
        <v/>
      </c>
      <c r="J336" s="19" t="str">
        <f t="shared" si="101"/>
        <v/>
      </c>
      <c r="K336" s="19" t="str">
        <f t="shared" si="102"/>
        <v/>
      </c>
      <c r="L336" s="19" t="str">
        <f t="shared" si="103"/>
        <v/>
      </c>
      <c r="M336" s="19" t="str">
        <f t="shared" si="104"/>
        <v/>
      </c>
      <c r="N336" s="19" t="str">
        <f t="shared" si="105"/>
        <v/>
      </c>
      <c r="O336" s="19" t="str">
        <f t="shared" si="106"/>
        <v/>
      </c>
      <c r="P336" s="19" t="str">
        <f t="shared" si="107"/>
        <v/>
      </c>
      <c r="Q336" s="19" t="str">
        <f t="shared" si="108"/>
        <v/>
      </c>
      <c r="R336" s="19" t="str">
        <f t="shared" si="109"/>
        <v/>
      </c>
      <c r="S336" s="17" t="str">
        <f>IF(B336="","",IFERROR(INDEX(Trabajadores!$G$5:$G$204,MATCH(B336,Trabajadores!$A$5:$A$204,0)),""))</f>
        <v/>
      </c>
      <c r="T336" s="17" t="str">
        <f>IF(OR(OR(A336="",D336="",E336=""),S336=""),"",ROUND(S336*(N(L336)*Parámetros!$B$8+N(M336)*(1+Parámetros!$B$9)+N(N336)*(1+Parámetros!$B$10)+N(O336)*(1+AG336)+N(P336)*(1+AG336+Parámetros!$B$8)+N(Q336)*(1+AG336+Parámetros!$B$9)+N(R336)*(1+AG336+Parámetros!$B$10)),0))</f>
        <v/>
      </c>
      <c r="U336" s="5" t="str">
        <f>IF(OR(A336="",D336="",E336=""),"",IF(N(M336)+N(N336)+N(Q336)+N(R336)&gt;Parámetros!$B$12,"Supera el límite de horas extras diarias",IF(C336="Cédula no registrada","Registre la cédula en «Trabajadores»","")))</f>
        <v/>
      </c>
      <c r="X336" s="20">
        <f t="shared" si="110"/>
        <v>0</v>
      </c>
      <c r="Y336" s="20">
        <f t="shared" si="111"/>
        <v>0</v>
      </c>
      <c r="Z336" s="20">
        <f t="shared" si="112"/>
        <v>0</v>
      </c>
      <c r="AA336" s="20">
        <f t="shared" si="113"/>
        <v>0</v>
      </c>
      <c r="AB336" s="20">
        <f t="shared" si="114"/>
        <v>0</v>
      </c>
      <c r="AC336" s="20">
        <f t="shared" si="115"/>
        <v>0</v>
      </c>
      <c r="AD336" s="20">
        <f>IF(A336="",21/24,MOD(VLOOKUP(A336,Parámetros!$A$24:$B$25,2,TRUE()),1))</f>
        <v>0.875</v>
      </c>
      <c r="AE336" s="5">
        <f>IF(A336="",0,IF(OR(WEEKDAY(A336,2)=7,COUNTIF(Festivos!$A$5:$A$451,A336)&gt;0),1,0))</f>
        <v>0</v>
      </c>
      <c r="AF336" s="5">
        <f>IF(A336="",0,IF(OR(WEEKDAY(A336+1,2)=7,COUNTIF(Festivos!$A$5:$A$451,A336+1)&gt;0),1,0))</f>
        <v>0</v>
      </c>
      <c r="AG336" s="9">
        <f>IF(A336="",0,VLOOKUP(A336,Parámetros!$A$18:$B$21,2,TRUE()))</f>
        <v>0</v>
      </c>
      <c r="AH336" s="20">
        <f t="shared" si="116"/>
        <v>0</v>
      </c>
      <c r="AI336" s="20">
        <f>MAX(0,MIN(AB336,Parámetros!$B$11)-MAX(X336,0))+MAX(0,MIN(AB336,1+Parámetros!$B$11)-MAX(X336,AD336))+MAX(0,MIN(AB336,2)-MAX(X336,1+AD336))</f>
        <v>0</v>
      </c>
      <c r="AJ336" s="20">
        <f t="shared" si="117"/>
        <v>0</v>
      </c>
      <c r="AK336" s="20">
        <f>AE336*(MAX(0,MIN(AB336,Parámetros!$B$11)-MAX(X336,0))+MAX(0,MIN(AB336,1)-MAX(X336,AD336)))+AF336*(MAX(0,MIN(AB336,1+Parámetros!$B$11)-MAX(X336,1))+MAX(0,MIN(AB336,2)-MAX(X336,1+AD336)))</f>
        <v>0</v>
      </c>
      <c r="AL336" s="20">
        <f t="shared" si="118"/>
        <v>0</v>
      </c>
      <c r="AM336" s="20">
        <f>MAX(0,MIN(AC336,Parámetros!$B$11)-MAX(AB336,0))+MAX(0,MIN(AC336,1+Parámetros!$B$11)-MAX(AB336,AD336))+MAX(0,MIN(AC336,2)-MAX(AB336,1+AD336))</f>
        <v>0</v>
      </c>
      <c r="AN336" s="20">
        <f t="shared" si="119"/>
        <v>0</v>
      </c>
      <c r="AO336" s="20">
        <f>AE336*(MAX(0,MIN(AC336,Parámetros!$B$11)-MAX(AB336,0))+MAX(0,MIN(AC336,1)-MAX(AB336,AD336)))+AF336*(MAX(0,MIN(AC336,1+Parámetros!$B$11)-MAX(AB336,1))+MAX(0,MIN(AC336,2)-MAX(AB336,1+AD336)))</f>
        <v>0</v>
      </c>
    </row>
    <row r="337" spans="1:41" x14ac:dyDescent="0.25">
      <c r="A337" s="15"/>
      <c r="B337" s="8"/>
      <c r="C337" s="5" t="str">
        <f>IF(B337="","",IFERROR(INDEX(Trabajadores!$B$5:$B$204,MATCH(B337,Trabajadores!$A$5:$A$204,0)),"Cédula no registrada"))</f>
        <v/>
      </c>
      <c r="D337" s="11"/>
      <c r="E337" s="11"/>
      <c r="F337" s="8"/>
      <c r="G337" s="18" t="str">
        <f>IF(A337="","",IFERROR(INDEX(Trabajadores!$E$5:$E$204,MATCH(B337,Trabajadores!$A$5:$A$204,0))/Parámetros!$B$6,0)+IF(IFERROR(INDEX(Trabajadores!$E$5:$E$204,MATCH(B337,Trabajadores!$A$5:$A$204,0)),"")="",Parámetros!$B$7,0))</f>
        <v/>
      </c>
      <c r="H337" s="5" t="str">
        <f t="shared" si="100"/>
        <v/>
      </c>
      <c r="I337" s="5" t="str">
        <f>IF(A337="","",IF(COUNTIF(Festivos!$A$5:$A$451,A337)&gt;0,"Festivo",IF(WEEKDAY(A337,2)=7,"Domingo",IF(AND(AF337=1,AC337&gt;1),IF(COUNTIF(Festivos!$A$5:$A$451,A337+1)&gt;0,"Festivo","Domingo")&amp;" desde las 00:00",""))))</f>
        <v/>
      </c>
      <c r="J337" s="19" t="str">
        <f t="shared" si="101"/>
        <v/>
      </c>
      <c r="K337" s="19" t="str">
        <f t="shared" si="102"/>
        <v/>
      </c>
      <c r="L337" s="19" t="str">
        <f t="shared" si="103"/>
        <v/>
      </c>
      <c r="M337" s="19" t="str">
        <f t="shared" si="104"/>
        <v/>
      </c>
      <c r="N337" s="19" t="str">
        <f t="shared" si="105"/>
        <v/>
      </c>
      <c r="O337" s="19" t="str">
        <f t="shared" si="106"/>
        <v/>
      </c>
      <c r="P337" s="19" t="str">
        <f t="shared" si="107"/>
        <v/>
      </c>
      <c r="Q337" s="19" t="str">
        <f t="shared" si="108"/>
        <v/>
      </c>
      <c r="R337" s="19" t="str">
        <f t="shared" si="109"/>
        <v/>
      </c>
      <c r="S337" s="17" t="str">
        <f>IF(B337="","",IFERROR(INDEX(Trabajadores!$G$5:$G$204,MATCH(B337,Trabajadores!$A$5:$A$204,0)),""))</f>
        <v/>
      </c>
      <c r="T337" s="17" t="str">
        <f>IF(OR(OR(A337="",D337="",E337=""),S337=""),"",ROUND(S337*(N(L337)*Parámetros!$B$8+N(M337)*(1+Parámetros!$B$9)+N(N337)*(1+Parámetros!$B$10)+N(O337)*(1+AG337)+N(P337)*(1+AG337+Parámetros!$B$8)+N(Q337)*(1+AG337+Parámetros!$B$9)+N(R337)*(1+AG337+Parámetros!$B$10)),0))</f>
        <v/>
      </c>
      <c r="U337" s="5" t="str">
        <f>IF(OR(A337="",D337="",E337=""),"",IF(N(M337)+N(N337)+N(Q337)+N(R337)&gt;Parámetros!$B$12,"Supera el límite de horas extras diarias",IF(C337="Cédula no registrada","Registre la cédula en «Trabajadores»","")))</f>
        <v/>
      </c>
      <c r="X337" s="20">
        <f t="shared" si="110"/>
        <v>0</v>
      </c>
      <c r="Y337" s="20">
        <f t="shared" si="111"/>
        <v>0</v>
      </c>
      <c r="Z337" s="20">
        <f t="shared" si="112"/>
        <v>0</v>
      </c>
      <c r="AA337" s="20">
        <f t="shared" si="113"/>
        <v>0</v>
      </c>
      <c r="AB337" s="20">
        <f t="shared" si="114"/>
        <v>0</v>
      </c>
      <c r="AC337" s="20">
        <f t="shared" si="115"/>
        <v>0</v>
      </c>
      <c r="AD337" s="20">
        <f>IF(A337="",21/24,MOD(VLOOKUP(A337,Parámetros!$A$24:$B$25,2,TRUE()),1))</f>
        <v>0.875</v>
      </c>
      <c r="AE337" s="5">
        <f>IF(A337="",0,IF(OR(WEEKDAY(A337,2)=7,COUNTIF(Festivos!$A$5:$A$451,A337)&gt;0),1,0))</f>
        <v>0</v>
      </c>
      <c r="AF337" s="5">
        <f>IF(A337="",0,IF(OR(WEEKDAY(A337+1,2)=7,COUNTIF(Festivos!$A$5:$A$451,A337+1)&gt;0),1,0))</f>
        <v>0</v>
      </c>
      <c r="AG337" s="9">
        <f>IF(A337="",0,VLOOKUP(A337,Parámetros!$A$18:$B$21,2,TRUE()))</f>
        <v>0</v>
      </c>
      <c r="AH337" s="20">
        <f t="shared" si="116"/>
        <v>0</v>
      </c>
      <c r="AI337" s="20">
        <f>MAX(0,MIN(AB337,Parámetros!$B$11)-MAX(X337,0))+MAX(0,MIN(AB337,1+Parámetros!$B$11)-MAX(X337,AD337))+MAX(0,MIN(AB337,2)-MAX(X337,1+AD337))</f>
        <v>0</v>
      </c>
      <c r="AJ337" s="20">
        <f t="shared" si="117"/>
        <v>0</v>
      </c>
      <c r="AK337" s="20">
        <f>AE337*(MAX(0,MIN(AB337,Parámetros!$B$11)-MAX(X337,0))+MAX(0,MIN(AB337,1)-MAX(X337,AD337)))+AF337*(MAX(0,MIN(AB337,1+Parámetros!$B$11)-MAX(X337,1))+MAX(0,MIN(AB337,2)-MAX(X337,1+AD337)))</f>
        <v>0</v>
      </c>
      <c r="AL337" s="20">
        <f t="shared" si="118"/>
        <v>0</v>
      </c>
      <c r="AM337" s="20">
        <f>MAX(0,MIN(AC337,Parámetros!$B$11)-MAX(AB337,0))+MAX(0,MIN(AC337,1+Parámetros!$B$11)-MAX(AB337,AD337))+MAX(0,MIN(AC337,2)-MAX(AB337,1+AD337))</f>
        <v>0</v>
      </c>
      <c r="AN337" s="20">
        <f t="shared" si="119"/>
        <v>0</v>
      </c>
      <c r="AO337" s="20">
        <f>AE337*(MAX(0,MIN(AC337,Parámetros!$B$11)-MAX(AB337,0))+MAX(0,MIN(AC337,1)-MAX(AB337,AD337)))+AF337*(MAX(0,MIN(AC337,1+Parámetros!$B$11)-MAX(AB337,1))+MAX(0,MIN(AC337,2)-MAX(AB337,1+AD337)))</f>
        <v>0</v>
      </c>
    </row>
    <row r="338" spans="1:41" x14ac:dyDescent="0.25">
      <c r="A338" s="15"/>
      <c r="B338" s="8"/>
      <c r="C338" s="5" t="str">
        <f>IF(B338="","",IFERROR(INDEX(Trabajadores!$B$5:$B$204,MATCH(B338,Trabajadores!$A$5:$A$204,0)),"Cédula no registrada"))</f>
        <v/>
      </c>
      <c r="D338" s="11"/>
      <c r="E338" s="11"/>
      <c r="F338" s="8"/>
      <c r="G338" s="18" t="str">
        <f>IF(A338="","",IFERROR(INDEX(Trabajadores!$E$5:$E$204,MATCH(B338,Trabajadores!$A$5:$A$204,0))/Parámetros!$B$6,0)+IF(IFERROR(INDEX(Trabajadores!$E$5:$E$204,MATCH(B338,Trabajadores!$A$5:$A$204,0)),"")="",Parámetros!$B$7,0))</f>
        <v/>
      </c>
      <c r="H338" s="5" t="str">
        <f t="shared" si="100"/>
        <v/>
      </c>
      <c r="I338" s="5" t="str">
        <f>IF(A338="","",IF(COUNTIF(Festivos!$A$5:$A$451,A338)&gt;0,"Festivo",IF(WEEKDAY(A338,2)=7,"Domingo",IF(AND(AF338=1,AC338&gt;1),IF(COUNTIF(Festivos!$A$5:$A$451,A338+1)&gt;0,"Festivo","Domingo")&amp;" desde las 00:00",""))))</f>
        <v/>
      </c>
      <c r="J338" s="19" t="str">
        <f t="shared" si="101"/>
        <v/>
      </c>
      <c r="K338" s="19" t="str">
        <f t="shared" si="102"/>
        <v/>
      </c>
      <c r="L338" s="19" t="str">
        <f t="shared" si="103"/>
        <v/>
      </c>
      <c r="M338" s="19" t="str">
        <f t="shared" si="104"/>
        <v/>
      </c>
      <c r="N338" s="19" t="str">
        <f t="shared" si="105"/>
        <v/>
      </c>
      <c r="O338" s="19" t="str">
        <f t="shared" si="106"/>
        <v/>
      </c>
      <c r="P338" s="19" t="str">
        <f t="shared" si="107"/>
        <v/>
      </c>
      <c r="Q338" s="19" t="str">
        <f t="shared" si="108"/>
        <v/>
      </c>
      <c r="R338" s="19" t="str">
        <f t="shared" si="109"/>
        <v/>
      </c>
      <c r="S338" s="17" t="str">
        <f>IF(B338="","",IFERROR(INDEX(Trabajadores!$G$5:$G$204,MATCH(B338,Trabajadores!$A$5:$A$204,0)),""))</f>
        <v/>
      </c>
      <c r="T338" s="17" t="str">
        <f>IF(OR(OR(A338="",D338="",E338=""),S338=""),"",ROUND(S338*(N(L338)*Parámetros!$B$8+N(M338)*(1+Parámetros!$B$9)+N(N338)*(1+Parámetros!$B$10)+N(O338)*(1+AG338)+N(P338)*(1+AG338+Parámetros!$B$8)+N(Q338)*(1+AG338+Parámetros!$B$9)+N(R338)*(1+AG338+Parámetros!$B$10)),0))</f>
        <v/>
      </c>
      <c r="U338" s="5" t="str">
        <f>IF(OR(A338="",D338="",E338=""),"",IF(N(M338)+N(N338)+N(Q338)+N(R338)&gt;Parámetros!$B$12,"Supera el límite de horas extras diarias",IF(C338="Cédula no registrada","Registre la cédula en «Trabajadores»","")))</f>
        <v/>
      </c>
      <c r="X338" s="20">
        <f t="shared" si="110"/>
        <v>0</v>
      </c>
      <c r="Y338" s="20">
        <f t="shared" si="111"/>
        <v>0</v>
      </c>
      <c r="Z338" s="20">
        <f t="shared" si="112"/>
        <v>0</v>
      </c>
      <c r="AA338" s="20">
        <f t="shared" si="113"/>
        <v>0</v>
      </c>
      <c r="AB338" s="20">
        <f t="shared" si="114"/>
        <v>0</v>
      </c>
      <c r="AC338" s="20">
        <f t="shared" si="115"/>
        <v>0</v>
      </c>
      <c r="AD338" s="20">
        <f>IF(A338="",21/24,MOD(VLOOKUP(A338,Parámetros!$A$24:$B$25,2,TRUE()),1))</f>
        <v>0.875</v>
      </c>
      <c r="AE338" s="5">
        <f>IF(A338="",0,IF(OR(WEEKDAY(A338,2)=7,COUNTIF(Festivos!$A$5:$A$451,A338)&gt;0),1,0))</f>
        <v>0</v>
      </c>
      <c r="AF338" s="5">
        <f>IF(A338="",0,IF(OR(WEEKDAY(A338+1,2)=7,COUNTIF(Festivos!$A$5:$A$451,A338+1)&gt;0),1,0))</f>
        <v>0</v>
      </c>
      <c r="AG338" s="9">
        <f>IF(A338="",0,VLOOKUP(A338,Parámetros!$A$18:$B$21,2,TRUE()))</f>
        <v>0</v>
      </c>
      <c r="AH338" s="20">
        <f t="shared" si="116"/>
        <v>0</v>
      </c>
      <c r="AI338" s="20">
        <f>MAX(0,MIN(AB338,Parámetros!$B$11)-MAX(X338,0))+MAX(0,MIN(AB338,1+Parámetros!$B$11)-MAX(X338,AD338))+MAX(0,MIN(AB338,2)-MAX(X338,1+AD338))</f>
        <v>0</v>
      </c>
      <c r="AJ338" s="20">
        <f t="shared" si="117"/>
        <v>0</v>
      </c>
      <c r="AK338" s="20">
        <f>AE338*(MAX(0,MIN(AB338,Parámetros!$B$11)-MAX(X338,0))+MAX(0,MIN(AB338,1)-MAX(X338,AD338)))+AF338*(MAX(0,MIN(AB338,1+Parámetros!$B$11)-MAX(X338,1))+MAX(0,MIN(AB338,2)-MAX(X338,1+AD338)))</f>
        <v>0</v>
      </c>
      <c r="AL338" s="20">
        <f t="shared" si="118"/>
        <v>0</v>
      </c>
      <c r="AM338" s="20">
        <f>MAX(0,MIN(AC338,Parámetros!$B$11)-MAX(AB338,0))+MAX(0,MIN(AC338,1+Parámetros!$B$11)-MAX(AB338,AD338))+MAX(0,MIN(AC338,2)-MAX(AB338,1+AD338))</f>
        <v>0</v>
      </c>
      <c r="AN338" s="20">
        <f t="shared" si="119"/>
        <v>0</v>
      </c>
      <c r="AO338" s="20">
        <f>AE338*(MAX(0,MIN(AC338,Parámetros!$B$11)-MAX(AB338,0))+MAX(0,MIN(AC338,1)-MAX(AB338,AD338)))+AF338*(MAX(0,MIN(AC338,1+Parámetros!$B$11)-MAX(AB338,1))+MAX(0,MIN(AC338,2)-MAX(AB338,1+AD338)))</f>
        <v>0</v>
      </c>
    </row>
    <row r="339" spans="1:41" x14ac:dyDescent="0.25">
      <c r="A339" s="15"/>
      <c r="B339" s="8"/>
      <c r="C339" s="5" t="str">
        <f>IF(B339="","",IFERROR(INDEX(Trabajadores!$B$5:$B$204,MATCH(B339,Trabajadores!$A$5:$A$204,0)),"Cédula no registrada"))</f>
        <v/>
      </c>
      <c r="D339" s="11"/>
      <c r="E339" s="11"/>
      <c r="F339" s="8"/>
      <c r="G339" s="18" t="str">
        <f>IF(A339="","",IFERROR(INDEX(Trabajadores!$E$5:$E$204,MATCH(B339,Trabajadores!$A$5:$A$204,0))/Parámetros!$B$6,0)+IF(IFERROR(INDEX(Trabajadores!$E$5:$E$204,MATCH(B339,Trabajadores!$A$5:$A$204,0)),"")="",Parámetros!$B$7,0))</f>
        <v/>
      </c>
      <c r="H339" s="5" t="str">
        <f t="shared" si="100"/>
        <v/>
      </c>
      <c r="I339" s="5" t="str">
        <f>IF(A339="","",IF(COUNTIF(Festivos!$A$5:$A$451,A339)&gt;0,"Festivo",IF(WEEKDAY(A339,2)=7,"Domingo",IF(AND(AF339=1,AC339&gt;1),IF(COUNTIF(Festivos!$A$5:$A$451,A339+1)&gt;0,"Festivo","Domingo")&amp;" desde las 00:00",""))))</f>
        <v/>
      </c>
      <c r="J339" s="19" t="str">
        <f t="shared" si="101"/>
        <v/>
      </c>
      <c r="K339" s="19" t="str">
        <f t="shared" si="102"/>
        <v/>
      </c>
      <c r="L339" s="19" t="str">
        <f t="shared" si="103"/>
        <v/>
      </c>
      <c r="M339" s="19" t="str">
        <f t="shared" si="104"/>
        <v/>
      </c>
      <c r="N339" s="19" t="str">
        <f t="shared" si="105"/>
        <v/>
      </c>
      <c r="O339" s="19" t="str">
        <f t="shared" si="106"/>
        <v/>
      </c>
      <c r="P339" s="19" t="str">
        <f t="shared" si="107"/>
        <v/>
      </c>
      <c r="Q339" s="19" t="str">
        <f t="shared" si="108"/>
        <v/>
      </c>
      <c r="R339" s="19" t="str">
        <f t="shared" si="109"/>
        <v/>
      </c>
      <c r="S339" s="17" t="str">
        <f>IF(B339="","",IFERROR(INDEX(Trabajadores!$G$5:$G$204,MATCH(B339,Trabajadores!$A$5:$A$204,0)),""))</f>
        <v/>
      </c>
      <c r="T339" s="17" t="str">
        <f>IF(OR(OR(A339="",D339="",E339=""),S339=""),"",ROUND(S339*(N(L339)*Parámetros!$B$8+N(M339)*(1+Parámetros!$B$9)+N(N339)*(1+Parámetros!$B$10)+N(O339)*(1+AG339)+N(P339)*(1+AG339+Parámetros!$B$8)+N(Q339)*(1+AG339+Parámetros!$B$9)+N(R339)*(1+AG339+Parámetros!$B$10)),0))</f>
        <v/>
      </c>
      <c r="U339" s="5" t="str">
        <f>IF(OR(A339="",D339="",E339=""),"",IF(N(M339)+N(N339)+N(Q339)+N(R339)&gt;Parámetros!$B$12,"Supera el límite de horas extras diarias",IF(C339="Cédula no registrada","Registre la cédula en «Trabajadores»","")))</f>
        <v/>
      </c>
      <c r="X339" s="20">
        <f t="shared" si="110"/>
        <v>0</v>
      </c>
      <c r="Y339" s="20">
        <f t="shared" si="111"/>
        <v>0</v>
      </c>
      <c r="Z339" s="20">
        <f t="shared" si="112"/>
        <v>0</v>
      </c>
      <c r="AA339" s="20">
        <f t="shared" si="113"/>
        <v>0</v>
      </c>
      <c r="AB339" s="20">
        <f t="shared" si="114"/>
        <v>0</v>
      </c>
      <c r="AC339" s="20">
        <f t="shared" si="115"/>
        <v>0</v>
      </c>
      <c r="AD339" s="20">
        <f>IF(A339="",21/24,MOD(VLOOKUP(A339,Parámetros!$A$24:$B$25,2,TRUE()),1))</f>
        <v>0.875</v>
      </c>
      <c r="AE339" s="5">
        <f>IF(A339="",0,IF(OR(WEEKDAY(A339,2)=7,COUNTIF(Festivos!$A$5:$A$451,A339)&gt;0),1,0))</f>
        <v>0</v>
      </c>
      <c r="AF339" s="5">
        <f>IF(A339="",0,IF(OR(WEEKDAY(A339+1,2)=7,COUNTIF(Festivos!$A$5:$A$451,A339+1)&gt;0),1,0))</f>
        <v>0</v>
      </c>
      <c r="AG339" s="9">
        <f>IF(A339="",0,VLOOKUP(A339,Parámetros!$A$18:$B$21,2,TRUE()))</f>
        <v>0</v>
      </c>
      <c r="AH339" s="20">
        <f t="shared" si="116"/>
        <v>0</v>
      </c>
      <c r="AI339" s="20">
        <f>MAX(0,MIN(AB339,Parámetros!$B$11)-MAX(X339,0))+MAX(0,MIN(AB339,1+Parámetros!$B$11)-MAX(X339,AD339))+MAX(0,MIN(AB339,2)-MAX(X339,1+AD339))</f>
        <v>0</v>
      </c>
      <c r="AJ339" s="20">
        <f t="shared" si="117"/>
        <v>0</v>
      </c>
      <c r="AK339" s="20">
        <f>AE339*(MAX(0,MIN(AB339,Parámetros!$B$11)-MAX(X339,0))+MAX(0,MIN(AB339,1)-MAX(X339,AD339)))+AF339*(MAX(0,MIN(AB339,1+Parámetros!$B$11)-MAX(X339,1))+MAX(0,MIN(AB339,2)-MAX(X339,1+AD339)))</f>
        <v>0</v>
      </c>
      <c r="AL339" s="20">
        <f t="shared" si="118"/>
        <v>0</v>
      </c>
      <c r="AM339" s="20">
        <f>MAX(0,MIN(AC339,Parámetros!$B$11)-MAX(AB339,0))+MAX(0,MIN(AC339,1+Parámetros!$B$11)-MAX(AB339,AD339))+MAX(0,MIN(AC339,2)-MAX(AB339,1+AD339))</f>
        <v>0</v>
      </c>
      <c r="AN339" s="20">
        <f t="shared" si="119"/>
        <v>0</v>
      </c>
      <c r="AO339" s="20">
        <f>AE339*(MAX(0,MIN(AC339,Parámetros!$B$11)-MAX(AB339,0))+MAX(0,MIN(AC339,1)-MAX(AB339,AD339)))+AF339*(MAX(0,MIN(AC339,1+Parámetros!$B$11)-MAX(AB339,1))+MAX(0,MIN(AC339,2)-MAX(AB339,1+AD339)))</f>
        <v>0</v>
      </c>
    </row>
    <row r="340" spans="1:41" x14ac:dyDescent="0.25">
      <c r="A340" s="15"/>
      <c r="B340" s="8"/>
      <c r="C340" s="5" t="str">
        <f>IF(B340="","",IFERROR(INDEX(Trabajadores!$B$5:$B$204,MATCH(B340,Trabajadores!$A$5:$A$204,0)),"Cédula no registrada"))</f>
        <v/>
      </c>
      <c r="D340" s="11"/>
      <c r="E340" s="11"/>
      <c r="F340" s="8"/>
      <c r="G340" s="18" t="str">
        <f>IF(A340="","",IFERROR(INDEX(Trabajadores!$E$5:$E$204,MATCH(B340,Trabajadores!$A$5:$A$204,0))/Parámetros!$B$6,0)+IF(IFERROR(INDEX(Trabajadores!$E$5:$E$204,MATCH(B340,Trabajadores!$A$5:$A$204,0)),"")="",Parámetros!$B$7,0))</f>
        <v/>
      </c>
      <c r="H340" s="5" t="str">
        <f t="shared" si="100"/>
        <v/>
      </c>
      <c r="I340" s="5" t="str">
        <f>IF(A340="","",IF(COUNTIF(Festivos!$A$5:$A$451,A340)&gt;0,"Festivo",IF(WEEKDAY(A340,2)=7,"Domingo",IF(AND(AF340=1,AC340&gt;1),IF(COUNTIF(Festivos!$A$5:$A$451,A340+1)&gt;0,"Festivo","Domingo")&amp;" desde las 00:00",""))))</f>
        <v/>
      </c>
      <c r="J340" s="19" t="str">
        <f t="shared" si="101"/>
        <v/>
      </c>
      <c r="K340" s="19" t="str">
        <f t="shared" si="102"/>
        <v/>
      </c>
      <c r="L340" s="19" t="str">
        <f t="shared" si="103"/>
        <v/>
      </c>
      <c r="M340" s="19" t="str">
        <f t="shared" si="104"/>
        <v/>
      </c>
      <c r="N340" s="19" t="str">
        <f t="shared" si="105"/>
        <v/>
      </c>
      <c r="O340" s="19" t="str">
        <f t="shared" si="106"/>
        <v/>
      </c>
      <c r="P340" s="19" t="str">
        <f t="shared" si="107"/>
        <v/>
      </c>
      <c r="Q340" s="19" t="str">
        <f t="shared" si="108"/>
        <v/>
      </c>
      <c r="R340" s="19" t="str">
        <f t="shared" si="109"/>
        <v/>
      </c>
      <c r="S340" s="17" t="str">
        <f>IF(B340="","",IFERROR(INDEX(Trabajadores!$G$5:$G$204,MATCH(B340,Trabajadores!$A$5:$A$204,0)),""))</f>
        <v/>
      </c>
      <c r="T340" s="17" t="str">
        <f>IF(OR(OR(A340="",D340="",E340=""),S340=""),"",ROUND(S340*(N(L340)*Parámetros!$B$8+N(M340)*(1+Parámetros!$B$9)+N(N340)*(1+Parámetros!$B$10)+N(O340)*(1+AG340)+N(P340)*(1+AG340+Parámetros!$B$8)+N(Q340)*(1+AG340+Parámetros!$B$9)+N(R340)*(1+AG340+Parámetros!$B$10)),0))</f>
        <v/>
      </c>
      <c r="U340" s="5" t="str">
        <f>IF(OR(A340="",D340="",E340=""),"",IF(N(M340)+N(N340)+N(Q340)+N(R340)&gt;Parámetros!$B$12,"Supera el límite de horas extras diarias",IF(C340="Cédula no registrada","Registre la cédula en «Trabajadores»","")))</f>
        <v/>
      </c>
      <c r="X340" s="20">
        <f t="shared" si="110"/>
        <v>0</v>
      </c>
      <c r="Y340" s="20">
        <f t="shared" si="111"/>
        <v>0</v>
      </c>
      <c r="Z340" s="20">
        <f t="shared" si="112"/>
        <v>0</v>
      </c>
      <c r="AA340" s="20">
        <f t="shared" si="113"/>
        <v>0</v>
      </c>
      <c r="AB340" s="20">
        <f t="shared" si="114"/>
        <v>0</v>
      </c>
      <c r="AC340" s="20">
        <f t="shared" si="115"/>
        <v>0</v>
      </c>
      <c r="AD340" s="20">
        <f>IF(A340="",21/24,MOD(VLOOKUP(A340,Parámetros!$A$24:$B$25,2,TRUE()),1))</f>
        <v>0.875</v>
      </c>
      <c r="AE340" s="5">
        <f>IF(A340="",0,IF(OR(WEEKDAY(A340,2)=7,COUNTIF(Festivos!$A$5:$A$451,A340)&gt;0),1,0))</f>
        <v>0</v>
      </c>
      <c r="AF340" s="5">
        <f>IF(A340="",0,IF(OR(WEEKDAY(A340+1,2)=7,COUNTIF(Festivos!$A$5:$A$451,A340+1)&gt;0),1,0))</f>
        <v>0</v>
      </c>
      <c r="AG340" s="9">
        <f>IF(A340="",0,VLOOKUP(A340,Parámetros!$A$18:$B$21,2,TRUE()))</f>
        <v>0</v>
      </c>
      <c r="AH340" s="20">
        <f t="shared" si="116"/>
        <v>0</v>
      </c>
      <c r="AI340" s="20">
        <f>MAX(0,MIN(AB340,Parámetros!$B$11)-MAX(X340,0))+MAX(0,MIN(AB340,1+Parámetros!$B$11)-MAX(X340,AD340))+MAX(0,MIN(AB340,2)-MAX(X340,1+AD340))</f>
        <v>0</v>
      </c>
      <c r="AJ340" s="20">
        <f t="shared" si="117"/>
        <v>0</v>
      </c>
      <c r="AK340" s="20">
        <f>AE340*(MAX(0,MIN(AB340,Parámetros!$B$11)-MAX(X340,0))+MAX(0,MIN(AB340,1)-MAX(X340,AD340)))+AF340*(MAX(0,MIN(AB340,1+Parámetros!$B$11)-MAX(X340,1))+MAX(0,MIN(AB340,2)-MAX(X340,1+AD340)))</f>
        <v>0</v>
      </c>
      <c r="AL340" s="20">
        <f t="shared" si="118"/>
        <v>0</v>
      </c>
      <c r="AM340" s="20">
        <f>MAX(0,MIN(AC340,Parámetros!$B$11)-MAX(AB340,0))+MAX(0,MIN(AC340,1+Parámetros!$B$11)-MAX(AB340,AD340))+MAX(0,MIN(AC340,2)-MAX(AB340,1+AD340))</f>
        <v>0</v>
      </c>
      <c r="AN340" s="20">
        <f t="shared" si="119"/>
        <v>0</v>
      </c>
      <c r="AO340" s="20">
        <f>AE340*(MAX(0,MIN(AC340,Parámetros!$B$11)-MAX(AB340,0))+MAX(0,MIN(AC340,1)-MAX(AB340,AD340)))+AF340*(MAX(0,MIN(AC340,1+Parámetros!$B$11)-MAX(AB340,1))+MAX(0,MIN(AC340,2)-MAX(AB340,1+AD340)))</f>
        <v>0</v>
      </c>
    </row>
    <row r="341" spans="1:41" x14ac:dyDescent="0.25">
      <c r="A341" s="15"/>
      <c r="B341" s="8"/>
      <c r="C341" s="5" t="str">
        <f>IF(B341="","",IFERROR(INDEX(Trabajadores!$B$5:$B$204,MATCH(B341,Trabajadores!$A$5:$A$204,0)),"Cédula no registrada"))</f>
        <v/>
      </c>
      <c r="D341" s="11"/>
      <c r="E341" s="11"/>
      <c r="F341" s="8"/>
      <c r="G341" s="18" t="str">
        <f>IF(A341="","",IFERROR(INDEX(Trabajadores!$E$5:$E$204,MATCH(B341,Trabajadores!$A$5:$A$204,0))/Parámetros!$B$6,0)+IF(IFERROR(INDEX(Trabajadores!$E$5:$E$204,MATCH(B341,Trabajadores!$A$5:$A$204,0)),"")="",Parámetros!$B$7,0))</f>
        <v/>
      </c>
      <c r="H341" s="5" t="str">
        <f t="shared" si="100"/>
        <v/>
      </c>
      <c r="I341" s="5" t="str">
        <f>IF(A341="","",IF(COUNTIF(Festivos!$A$5:$A$451,A341)&gt;0,"Festivo",IF(WEEKDAY(A341,2)=7,"Domingo",IF(AND(AF341=1,AC341&gt;1),IF(COUNTIF(Festivos!$A$5:$A$451,A341+1)&gt;0,"Festivo","Domingo")&amp;" desde las 00:00",""))))</f>
        <v/>
      </c>
      <c r="J341" s="19" t="str">
        <f t="shared" si="101"/>
        <v/>
      </c>
      <c r="K341" s="19" t="str">
        <f t="shared" si="102"/>
        <v/>
      </c>
      <c r="L341" s="19" t="str">
        <f t="shared" si="103"/>
        <v/>
      </c>
      <c r="M341" s="19" t="str">
        <f t="shared" si="104"/>
        <v/>
      </c>
      <c r="N341" s="19" t="str">
        <f t="shared" si="105"/>
        <v/>
      </c>
      <c r="O341" s="19" t="str">
        <f t="shared" si="106"/>
        <v/>
      </c>
      <c r="P341" s="19" t="str">
        <f t="shared" si="107"/>
        <v/>
      </c>
      <c r="Q341" s="19" t="str">
        <f t="shared" si="108"/>
        <v/>
      </c>
      <c r="R341" s="19" t="str">
        <f t="shared" si="109"/>
        <v/>
      </c>
      <c r="S341" s="17" t="str">
        <f>IF(B341="","",IFERROR(INDEX(Trabajadores!$G$5:$G$204,MATCH(B341,Trabajadores!$A$5:$A$204,0)),""))</f>
        <v/>
      </c>
      <c r="T341" s="17" t="str">
        <f>IF(OR(OR(A341="",D341="",E341=""),S341=""),"",ROUND(S341*(N(L341)*Parámetros!$B$8+N(M341)*(1+Parámetros!$B$9)+N(N341)*(1+Parámetros!$B$10)+N(O341)*(1+AG341)+N(P341)*(1+AG341+Parámetros!$B$8)+N(Q341)*(1+AG341+Parámetros!$B$9)+N(R341)*(1+AG341+Parámetros!$B$10)),0))</f>
        <v/>
      </c>
      <c r="U341" s="5" t="str">
        <f>IF(OR(A341="",D341="",E341=""),"",IF(N(M341)+N(N341)+N(Q341)+N(R341)&gt;Parámetros!$B$12,"Supera el límite de horas extras diarias",IF(C341="Cédula no registrada","Registre la cédula en «Trabajadores»","")))</f>
        <v/>
      </c>
      <c r="X341" s="20">
        <f t="shared" si="110"/>
        <v>0</v>
      </c>
      <c r="Y341" s="20">
        <f t="shared" si="111"/>
        <v>0</v>
      </c>
      <c r="Z341" s="20">
        <f t="shared" si="112"/>
        <v>0</v>
      </c>
      <c r="AA341" s="20">
        <f t="shared" si="113"/>
        <v>0</v>
      </c>
      <c r="AB341" s="20">
        <f t="shared" si="114"/>
        <v>0</v>
      </c>
      <c r="AC341" s="20">
        <f t="shared" si="115"/>
        <v>0</v>
      </c>
      <c r="AD341" s="20">
        <f>IF(A341="",21/24,MOD(VLOOKUP(A341,Parámetros!$A$24:$B$25,2,TRUE()),1))</f>
        <v>0.875</v>
      </c>
      <c r="AE341" s="5">
        <f>IF(A341="",0,IF(OR(WEEKDAY(A341,2)=7,COUNTIF(Festivos!$A$5:$A$451,A341)&gt;0),1,0))</f>
        <v>0</v>
      </c>
      <c r="AF341" s="5">
        <f>IF(A341="",0,IF(OR(WEEKDAY(A341+1,2)=7,COUNTIF(Festivos!$A$5:$A$451,A341+1)&gt;0),1,0))</f>
        <v>0</v>
      </c>
      <c r="AG341" s="9">
        <f>IF(A341="",0,VLOOKUP(A341,Parámetros!$A$18:$B$21,2,TRUE()))</f>
        <v>0</v>
      </c>
      <c r="AH341" s="20">
        <f t="shared" si="116"/>
        <v>0</v>
      </c>
      <c r="AI341" s="20">
        <f>MAX(0,MIN(AB341,Parámetros!$B$11)-MAX(X341,0))+MAX(0,MIN(AB341,1+Parámetros!$B$11)-MAX(X341,AD341))+MAX(0,MIN(AB341,2)-MAX(X341,1+AD341))</f>
        <v>0</v>
      </c>
      <c r="AJ341" s="20">
        <f t="shared" si="117"/>
        <v>0</v>
      </c>
      <c r="AK341" s="20">
        <f>AE341*(MAX(0,MIN(AB341,Parámetros!$B$11)-MAX(X341,0))+MAX(0,MIN(AB341,1)-MAX(X341,AD341)))+AF341*(MAX(0,MIN(AB341,1+Parámetros!$B$11)-MAX(X341,1))+MAX(0,MIN(AB341,2)-MAX(X341,1+AD341)))</f>
        <v>0</v>
      </c>
      <c r="AL341" s="20">
        <f t="shared" si="118"/>
        <v>0</v>
      </c>
      <c r="AM341" s="20">
        <f>MAX(0,MIN(AC341,Parámetros!$B$11)-MAX(AB341,0))+MAX(0,MIN(AC341,1+Parámetros!$B$11)-MAX(AB341,AD341))+MAX(0,MIN(AC341,2)-MAX(AB341,1+AD341))</f>
        <v>0</v>
      </c>
      <c r="AN341" s="20">
        <f t="shared" si="119"/>
        <v>0</v>
      </c>
      <c r="AO341" s="20">
        <f>AE341*(MAX(0,MIN(AC341,Parámetros!$B$11)-MAX(AB341,0))+MAX(0,MIN(AC341,1)-MAX(AB341,AD341)))+AF341*(MAX(0,MIN(AC341,1+Parámetros!$B$11)-MAX(AB341,1))+MAX(0,MIN(AC341,2)-MAX(AB341,1+AD341)))</f>
        <v>0</v>
      </c>
    </row>
    <row r="342" spans="1:41" x14ac:dyDescent="0.25">
      <c r="A342" s="15"/>
      <c r="B342" s="8"/>
      <c r="C342" s="5" t="str">
        <f>IF(B342="","",IFERROR(INDEX(Trabajadores!$B$5:$B$204,MATCH(B342,Trabajadores!$A$5:$A$204,0)),"Cédula no registrada"))</f>
        <v/>
      </c>
      <c r="D342" s="11"/>
      <c r="E342" s="11"/>
      <c r="F342" s="8"/>
      <c r="G342" s="18" t="str">
        <f>IF(A342="","",IFERROR(INDEX(Trabajadores!$E$5:$E$204,MATCH(B342,Trabajadores!$A$5:$A$204,0))/Parámetros!$B$6,0)+IF(IFERROR(INDEX(Trabajadores!$E$5:$E$204,MATCH(B342,Trabajadores!$A$5:$A$204,0)),"")="",Parámetros!$B$7,0))</f>
        <v/>
      </c>
      <c r="H342" s="5" t="str">
        <f t="shared" si="100"/>
        <v/>
      </c>
      <c r="I342" s="5" t="str">
        <f>IF(A342="","",IF(COUNTIF(Festivos!$A$5:$A$451,A342)&gt;0,"Festivo",IF(WEEKDAY(A342,2)=7,"Domingo",IF(AND(AF342=1,AC342&gt;1),IF(COUNTIF(Festivos!$A$5:$A$451,A342+1)&gt;0,"Festivo","Domingo")&amp;" desde las 00:00",""))))</f>
        <v/>
      </c>
      <c r="J342" s="19" t="str">
        <f t="shared" si="101"/>
        <v/>
      </c>
      <c r="K342" s="19" t="str">
        <f t="shared" si="102"/>
        <v/>
      </c>
      <c r="L342" s="19" t="str">
        <f t="shared" si="103"/>
        <v/>
      </c>
      <c r="M342" s="19" t="str">
        <f t="shared" si="104"/>
        <v/>
      </c>
      <c r="N342" s="19" t="str">
        <f t="shared" si="105"/>
        <v/>
      </c>
      <c r="O342" s="19" t="str">
        <f t="shared" si="106"/>
        <v/>
      </c>
      <c r="P342" s="19" t="str">
        <f t="shared" si="107"/>
        <v/>
      </c>
      <c r="Q342" s="19" t="str">
        <f t="shared" si="108"/>
        <v/>
      </c>
      <c r="R342" s="19" t="str">
        <f t="shared" si="109"/>
        <v/>
      </c>
      <c r="S342" s="17" t="str">
        <f>IF(B342="","",IFERROR(INDEX(Trabajadores!$G$5:$G$204,MATCH(B342,Trabajadores!$A$5:$A$204,0)),""))</f>
        <v/>
      </c>
      <c r="T342" s="17" t="str">
        <f>IF(OR(OR(A342="",D342="",E342=""),S342=""),"",ROUND(S342*(N(L342)*Parámetros!$B$8+N(M342)*(1+Parámetros!$B$9)+N(N342)*(1+Parámetros!$B$10)+N(O342)*(1+AG342)+N(P342)*(1+AG342+Parámetros!$B$8)+N(Q342)*(1+AG342+Parámetros!$B$9)+N(R342)*(1+AG342+Parámetros!$B$10)),0))</f>
        <v/>
      </c>
      <c r="U342" s="5" t="str">
        <f>IF(OR(A342="",D342="",E342=""),"",IF(N(M342)+N(N342)+N(Q342)+N(R342)&gt;Parámetros!$B$12,"Supera el límite de horas extras diarias",IF(C342="Cédula no registrada","Registre la cédula en «Trabajadores»","")))</f>
        <v/>
      </c>
      <c r="X342" s="20">
        <f t="shared" si="110"/>
        <v>0</v>
      </c>
      <c r="Y342" s="20">
        <f t="shared" si="111"/>
        <v>0</v>
      </c>
      <c r="Z342" s="20">
        <f t="shared" si="112"/>
        <v>0</v>
      </c>
      <c r="AA342" s="20">
        <f t="shared" si="113"/>
        <v>0</v>
      </c>
      <c r="AB342" s="20">
        <f t="shared" si="114"/>
        <v>0</v>
      </c>
      <c r="AC342" s="20">
        <f t="shared" si="115"/>
        <v>0</v>
      </c>
      <c r="AD342" s="20">
        <f>IF(A342="",21/24,MOD(VLOOKUP(A342,Parámetros!$A$24:$B$25,2,TRUE()),1))</f>
        <v>0.875</v>
      </c>
      <c r="AE342" s="5">
        <f>IF(A342="",0,IF(OR(WEEKDAY(A342,2)=7,COUNTIF(Festivos!$A$5:$A$451,A342)&gt;0),1,0))</f>
        <v>0</v>
      </c>
      <c r="AF342" s="5">
        <f>IF(A342="",0,IF(OR(WEEKDAY(A342+1,2)=7,COUNTIF(Festivos!$A$5:$A$451,A342+1)&gt;0),1,0))</f>
        <v>0</v>
      </c>
      <c r="AG342" s="9">
        <f>IF(A342="",0,VLOOKUP(A342,Parámetros!$A$18:$B$21,2,TRUE()))</f>
        <v>0</v>
      </c>
      <c r="AH342" s="20">
        <f t="shared" si="116"/>
        <v>0</v>
      </c>
      <c r="AI342" s="20">
        <f>MAX(0,MIN(AB342,Parámetros!$B$11)-MAX(X342,0))+MAX(0,MIN(AB342,1+Parámetros!$B$11)-MAX(X342,AD342))+MAX(0,MIN(AB342,2)-MAX(X342,1+AD342))</f>
        <v>0</v>
      </c>
      <c r="AJ342" s="20">
        <f t="shared" si="117"/>
        <v>0</v>
      </c>
      <c r="AK342" s="20">
        <f>AE342*(MAX(0,MIN(AB342,Parámetros!$B$11)-MAX(X342,0))+MAX(0,MIN(AB342,1)-MAX(X342,AD342)))+AF342*(MAX(0,MIN(AB342,1+Parámetros!$B$11)-MAX(X342,1))+MAX(0,MIN(AB342,2)-MAX(X342,1+AD342)))</f>
        <v>0</v>
      </c>
      <c r="AL342" s="20">
        <f t="shared" si="118"/>
        <v>0</v>
      </c>
      <c r="AM342" s="20">
        <f>MAX(0,MIN(AC342,Parámetros!$B$11)-MAX(AB342,0))+MAX(0,MIN(AC342,1+Parámetros!$B$11)-MAX(AB342,AD342))+MAX(0,MIN(AC342,2)-MAX(AB342,1+AD342))</f>
        <v>0</v>
      </c>
      <c r="AN342" s="20">
        <f t="shared" si="119"/>
        <v>0</v>
      </c>
      <c r="AO342" s="20">
        <f>AE342*(MAX(0,MIN(AC342,Parámetros!$B$11)-MAX(AB342,0))+MAX(0,MIN(AC342,1)-MAX(AB342,AD342)))+AF342*(MAX(0,MIN(AC342,1+Parámetros!$B$11)-MAX(AB342,1))+MAX(0,MIN(AC342,2)-MAX(AB342,1+AD342)))</f>
        <v>0</v>
      </c>
    </row>
    <row r="343" spans="1:41" x14ac:dyDescent="0.25">
      <c r="A343" s="15"/>
      <c r="B343" s="8"/>
      <c r="C343" s="5" t="str">
        <f>IF(B343="","",IFERROR(INDEX(Trabajadores!$B$5:$B$204,MATCH(B343,Trabajadores!$A$5:$A$204,0)),"Cédula no registrada"))</f>
        <v/>
      </c>
      <c r="D343" s="11"/>
      <c r="E343" s="11"/>
      <c r="F343" s="8"/>
      <c r="G343" s="18" t="str">
        <f>IF(A343="","",IFERROR(INDEX(Trabajadores!$E$5:$E$204,MATCH(B343,Trabajadores!$A$5:$A$204,0))/Parámetros!$B$6,0)+IF(IFERROR(INDEX(Trabajadores!$E$5:$E$204,MATCH(B343,Trabajadores!$A$5:$A$204,0)),"")="",Parámetros!$B$7,0))</f>
        <v/>
      </c>
      <c r="H343" s="5" t="str">
        <f t="shared" si="100"/>
        <v/>
      </c>
      <c r="I343" s="5" t="str">
        <f>IF(A343="","",IF(COUNTIF(Festivos!$A$5:$A$451,A343)&gt;0,"Festivo",IF(WEEKDAY(A343,2)=7,"Domingo",IF(AND(AF343=1,AC343&gt;1),IF(COUNTIF(Festivos!$A$5:$A$451,A343+1)&gt;0,"Festivo","Domingo")&amp;" desde las 00:00",""))))</f>
        <v/>
      </c>
      <c r="J343" s="19" t="str">
        <f t="shared" si="101"/>
        <v/>
      </c>
      <c r="K343" s="19" t="str">
        <f t="shared" si="102"/>
        <v/>
      </c>
      <c r="L343" s="19" t="str">
        <f t="shared" si="103"/>
        <v/>
      </c>
      <c r="M343" s="19" t="str">
        <f t="shared" si="104"/>
        <v/>
      </c>
      <c r="N343" s="19" t="str">
        <f t="shared" si="105"/>
        <v/>
      </c>
      <c r="O343" s="19" t="str">
        <f t="shared" si="106"/>
        <v/>
      </c>
      <c r="P343" s="19" t="str">
        <f t="shared" si="107"/>
        <v/>
      </c>
      <c r="Q343" s="19" t="str">
        <f t="shared" si="108"/>
        <v/>
      </c>
      <c r="R343" s="19" t="str">
        <f t="shared" si="109"/>
        <v/>
      </c>
      <c r="S343" s="17" t="str">
        <f>IF(B343="","",IFERROR(INDEX(Trabajadores!$G$5:$G$204,MATCH(B343,Trabajadores!$A$5:$A$204,0)),""))</f>
        <v/>
      </c>
      <c r="T343" s="17" t="str">
        <f>IF(OR(OR(A343="",D343="",E343=""),S343=""),"",ROUND(S343*(N(L343)*Parámetros!$B$8+N(M343)*(1+Parámetros!$B$9)+N(N343)*(1+Parámetros!$B$10)+N(O343)*(1+AG343)+N(P343)*(1+AG343+Parámetros!$B$8)+N(Q343)*(1+AG343+Parámetros!$B$9)+N(R343)*(1+AG343+Parámetros!$B$10)),0))</f>
        <v/>
      </c>
      <c r="U343" s="5" t="str">
        <f>IF(OR(A343="",D343="",E343=""),"",IF(N(M343)+N(N343)+N(Q343)+N(R343)&gt;Parámetros!$B$12,"Supera el límite de horas extras diarias",IF(C343="Cédula no registrada","Registre la cédula en «Trabajadores»","")))</f>
        <v/>
      </c>
      <c r="X343" s="20">
        <f t="shared" si="110"/>
        <v>0</v>
      </c>
      <c r="Y343" s="20">
        <f t="shared" si="111"/>
        <v>0</v>
      </c>
      <c r="Z343" s="20">
        <f t="shared" si="112"/>
        <v>0</v>
      </c>
      <c r="AA343" s="20">
        <f t="shared" si="113"/>
        <v>0</v>
      </c>
      <c r="AB343" s="20">
        <f t="shared" si="114"/>
        <v>0</v>
      </c>
      <c r="AC343" s="20">
        <f t="shared" si="115"/>
        <v>0</v>
      </c>
      <c r="AD343" s="20">
        <f>IF(A343="",21/24,MOD(VLOOKUP(A343,Parámetros!$A$24:$B$25,2,TRUE()),1))</f>
        <v>0.875</v>
      </c>
      <c r="AE343" s="5">
        <f>IF(A343="",0,IF(OR(WEEKDAY(A343,2)=7,COUNTIF(Festivos!$A$5:$A$451,A343)&gt;0),1,0))</f>
        <v>0</v>
      </c>
      <c r="AF343" s="5">
        <f>IF(A343="",0,IF(OR(WEEKDAY(A343+1,2)=7,COUNTIF(Festivos!$A$5:$A$451,A343+1)&gt;0),1,0))</f>
        <v>0</v>
      </c>
      <c r="AG343" s="9">
        <f>IF(A343="",0,VLOOKUP(A343,Parámetros!$A$18:$B$21,2,TRUE()))</f>
        <v>0</v>
      </c>
      <c r="AH343" s="20">
        <f t="shared" si="116"/>
        <v>0</v>
      </c>
      <c r="AI343" s="20">
        <f>MAX(0,MIN(AB343,Parámetros!$B$11)-MAX(X343,0))+MAX(0,MIN(AB343,1+Parámetros!$B$11)-MAX(X343,AD343))+MAX(0,MIN(AB343,2)-MAX(X343,1+AD343))</f>
        <v>0</v>
      </c>
      <c r="AJ343" s="20">
        <f t="shared" si="117"/>
        <v>0</v>
      </c>
      <c r="AK343" s="20">
        <f>AE343*(MAX(0,MIN(AB343,Parámetros!$B$11)-MAX(X343,0))+MAX(0,MIN(AB343,1)-MAX(X343,AD343)))+AF343*(MAX(0,MIN(AB343,1+Parámetros!$B$11)-MAX(X343,1))+MAX(0,MIN(AB343,2)-MAX(X343,1+AD343)))</f>
        <v>0</v>
      </c>
      <c r="AL343" s="20">
        <f t="shared" si="118"/>
        <v>0</v>
      </c>
      <c r="AM343" s="20">
        <f>MAX(0,MIN(AC343,Parámetros!$B$11)-MAX(AB343,0))+MAX(0,MIN(AC343,1+Parámetros!$B$11)-MAX(AB343,AD343))+MAX(0,MIN(AC343,2)-MAX(AB343,1+AD343))</f>
        <v>0</v>
      </c>
      <c r="AN343" s="20">
        <f t="shared" si="119"/>
        <v>0</v>
      </c>
      <c r="AO343" s="20">
        <f>AE343*(MAX(0,MIN(AC343,Parámetros!$B$11)-MAX(AB343,0))+MAX(0,MIN(AC343,1)-MAX(AB343,AD343)))+AF343*(MAX(0,MIN(AC343,1+Parámetros!$B$11)-MAX(AB343,1))+MAX(0,MIN(AC343,2)-MAX(AB343,1+AD343)))</f>
        <v>0</v>
      </c>
    </row>
    <row r="344" spans="1:41" x14ac:dyDescent="0.25">
      <c r="A344" s="15"/>
      <c r="B344" s="8"/>
      <c r="C344" s="5" t="str">
        <f>IF(B344="","",IFERROR(INDEX(Trabajadores!$B$5:$B$204,MATCH(B344,Trabajadores!$A$5:$A$204,0)),"Cédula no registrada"))</f>
        <v/>
      </c>
      <c r="D344" s="11"/>
      <c r="E344" s="11"/>
      <c r="F344" s="8"/>
      <c r="G344" s="18" t="str">
        <f>IF(A344="","",IFERROR(INDEX(Trabajadores!$E$5:$E$204,MATCH(B344,Trabajadores!$A$5:$A$204,0))/Parámetros!$B$6,0)+IF(IFERROR(INDEX(Trabajadores!$E$5:$E$204,MATCH(B344,Trabajadores!$A$5:$A$204,0)),"")="",Parámetros!$B$7,0))</f>
        <v/>
      </c>
      <c r="H344" s="5" t="str">
        <f t="shared" si="100"/>
        <v/>
      </c>
      <c r="I344" s="5" t="str">
        <f>IF(A344="","",IF(COUNTIF(Festivos!$A$5:$A$451,A344)&gt;0,"Festivo",IF(WEEKDAY(A344,2)=7,"Domingo",IF(AND(AF344=1,AC344&gt;1),IF(COUNTIF(Festivos!$A$5:$A$451,A344+1)&gt;0,"Festivo","Domingo")&amp;" desde las 00:00",""))))</f>
        <v/>
      </c>
      <c r="J344" s="19" t="str">
        <f t="shared" si="101"/>
        <v/>
      </c>
      <c r="K344" s="19" t="str">
        <f t="shared" si="102"/>
        <v/>
      </c>
      <c r="L344" s="19" t="str">
        <f t="shared" si="103"/>
        <v/>
      </c>
      <c r="M344" s="19" t="str">
        <f t="shared" si="104"/>
        <v/>
      </c>
      <c r="N344" s="19" t="str">
        <f t="shared" si="105"/>
        <v/>
      </c>
      <c r="O344" s="19" t="str">
        <f t="shared" si="106"/>
        <v/>
      </c>
      <c r="P344" s="19" t="str">
        <f t="shared" si="107"/>
        <v/>
      </c>
      <c r="Q344" s="19" t="str">
        <f t="shared" si="108"/>
        <v/>
      </c>
      <c r="R344" s="19" t="str">
        <f t="shared" si="109"/>
        <v/>
      </c>
      <c r="S344" s="17" t="str">
        <f>IF(B344="","",IFERROR(INDEX(Trabajadores!$G$5:$G$204,MATCH(B344,Trabajadores!$A$5:$A$204,0)),""))</f>
        <v/>
      </c>
      <c r="T344" s="17" t="str">
        <f>IF(OR(OR(A344="",D344="",E344=""),S344=""),"",ROUND(S344*(N(L344)*Parámetros!$B$8+N(M344)*(1+Parámetros!$B$9)+N(N344)*(1+Parámetros!$B$10)+N(O344)*(1+AG344)+N(P344)*(1+AG344+Parámetros!$B$8)+N(Q344)*(1+AG344+Parámetros!$B$9)+N(R344)*(1+AG344+Parámetros!$B$10)),0))</f>
        <v/>
      </c>
      <c r="U344" s="5" t="str">
        <f>IF(OR(A344="",D344="",E344=""),"",IF(N(M344)+N(N344)+N(Q344)+N(R344)&gt;Parámetros!$B$12,"Supera el límite de horas extras diarias",IF(C344="Cédula no registrada","Registre la cédula en «Trabajadores»","")))</f>
        <v/>
      </c>
      <c r="X344" s="20">
        <f t="shared" si="110"/>
        <v>0</v>
      </c>
      <c r="Y344" s="20">
        <f t="shared" si="111"/>
        <v>0</v>
      </c>
      <c r="Z344" s="20">
        <f t="shared" si="112"/>
        <v>0</v>
      </c>
      <c r="AA344" s="20">
        <f t="shared" si="113"/>
        <v>0</v>
      </c>
      <c r="AB344" s="20">
        <f t="shared" si="114"/>
        <v>0</v>
      </c>
      <c r="AC344" s="20">
        <f t="shared" si="115"/>
        <v>0</v>
      </c>
      <c r="AD344" s="20">
        <f>IF(A344="",21/24,MOD(VLOOKUP(A344,Parámetros!$A$24:$B$25,2,TRUE()),1))</f>
        <v>0.875</v>
      </c>
      <c r="AE344" s="5">
        <f>IF(A344="",0,IF(OR(WEEKDAY(A344,2)=7,COUNTIF(Festivos!$A$5:$A$451,A344)&gt;0),1,0))</f>
        <v>0</v>
      </c>
      <c r="AF344" s="5">
        <f>IF(A344="",0,IF(OR(WEEKDAY(A344+1,2)=7,COUNTIF(Festivos!$A$5:$A$451,A344+1)&gt;0),1,0))</f>
        <v>0</v>
      </c>
      <c r="AG344" s="9">
        <f>IF(A344="",0,VLOOKUP(A344,Parámetros!$A$18:$B$21,2,TRUE()))</f>
        <v>0</v>
      </c>
      <c r="AH344" s="20">
        <f t="shared" si="116"/>
        <v>0</v>
      </c>
      <c r="AI344" s="20">
        <f>MAX(0,MIN(AB344,Parámetros!$B$11)-MAX(X344,0))+MAX(0,MIN(AB344,1+Parámetros!$B$11)-MAX(X344,AD344))+MAX(0,MIN(AB344,2)-MAX(X344,1+AD344))</f>
        <v>0</v>
      </c>
      <c r="AJ344" s="20">
        <f t="shared" si="117"/>
        <v>0</v>
      </c>
      <c r="AK344" s="20">
        <f>AE344*(MAX(0,MIN(AB344,Parámetros!$B$11)-MAX(X344,0))+MAX(0,MIN(AB344,1)-MAX(X344,AD344)))+AF344*(MAX(0,MIN(AB344,1+Parámetros!$B$11)-MAX(X344,1))+MAX(0,MIN(AB344,2)-MAX(X344,1+AD344)))</f>
        <v>0</v>
      </c>
      <c r="AL344" s="20">
        <f t="shared" si="118"/>
        <v>0</v>
      </c>
      <c r="AM344" s="20">
        <f>MAX(0,MIN(AC344,Parámetros!$B$11)-MAX(AB344,0))+MAX(0,MIN(AC344,1+Parámetros!$B$11)-MAX(AB344,AD344))+MAX(0,MIN(AC344,2)-MAX(AB344,1+AD344))</f>
        <v>0</v>
      </c>
      <c r="AN344" s="20">
        <f t="shared" si="119"/>
        <v>0</v>
      </c>
      <c r="AO344" s="20">
        <f>AE344*(MAX(0,MIN(AC344,Parámetros!$B$11)-MAX(AB344,0))+MAX(0,MIN(AC344,1)-MAX(AB344,AD344)))+AF344*(MAX(0,MIN(AC344,1+Parámetros!$B$11)-MAX(AB344,1))+MAX(0,MIN(AC344,2)-MAX(AB344,1+AD344)))</f>
        <v>0</v>
      </c>
    </row>
    <row r="345" spans="1:41" x14ac:dyDescent="0.25">
      <c r="A345" s="15"/>
      <c r="B345" s="8"/>
      <c r="C345" s="5" t="str">
        <f>IF(B345="","",IFERROR(INDEX(Trabajadores!$B$5:$B$204,MATCH(B345,Trabajadores!$A$5:$A$204,0)),"Cédula no registrada"))</f>
        <v/>
      </c>
      <c r="D345" s="11"/>
      <c r="E345" s="11"/>
      <c r="F345" s="8"/>
      <c r="G345" s="18" t="str">
        <f>IF(A345="","",IFERROR(INDEX(Trabajadores!$E$5:$E$204,MATCH(B345,Trabajadores!$A$5:$A$204,0))/Parámetros!$B$6,0)+IF(IFERROR(INDEX(Trabajadores!$E$5:$E$204,MATCH(B345,Trabajadores!$A$5:$A$204,0)),"")="",Parámetros!$B$7,0))</f>
        <v/>
      </c>
      <c r="H345" s="5" t="str">
        <f t="shared" si="100"/>
        <v/>
      </c>
      <c r="I345" s="5" t="str">
        <f>IF(A345="","",IF(COUNTIF(Festivos!$A$5:$A$451,A345)&gt;0,"Festivo",IF(WEEKDAY(A345,2)=7,"Domingo",IF(AND(AF345=1,AC345&gt;1),IF(COUNTIF(Festivos!$A$5:$A$451,A345+1)&gt;0,"Festivo","Domingo")&amp;" desde las 00:00",""))))</f>
        <v/>
      </c>
      <c r="J345" s="19" t="str">
        <f t="shared" si="101"/>
        <v/>
      </c>
      <c r="K345" s="19" t="str">
        <f t="shared" si="102"/>
        <v/>
      </c>
      <c r="L345" s="19" t="str">
        <f t="shared" si="103"/>
        <v/>
      </c>
      <c r="M345" s="19" t="str">
        <f t="shared" si="104"/>
        <v/>
      </c>
      <c r="N345" s="19" t="str">
        <f t="shared" si="105"/>
        <v/>
      </c>
      <c r="O345" s="19" t="str">
        <f t="shared" si="106"/>
        <v/>
      </c>
      <c r="P345" s="19" t="str">
        <f t="shared" si="107"/>
        <v/>
      </c>
      <c r="Q345" s="19" t="str">
        <f t="shared" si="108"/>
        <v/>
      </c>
      <c r="R345" s="19" t="str">
        <f t="shared" si="109"/>
        <v/>
      </c>
      <c r="S345" s="17" t="str">
        <f>IF(B345="","",IFERROR(INDEX(Trabajadores!$G$5:$G$204,MATCH(B345,Trabajadores!$A$5:$A$204,0)),""))</f>
        <v/>
      </c>
      <c r="T345" s="17" t="str">
        <f>IF(OR(OR(A345="",D345="",E345=""),S345=""),"",ROUND(S345*(N(L345)*Parámetros!$B$8+N(M345)*(1+Parámetros!$B$9)+N(N345)*(1+Parámetros!$B$10)+N(O345)*(1+AG345)+N(P345)*(1+AG345+Parámetros!$B$8)+N(Q345)*(1+AG345+Parámetros!$B$9)+N(R345)*(1+AG345+Parámetros!$B$10)),0))</f>
        <v/>
      </c>
      <c r="U345" s="5" t="str">
        <f>IF(OR(A345="",D345="",E345=""),"",IF(N(M345)+N(N345)+N(Q345)+N(R345)&gt;Parámetros!$B$12,"Supera el límite de horas extras diarias",IF(C345="Cédula no registrada","Registre la cédula en «Trabajadores»","")))</f>
        <v/>
      </c>
      <c r="X345" s="20">
        <f t="shared" si="110"/>
        <v>0</v>
      </c>
      <c r="Y345" s="20">
        <f t="shared" si="111"/>
        <v>0</v>
      </c>
      <c r="Z345" s="20">
        <f t="shared" si="112"/>
        <v>0</v>
      </c>
      <c r="AA345" s="20">
        <f t="shared" si="113"/>
        <v>0</v>
      </c>
      <c r="AB345" s="20">
        <f t="shared" si="114"/>
        <v>0</v>
      </c>
      <c r="AC345" s="20">
        <f t="shared" si="115"/>
        <v>0</v>
      </c>
      <c r="AD345" s="20">
        <f>IF(A345="",21/24,MOD(VLOOKUP(A345,Parámetros!$A$24:$B$25,2,TRUE()),1))</f>
        <v>0.875</v>
      </c>
      <c r="AE345" s="5">
        <f>IF(A345="",0,IF(OR(WEEKDAY(A345,2)=7,COUNTIF(Festivos!$A$5:$A$451,A345)&gt;0),1,0))</f>
        <v>0</v>
      </c>
      <c r="AF345" s="5">
        <f>IF(A345="",0,IF(OR(WEEKDAY(A345+1,2)=7,COUNTIF(Festivos!$A$5:$A$451,A345+1)&gt;0),1,0))</f>
        <v>0</v>
      </c>
      <c r="AG345" s="9">
        <f>IF(A345="",0,VLOOKUP(A345,Parámetros!$A$18:$B$21,2,TRUE()))</f>
        <v>0</v>
      </c>
      <c r="AH345" s="20">
        <f t="shared" si="116"/>
        <v>0</v>
      </c>
      <c r="AI345" s="20">
        <f>MAX(0,MIN(AB345,Parámetros!$B$11)-MAX(X345,0))+MAX(0,MIN(AB345,1+Parámetros!$B$11)-MAX(X345,AD345))+MAX(0,MIN(AB345,2)-MAX(X345,1+AD345))</f>
        <v>0</v>
      </c>
      <c r="AJ345" s="20">
        <f t="shared" si="117"/>
        <v>0</v>
      </c>
      <c r="AK345" s="20">
        <f>AE345*(MAX(0,MIN(AB345,Parámetros!$B$11)-MAX(X345,0))+MAX(0,MIN(AB345,1)-MAX(X345,AD345)))+AF345*(MAX(0,MIN(AB345,1+Parámetros!$B$11)-MAX(X345,1))+MAX(0,MIN(AB345,2)-MAX(X345,1+AD345)))</f>
        <v>0</v>
      </c>
      <c r="AL345" s="20">
        <f t="shared" si="118"/>
        <v>0</v>
      </c>
      <c r="AM345" s="20">
        <f>MAX(0,MIN(AC345,Parámetros!$B$11)-MAX(AB345,0))+MAX(0,MIN(AC345,1+Parámetros!$B$11)-MAX(AB345,AD345))+MAX(0,MIN(AC345,2)-MAX(AB345,1+AD345))</f>
        <v>0</v>
      </c>
      <c r="AN345" s="20">
        <f t="shared" si="119"/>
        <v>0</v>
      </c>
      <c r="AO345" s="20">
        <f>AE345*(MAX(0,MIN(AC345,Parámetros!$B$11)-MAX(AB345,0))+MAX(0,MIN(AC345,1)-MAX(AB345,AD345)))+AF345*(MAX(0,MIN(AC345,1+Parámetros!$B$11)-MAX(AB345,1))+MAX(0,MIN(AC345,2)-MAX(AB345,1+AD345)))</f>
        <v>0</v>
      </c>
    </row>
    <row r="346" spans="1:41" x14ac:dyDescent="0.25">
      <c r="A346" s="15"/>
      <c r="B346" s="8"/>
      <c r="C346" s="5" t="str">
        <f>IF(B346="","",IFERROR(INDEX(Trabajadores!$B$5:$B$204,MATCH(B346,Trabajadores!$A$5:$A$204,0)),"Cédula no registrada"))</f>
        <v/>
      </c>
      <c r="D346" s="11"/>
      <c r="E346" s="11"/>
      <c r="F346" s="8"/>
      <c r="G346" s="18" t="str">
        <f>IF(A346="","",IFERROR(INDEX(Trabajadores!$E$5:$E$204,MATCH(B346,Trabajadores!$A$5:$A$204,0))/Parámetros!$B$6,0)+IF(IFERROR(INDEX(Trabajadores!$E$5:$E$204,MATCH(B346,Trabajadores!$A$5:$A$204,0)),"")="",Parámetros!$B$7,0))</f>
        <v/>
      </c>
      <c r="H346" s="5" t="str">
        <f t="shared" si="100"/>
        <v/>
      </c>
      <c r="I346" s="5" t="str">
        <f>IF(A346="","",IF(COUNTIF(Festivos!$A$5:$A$451,A346)&gt;0,"Festivo",IF(WEEKDAY(A346,2)=7,"Domingo",IF(AND(AF346=1,AC346&gt;1),IF(COUNTIF(Festivos!$A$5:$A$451,A346+1)&gt;0,"Festivo","Domingo")&amp;" desde las 00:00",""))))</f>
        <v/>
      </c>
      <c r="J346" s="19" t="str">
        <f t="shared" si="101"/>
        <v/>
      </c>
      <c r="K346" s="19" t="str">
        <f t="shared" si="102"/>
        <v/>
      </c>
      <c r="L346" s="19" t="str">
        <f t="shared" si="103"/>
        <v/>
      </c>
      <c r="M346" s="19" t="str">
        <f t="shared" si="104"/>
        <v/>
      </c>
      <c r="N346" s="19" t="str">
        <f t="shared" si="105"/>
        <v/>
      </c>
      <c r="O346" s="19" t="str">
        <f t="shared" si="106"/>
        <v/>
      </c>
      <c r="P346" s="19" t="str">
        <f t="shared" si="107"/>
        <v/>
      </c>
      <c r="Q346" s="19" t="str">
        <f t="shared" si="108"/>
        <v/>
      </c>
      <c r="R346" s="19" t="str">
        <f t="shared" si="109"/>
        <v/>
      </c>
      <c r="S346" s="17" t="str">
        <f>IF(B346="","",IFERROR(INDEX(Trabajadores!$G$5:$G$204,MATCH(B346,Trabajadores!$A$5:$A$204,0)),""))</f>
        <v/>
      </c>
      <c r="T346" s="17" t="str">
        <f>IF(OR(OR(A346="",D346="",E346=""),S346=""),"",ROUND(S346*(N(L346)*Parámetros!$B$8+N(M346)*(1+Parámetros!$B$9)+N(N346)*(1+Parámetros!$B$10)+N(O346)*(1+AG346)+N(P346)*(1+AG346+Parámetros!$B$8)+N(Q346)*(1+AG346+Parámetros!$B$9)+N(R346)*(1+AG346+Parámetros!$B$10)),0))</f>
        <v/>
      </c>
      <c r="U346" s="5" t="str">
        <f>IF(OR(A346="",D346="",E346=""),"",IF(N(M346)+N(N346)+N(Q346)+N(R346)&gt;Parámetros!$B$12,"Supera el límite de horas extras diarias",IF(C346="Cédula no registrada","Registre la cédula en «Trabajadores»","")))</f>
        <v/>
      </c>
      <c r="X346" s="20">
        <f t="shared" si="110"/>
        <v>0</v>
      </c>
      <c r="Y346" s="20">
        <f t="shared" si="111"/>
        <v>0</v>
      </c>
      <c r="Z346" s="20">
        <f t="shared" si="112"/>
        <v>0</v>
      </c>
      <c r="AA346" s="20">
        <f t="shared" si="113"/>
        <v>0</v>
      </c>
      <c r="AB346" s="20">
        <f t="shared" si="114"/>
        <v>0</v>
      </c>
      <c r="AC346" s="20">
        <f t="shared" si="115"/>
        <v>0</v>
      </c>
      <c r="AD346" s="20">
        <f>IF(A346="",21/24,MOD(VLOOKUP(A346,Parámetros!$A$24:$B$25,2,TRUE()),1))</f>
        <v>0.875</v>
      </c>
      <c r="AE346" s="5">
        <f>IF(A346="",0,IF(OR(WEEKDAY(A346,2)=7,COUNTIF(Festivos!$A$5:$A$451,A346)&gt;0),1,0))</f>
        <v>0</v>
      </c>
      <c r="AF346" s="5">
        <f>IF(A346="",0,IF(OR(WEEKDAY(A346+1,2)=7,COUNTIF(Festivos!$A$5:$A$451,A346+1)&gt;0),1,0))</f>
        <v>0</v>
      </c>
      <c r="AG346" s="9">
        <f>IF(A346="",0,VLOOKUP(A346,Parámetros!$A$18:$B$21,2,TRUE()))</f>
        <v>0</v>
      </c>
      <c r="AH346" s="20">
        <f t="shared" si="116"/>
        <v>0</v>
      </c>
      <c r="AI346" s="20">
        <f>MAX(0,MIN(AB346,Parámetros!$B$11)-MAX(X346,0))+MAX(0,MIN(AB346,1+Parámetros!$B$11)-MAX(X346,AD346))+MAX(0,MIN(AB346,2)-MAX(X346,1+AD346))</f>
        <v>0</v>
      </c>
      <c r="AJ346" s="20">
        <f t="shared" si="117"/>
        <v>0</v>
      </c>
      <c r="AK346" s="20">
        <f>AE346*(MAX(0,MIN(AB346,Parámetros!$B$11)-MAX(X346,0))+MAX(0,MIN(AB346,1)-MAX(X346,AD346)))+AF346*(MAX(0,MIN(AB346,1+Parámetros!$B$11)-MAX(X346,1))+MAX(0,MIN(AB346,2)-MAX(X346,1+AD346)))</f>
        <v>0</v>
      </c>
      <c r="AL346" s="20">
        <f t="shared" si="118"/>
        <v>0</v>
      </c>
      <c r="AM346" s="20">
        <f>MAX(0,MIN(AC346,Parámetros!$B$11)-MAX(AB346,0))+MAX(0,MIN(AC346,1+Parámetros!$B$11)-MAX(AB346,AD346))+MAX(0,MIN(AC346,2)-MAX(AB346,1+AD346))</f>
        <v>0</v>
      </c>
      <c r="AN346" s="20">
        <f t="shared" si="119"/>
        <v>0</v>
      </c>
      <c r="AO346" s="20">
        <f>AE346*(MAX(0,MIN(AC346,Parámetros!$B$11)-MAX(AB346,0))+MAX(0,MIN(AC346,1)-MAX(AB346,AD346)))+AF346*(MAX(0,MIN(AC346,1+Parámetros!$B$11)-MAX(AB346,1))+MAX(0,MIN(AC346,2)-MAX(AB346,1+AD346)))</f>
        <v>0</v>
      </c>
    </row>
    <row r="347" spans="1:41" x14ac:dyDescent="0.25">
      <c r="A347" s="15"/>
      <c r="B347" s="8"/>
      <c r="C347" s="5" t="str">
        <f>IF(B347="","",IFERROR(INDEX(Trabajadores!$B$5:$B$204,MATCH(B347,Trabajadores!$A$5:$A$204,0)),"Cédula no registrada"))</f>
        <v/>
      </c>
      <c r="D347" s="11"/>
      <c r="E347" s="11"/>
      <c r="F347" s="8"/>
      <c r="G347" s="18" t="str">
        <f>IF(A347="","",IFERROR(INDEX(Trabajadores!$E$5:$E$204,MATCH(B347,Trabajadores!$A$5:$A$204,0))/Parámetros!$B$6,0)+IF(IFERROR(INDEX(Trabajadores!$E$5:$E$204,MATCH(B347,Trabajadores!$A$5:$A$204,0)),"")="",Parámetros!$B$7,0))</f>
        <v/>
      </c>
      <c r="H347" s="5" t="str">
        <f t="shared" si="100"/>
        <v/>
      </c>
      <c r="I347" s="5" t="str">
        <f>IF(A347="","",IF(COUNTIF(Festivos!$A$5:$A$451,A347)&gt;0,"Festivo",IF(WEEKDAY(A347,2)=7,"Domingo",IF(AND(AF347=1,AC347&gt;1),IF(COUNTIF(Festivos!$A$5:$A$451,A347+1)&gt;0,"Festivo","Domingo")&amp;" desde las 00:00",""))))</f>
        <v/>
      </c>
      <c r="J347" s="19" t="str">
        <f t="shared" si="101"/>
        <v/>
      </c>
      <c r="K347" s="19" t="str">
        <f t="shared" si="102"/>
        <v/>
      </c>
      <c r="L347" s="19" t="str">
        <f t="shared" si="103"/>
        <v/>
      </c>
      <c r="M347" s="19" t="str">
        <f t="shared" si="104"/>
        <v/>
      </c>
      <c r="N347" s="19" t="str">
        <f t="shared" si="105"/>
        <v/>
      </c>
      <c r="O347" s="19" t="str">
        <f t="shared" si="106"/>
        <v/>
      </c>
      <c r="P347" s="19" t="str">
        <f t="shared" si="107"/>
        <v/>
      </c>
      <c r="Q347" s="19" t="str">
        <f t="shared" si="108"/>
        <v/>
      </c>
      <c r="R347" s="19" t="str">
        <f t="shared" si="109"/>
        <v/>
      </c>
      <c r="S347" s="17" t="str">
        <f>IF(B347="","",IFERROR(INDEX(Trabajadores!$G$5:$G$204,MATCH(B347,Trabajadores!$A$5:$A$204,0)),""))</f>
        <v/>
      </c>
      <c r="T347" s="17" t="str">
        <f>IF(OR(OR(A347="",D347="",E347=""),S347=""),"",ROUND(S347*(N(L347)*Parámetros!$B$8+N(M347)*(1+Parámetros!$B$9)+N(N347)*(1+Parámetros!$B$10)+N(O347)*(1+AG347)+N(P347)*(1+AG347+Parámetros!$B$8)+N(Q347)*(1+AG347+Parámetros!$B$9)+N(R347)*(1+AG347+Parámetros!$B$10)),0))</f>
        <v/>
      </c>
      <c r="U347" s="5" t="str">
        <f>IF(OR(A347="",D347="",E347=""),"",IF(N(M347)+N(N347)+N(Q347)+N(R347)&gt;Parámetros!$B$12,"Supera el límite de horas extras diarias",IF(C347="Cédula no registrada","Registre la cédula en «Trabajadores»","")))</f>
        <v/>
      </c>
      <c r="X347" s="20">
        <f t="shared" si="110"/>
        <v>0</v>
      </c>
      <c r="Y347" s="20">
        <f t="shared" si="111"/>
        <v>0</v>
      </c>
      <c r="Z347" s="20">
        <f t="shared" si="112"/>
        <v>0</v>
      </c>
      <c r="AA347" s="20">
        <f t="shared" si="113"/>
        <v>0</v>
      </c>
      <c r="AB347" s="20">
        <f t="shared" si="114"/>
        <v>0</v>
      </c>
      <c r="AC347" s="20">
        <f t="shared" si="115"/>
        <v>0</v>
      </c>
      <c r="AD347" s="20">
        <f>IF(A347="",21/24,MOD(VLOOKUP(A347,Parámetros!$A$24:$B$25,2,TRUE()),1))</f>
        <v>0.875</v>
      </c>
      <c r="AE347" s="5">
        <f>IF(A347="",0,IF(OR(WEEKDAY(A347,2)=7,COUNTIF(Festivos!$A$5:$A$451,A347)&gt;0),1,0))</f>
        <v>0</v>
      </c>
      <c r="AF347" s="5">
        <f>IF(A347="",0,IF(OR(WEEKDAY(A347+1,2)=7,COUNTIF(Festivos!$A$5:$A$451,A347+1)&gt;0),1,0))</f>
        <v>0</v>
      </c>
      <c r="AG347" s="9">
        <f>IF(A347="",0,VLOOKUP(A347,Parámetros!$A$18:$B$21,2,TRUE()))</f>
        <v>0</v>
      </c>
      <c r="AH347" s="20">
        <f t="shared" si="116"/>
        <v>0</v>
      </c>
      <c r="AI347" s="20">
        <f>MAX(0,MIN(AB347,Parámetros!$B$11)-MAX(X347,0))+MAX(0,MIN(AB347,1+Parámetros!$B$11)-MAX(X347,AD347))+MAX(0,MIN(AB347,2)-MAX(X347,1+AD347))</f>
        <v>0</v>
      </c>
      <c r="AJ347" s="20">
        <f t="shared" si="117"/>
        <v>0</v>
      </c>
      <c r="AK347" s="20">
        <f>AE347*(MAX(0,MIN(AB347,Parámetros!$B$11)-MAX(X347,0))+MAX(0,MIN(AB347,1)-MAX(X347,AD347)))+AF347*(MAX(0,MIN(AB347,1+Parámetros!$B$11)-MAX(X347,1))+MAX(0,MIN(AB347,2)-MAX(X347,1+AD347)))</f>
        <v>0</v>
      </c>
      <c r="AL347" s="20">
        <f t="shared" si="118"/>
        <v>0</v>
      </c>
      <c r="AM347" s="20">
        <f>MAX(0,MIN(AC347,Parámetros!$B$11)-MAX(AB347,0))+MAX(0,MIN(AC347,1+Parámetros!$B$11)-MAX(AB347,AD347))+MAX(0,MIN(AC347,2)-MAX(AB347,1+AD347))</f>
        <v>0</v>
      </c>
      <c r="AN347" s="20">
        <f t="shared" si="119"/>
        <v>0</v>
      </c>
      <c r="AO347" s="20">
        <f>AE347*(MAX(0,MIN(AC347,Parámetros!$B$11)-MAX(AB347,0))+MAX(0,MIN(AC347,1)-MAX(AB347,AD347)))+AF347*(MAX(0,MIN(AC347,1+Parámetros!$B$11)-MAX(AB347,1))+MAX(0,MIN(AC347,2)-MAX(AB347,1+AD347)))</f>
        <v>0</v>
      </c>
    </row>
    <row r="348" spans="1:41" x14ac:dyDescent="0.25">
      <c r="A348" s="15"/>
      <c r="B348" s="8"/>
      <c r="C348" s="5" t="str">
        <f>IF(B348="","",IFERROR(INDEX(Trabajadores!$B$5:$B$204,MATCH(B348,Trabajadores!$A$5:$A$204,0)),"Cédula no registrada"))</f>
        <v/>
      </c>
      <c r="D348" s="11"/>
      <c r="E348" s="11"/>
      <c r="F348" s="8"/>
      <c r="G348" s="18" t="str">
        <f>IF(A348="","",IFERROR(INDEX(Trabajadores!$E$5:$E$204,MATCH(B348,Trabajadores!$A$5:$A$204,0))/Parámetros!$B$6,0)+IF(IFERROR(INDEX(Trabajadores!$E$5:$E$204,MATCH(B348,Trabajadores!$A$5:$A$204,0)),"")="",Parámetros!$B$7,0))</f>
        <v/>
      </c>
      <c r="H348" s="5" t="str">
        <f t="shared" si="100"/>
        <v/>
      </c>
      <c r="I348" s="5" t="str">
        <f>IF(A348="","",IF(COUNTIF(Festivos!$A$5:$A$451,A348)&gt;0,"Festivo",IF(WEEKDAY(A348,2)=7,"Domingo",IF(AND(AF348=1,AC348&gt;1),IF(COUNTIF(Festivos!$A$5:$A$451,A348+1)&gt;0,"Festivo","Domingo")&amp;" desde las 00:00",""))))</f>
        <v/>
      </c>
      <c r="J348" s="19" t="str">
        <f t="shared" si="101"/>
        <v/>
      </c>
      <c r="K348" s="19" t="str">
        <f t="shared" si="102"/>
        <v/>
      </c>
      <c r="L348" s="19" t="str">
        <f t="shared" si="103"/>
        <v/>
      </c>
      <c r="M348" s="19" t="str">
        <f t="shared" si="104"/>
        <v/>
      </c>
      <c r="N348" s="19" t="str">
        <f t="shared" si="105"/>
        <v/>
      </c>
      <c r="O348" s="19" t="str">
        <f t="shared" si="106"/>
        <v/>
      </c>
      <c r="P348" s="19" t="str">
        <f t="shared" si="107"/>
        <v/>
      </c>
      <c r="Q348" s="19" t="str">
        <f t="shared" si="108"/>
        <v/>
      </c>
      <c r="R348" s="19" t="str">
        <f t="shared" si="109"/>
        <v/>
      </c>
      <c r="S348" s="17" t="str">
        <f>IF(B348="","",IFERROR(INDEX(Trabajadores!$G$5:$G$204,MATCH(B348,Trabajadores!$A$5:$A$204,0)),""))</f>
        <v/>
      </c>
      <c r="T348" s="17" t="str">
        <f>IF(OR(OR(A348="",D348="",E348=""),S348=""),"",ROUND(S348*(N(L348)*Parámetros!$B$8+N(M348)*(1+Parámetros!$B$9)+N(N348)*(1+Parámetros!$B$10)+N(O348)*(1+AG348)+N(P348)*(1+AG348+Parámetros!$B$8)+N(Q348)*(1+AG348+Parámetros!$B$9)+N(R348)*(1+AG348+Parámetros!$B$10)),0))</f>
        <v/>
      </c>
      <c r="U348" s="5" t="str">
        <f>IF(OR(A348="",D348="",E348=""),"",IF(N(M348)+N(N348)+N(Q348)+N(R348)&gt;Parámetros!$B$12,"Supera el límite de horas extras diarias",IF(C348="Cédula no registrada","Registre la cédula en «Trabajadores»","")))</f>
        <v/>
      </c>
      <c r="X348" s="20">
        <f t="shared" si="110"/>
        <v>0</v>
      </c>
      <c r="Y348" s="20">
        <f t="shared" si="111"/>
        <v>0</v>
      </c>
      <c r="Z348" s="20">
        <f t="shared" si="112"/>
        <v>0</v>
      </c>
      <c r="AA348" s="20">
        <f t="shared" si="113"/>
        <v>0</v>
      </c>
      <c r="AB348" s="20">
        <f t="shared" si="114"/>
        <v>0</v>
      </c>
      <c r="AC348" s="20">
        <f t="shared" si="115"/>
        <v>0</v>
      </c>
      <c r="AD348" s="20">
        <f>IF(A348="",21/24,MOD(VLOOKUP(A348,Parámetros!$A$24:$B$25,2,TRUE()),1))</f>
        <v>0.875</v>
      </c>
      <c r="AE348" s="5">
        <f>IF(A348="",0,IF(OR(WEEKDAY(A348,2)=7,COUNTIF(Festivos!$A$5:$A$451,A348)&gt;0),1,0))</f>
        <v>0</v>
      </c>
      <c r="AF348" s="5">
        <f>IF(A348="",0,IF(OR(WEEKDAY(A348+1,2)=7,COUNTIF(Festivos!$A$5:$A$451,A348+1)&gt;0),1,0))</f>
        <v>0</v>
      </c>
      <c r="AG348" s="9">
        <f>IF(A348="",0,VLOOKUP(A348,Parámetros!$A$18:$B$21,2,TRUE()))</f>
        <v>0</v>
      </c>
      <c r="AH348" s="20">
        <f t="shared" si="116"/>
        <v>0</v>
      </c>
      <c r="AI348" s="20">
        <f>MAX(0,MIN(AB348,Parámetros!$B$11)-MAX(X348,0))+MAX(0,MIN(AB348,1+Parámetros!$B$11)-MAX(X348,AD348))+MAX(0,MIN(AB348,2)-MAX(X348,1+AD348))</f>
        <v>0</v>
      </c>
      <c r="AJ348" s="20">
        <f t="shared" si="117"/>
        <v>0</v>
      </c>
      <c r="AK348" s="20">
        <f>AE348*(MAX(0,MIN(AB348,Parámetros!$B$11)-MAX(X348,0))+MAX(0,MIN(AB348,1)-MAX(X348,AD348)))+AF348*(MAX(0,MIN(AB348,1+Parámetros!$B$11)-MAX(X348,1))+MAX(0,MIN(AB348,2)-MAX(X348,1+AD348)))</f>
        <v>0</v>
      </c>
      <c r="AL348" s="20">
        <f t="shared" si="118"/>
        <v>0</v>
      </c>
      <c r="AM348" s="20">
        <f>MAX(0,MIN(AC348,Parámetros!$B$11)-MAX(AB348,0))+MAX(0,MIN(AC348,1+Parámetros!$B$11)-MAX(AB348,AD348))+MAX(0,MIN(AC348,2)-MAX(AB348,1+AD348))</f>
        <v>0</v>
      </c>
      <c r="AN348" s="20">
        <f t="shared" si="119"/>
        <v>0</v>
      </c>
      <c r="AO348" s="20">
        <f>AE348*(MAX(0,MIN(AC348,Parámetros!$B$11)-MAX(AB348,0))+MAX(0,MIN(AC348,1)-MAX(AB348,AD348)))+AF348*(MAX(0,MIN(AC348,1+Parámetros!$B$11)-MAX(AB348,1))+MAX(0,MIN(AC348,2)-MAX(AB348,1+AD348)))</f>
        <v>0</v>
      </c>
    </row>
    <row r="349" spans="1:41" x14ac:dyDescent="0.25">
      <c r="A349" s="15"/>
      <c r="B349" s="8"/>
      <c r="C349" s="5" t="str">
        <f>IF(B349="","",IFERROR(INDEX(Trabajadores!$B$5:$B$204,MATCH(B349,Trabajadores!$A$5:$A$204,0)),"Cédula no registrada"))</f>
        <v/>
      </c>
      <c r="D349" s="11"/>
      <c r="E349" s="11"/>
      <c r="F349" s="8"/>
      <c r="G349" s="18" t="str">
        <f>IF(A349="","",IFERROR(INDEX(Trabajadores!$E$5:$E$204,MATCH(B349,Trabajadores!$A$5:$A$204,0))/Parámetros!$B$6,0)+IF(IFERROR(INDEX(Trabajadores!$E$5:$E$204,MATCH(B349,Trabajadores!$A$5:$A$204,0)),"")="",Parámetros!$B$7,0))</f>
        <v/>
      </c>
      <c r="H349" s="5" t="str">
        <f t="shared" si="100"/>
        <v/>
      </c>
      <c r="I349" s="5" t="str">
        <f>IF(A349="","",IF(COUNTIF(Festivos!$A$5:$A$451,A349)&gt;0,"Festivo",IF(WEEKDAY(A349,2)=7,"Domingo",IF(AND(AF349=1,AC349&gt;1),IF(COUNTIF(Festivos!$A$5:$A$451,A349+1)&gt;0,"Festivo","Domingo")&amp;" desde las 00:00",""))))</f>
        <v/>
      </c>
      <c r="J349" s="19" t="str">
        <f t="shared" si="101"/>
        <v/>
      </c>
      <c r="K349" s="19" t="str">
        <f t="shared" si="102"/>
        <v/>
      </c>
      <c r="L349" s="19" t="str">
        <f t="shared" si="103"/>
        <v/>
      </c>
      <c r="M349" s="19" t="str">
        <f t="shared" si="104"/>
        <v/>
      </c>
      <c r="N349" s="19" t="str">
        <f t="shared" si="105"/>
        <v/>
      </c>
      <c r="O349" s="19" t="str">
        <f t="shared" si="106"/>
        <v/>
      </c>
      <c r="P349" s="19" t="str">
        <f t="shared" si="107"/>
        <v/>
      </c>
      <c r="Q349" s="19" t="str">
        <f t="shared" si="108"/>
        <v/>
      </c>
      <c r="R349" s="19" t="str">
        <f t="shared" si="109"/>
        <v/>
      </c>
      <c r="S349" s="17" t="str">
        <f>IF(B349="","",IFERROR(INDEX(Trabajadores!$G$5:$G$204,MATCH(B349,Trabajadores!$A$5:$A$204,0)),""))</f>
        <v/>
      </c>
      <c r="T349" s="17" t="str">
        <f>IF(OR(OR(A349="",D349="",E349=""),S349=""),"",ROUND(S349*(N(L349)*Parámetros!$B$8+N(M349)*(1+Parámetros!$B$9)+N(N349)*(1+Parámetros!$B$10)+N(O349)*(1+AG349)+N(P349)*(1+AG349+Parámetros!$B$8)+N(Q349)*(1+AG349+Parámetros!$B$9)+N(R349)*(1+AG349+Parámetros!$B$10)),0))</f>
        <v/>
      </c>
      <c r="U349" s="5" t="str">
        <f>IF(OR(A349="",D349="",E349=""),"",IF(N(M349)+N(N349)+N(Q349)+N(R349)&gt;Parámetros!$B$12,"Supera el límite de horas extras diarias",IF(C349="Cédula no registrada","Registre la cédula en «Trabajadores»","")))</f>
        <v/>
      </c>
      <c r="X349" s="20">
        <f t="shared" si="110"/>
        <v>0</v>
      </c>
      <c r="Y349" s="20">
        <f t="shared" si="111"/>
        <v>0</v>
      </c>
      <c r="Z349" s="20">
        <f t="shared" si="112"/>
        <v>0</v>
      </c>
      <c r="AA349" s="20">
        <f t="shared" si="113"/>
        <v>0</v>
      </c>
      <c r="AB349" s="20">
        <f t="shared" si="114"/>
        <v>0</v>
      </c>
      <c r="AC349" s="20">
        <f t="shared" si="115"/>
        <v>0</v>
      </c>
      <c r="AD349" s="20">
        <f>IF(A349="",21/24,MOD(VLOOKUP(A349,Parámetros!$A$24:$B$25,2,TRUE()),1))</f>
        <v>0.875</v>
      </c>
      <c r="AE349" s="5">
        <f>IF(A349="",0,IF(OR(WEEKDAY(A349,2)=7,COUNTIF(Festivos!$A$5:$A$451,A349)&gt;0),1,0))</f>
        <v>0</v>
      </c>
      <c r="AF349" s="5">
        <f>IF(A349="",0,IF(OR(WEEKDAY(A349+1,2)=7,COUNTIF(Festivos!$A$5:$A$451,A349+1)&gt;0),1,0))</f>
        <v>0</v>
      </c>
      <c r="AG349" s="9">
        <f>IF(A349="",0,VLOOKUP(A349,Parámetros!$A$18:$B$21,2,TRUE()))</f>
        <v>0</v>
      </c>
      <c r="AH349" s="20">
        <f t="shared" si="116"/>
        <v>0</v>
      </c>
      <c r="AI349" s="20">
        <f>MAX(0,MIN(AB349,Parámetros!$B$11)-MAX(X349,0))+MAX(0,MIN(AB349,1+Parámetros!$B$11)-MAX(X349,AD349))+MAX(0,MIN(AB349,2)-MAX(X349,1+AD349))</f>
        <v>0</v>
      </c>
      <c r="AJ349" s="20">
        <f t="shared" si="117"/>
        <v>0</v>
      </c>
      <c r="AK349" s="20">
        <f>AE349*(MAX(0,MIN(AB349,Parámetros!$B$11)-MAX(X349,0))+MAX(0,MIN(AB349,1)-MAX(X349,AD349)))+AF349*(MAX(0,MIN(AB349,1+Parámetros!$B$11)-MAX(X349,1))+MAX(0,MIN(AB349,2)-MAX(X349,1+AD349)))</f>
        <v>0</v>
      </c>
      <c r="AL349" s="20">
        <f t="shared" si="118"/>
        <v>0</v>
      </c>
      <c r="AM349" s="20">
        <f>MAX(0,MIN(AC349,Parámetros!$B$11)-MAX(AB349,0))+MAX(0,MIN(AC349,1+Parámetros!$B$11)-MAX(AB349,AD349))+MAX(0,MIN(AC349,2)-MAX(AB349,1+AD349))</f>
        <v>0</v>
      </c>
      <c r="AN349" s="20">
        <f t="shared" si="119"/>
        <v>0</v>
      </c>
      <c r="AO349" s="20">
        <f>AE349*(MAX(0,MIN(AC349,Parámetros!$B$11)-MAX(AB349,0))+MAX(0,MIN(AC349,1)-MAX(AB349,AD349)))+AF349*(MAX(0,MIN(AC349,1+Parámetros!$B$11)-MAX(AB349,1))+MAX(0,MIN(AC349,2)-MAX(AB349,1+AD349)))</f>
        <v>0</v>
      </c>
    </row>
    <row r="350" spans="1:41" x14ac:dyDescent="0.25">
      <c r="A350" s="15"/>
      <c r="B350" s="8"/>
      <c r="C350" s="5" t="str">
        <f>IF(B350="","",IFERROR(INDEX(Trabajadores!$B$5:$B$204,MATCH(B350,Trabajadores!$A$5:$A$204,0)),"Cédula no registrada"))</f>
        <v/>
      </c>
      <c r="D350" s="11"/>
      <c r="E350" s="11"/>
      <c r="F350" s="8"/>
      <c r="G350" s="18" t="str">
        <f>IF(A350="","",IFERROR(INDEX(Trabajadores!$E$5:$E$204,MATCH(B350,Trabajadores!$A$5:$A$204,0))/Parámetros!$B$6,0)+IF(IFERROR(INDEX(Trabajadores!$E$5:$E$204,MATCH(B350,Trabajadores!$A$5:$A$204,0)),"")="",Parámetros!$B$7,0))</f>
        <v/>
      </c>
      <c r="H350" s="5" t="str">
        <f t="shared" si="100"/>
        <v/>
      </c>
      <c r="I350" s="5" t="str">
        <f>IF(A350="","",IF(COUNTIF(Festivos!$A$5:$A$451,A350)&gt;0,"Festivo",IF(WEEKDAY(A350,2)=7,"Domingo",IF(AND(AF350=1,AC350&gt;1),IF(COUNTIF(Festivos!$A$5:$A$451,A350+1)&gt;0,"Festivo","Domingo")&amp;" desde las 00:00",""))))</f>
        <v/>
      </c>
      <c r="J350" s="19" t="str">
        <f t="shared" si="101"/>
        <v/>
      </c>
      <c r="K350" s="19" t="str">
        <f t="shared" si="102"/>
        <v/>
      </c>
      <c r="L350" s="19" t="str">
        <f t="shared" si="103"/>
        <v/>
      </c>
      <c r="M350" s="19" t="str">
        <f t="shared" si="104"/>
        <v/>
      </c>
      <c r="N350" s="19" t="str">
        <f t="shared" si="105"/>
        <v/>
      </c>
      <c r="O350" s="19" t="str">
        <f t="shared" si="106"/>
        <v/>
      </c>
      <c r="P350" s="19" t="str">
        <f t="shared" si="107"/>
        <v/>
      </c>
      <c r="Q350" s="19" t="str">
        <f t="shared" si="108"/>
        <v/>
      </c>
      <c r="R350" s="19" t="str">
        <f t="shared" si="109"/>
        <v/>
      </c>
      <c r="S350" s="17" t="str">
        <f>IF(B350="","",IFERROR(INDEX(Trabajadores!$G$5:$G$204,MATCH(B350,Trabajadores!$A$5:$A$204,0)),""))</f>
        <v/>
      </c>
      <c r="T350" s="17" t="str">
        <f>IF(OR(OR(A350="",D350="",E350=""),S350=""),"",ROUND(S350*(N(L350)*Parámetros!$B$8+N(M350)*(1+Parámetros!$B$9)+N(N350)*(1+Parámetros!$B$10)+N(O350)*(1+AG350)+N(P350)*(1+AG350+Parámetros!$B$8)+N(Q350)*(1+AG350+Parámetros!$B$9)+N(R350)*(1+AG350+Parámetros!$B$10)),0))</f>
        <v/>
      </c>
      <c r="U350" s="5" t="str">
        <f>IF(OR(A350="",D350="",E350=""),"",IF(N(M350)+N(N350)+N(Q350)+N(R350)&gt;Parámetros!$B$12,"Supera el límite de horas extras diarias",IF(C350="Cédula no registrada","Registre la cédula en «Trabajadores»","")))</f>
        <v/>
      </c>
      <c r="X350" s="20">
        <f t="shared" si="110"/>
        <v>0</v>
      </c>
      <c r="Y350" s="20">
        <f t="shared" si="111"/>
        <v>0</v>
      </c>
      <c r="Z350" s="20">
        <f t="shared" si="112"/>
        <v>0</v>
      </c>
      <c r="AA350" s="20">
        <f t="shared" si="113"/>
        <v>0</v>
      </c>
      <c r="AB350" s="20">
        <f t="shared" si="114"/>
        <v>0</v>
      </c>
      <c r="AC350" s="20">
        <f t="shared" si="115"/>
        <v>0</v>
      </c>
      <c r="AD350" s="20">
        <f>IF(A350="",21/24,MOD(VLOOKUP(A350,Parámetros!$A$24:$B$25,2,TRUE()),1))</f>
        <v>0.875</v>
      </c>
      <c r="AE350" s="5">
        <f>IF(A350="",0,IF(OR(WEEKDAY(A350,2)=7,COUNTIF(Festivos!$A$5:$A$451,A350)&gt;0),1,0))</f>
        <v>0</v>
      </c>
      <c r="AF350" s="5">
        <f>IF(A350="",0,IF(OR(WEEKDAY(A350+1,2)=7,COUNTIF(Festivos!$A$5:$A$451,A350+1)&gt;0),1,0))</f>
        <v>0</v>
      </c>
      <c r="AG350" s="9">
        <f>IF(A350="",0,VLOOKUP(A350,Parámetros!$A$18:$B$21,2,TRUE()))</f>
        <v>0</v>
      </c>
      <c r="AH350" s="20">
        <f t="shared" si="116"/>
        <v>0</v>
      </c>
      <c r="AI350" s="20">
        <f>MAX(0,MIN(AB350,Parámetros!$B$11)-MAX(X350,0))+MAX(0,MIN(AB350,1+Parámetros!$B$11)-MAX(X350,AD350))+MAX(0,MIN(AB350,2)-MAX(X350,1+AD350))</f>
        <v>0</v>
      </c>
      <c r="AJ350" s="20">
        <f t="shared" si="117"/>
        <v>0</v>
      </c>
      <c r="AK350" s="20">
        <f>AE350*(MAX(0,MIN(AB350,Parámetros!$B$11)-MAX(X350,0))+MAX(0,MIN(AB350,1)-MAX(X350,AD350)))+AF350*(MAX(0,MIN(AB350,1+Parámetros!$B$11)-MAX(X350,1))+MAX(0,MIN(AB350,2)-MAX(X350,1+AD350)))</f>
        <v>0</v>
      </c>
      <c r="AL350" s="20">
        <f t="shared" si="118"/>
        <v>0</v>
      </c>
      <c r="AM350" s="20">
        <f>MAX(0,MIN(AC350,Parámetros!$B$11)-MAX(AB350,0))+MAX(0,MIN(AC350,1+Parámetros!$B$11)-MAX(AB350,AD350))+MAX(0,MIN(AC350,2)-MAX(AB350,1+AD350))</f>
        <v>0</v>
      </c>
      <c r="AN350" s="20">
        <f t="shared" si="119"/>
        <v>0</v>
      </c>
      <c r="AO350" s="20">
        <f>AE350*(MAX(0,MIN(AC350,Parámetros!$B$11)-MAX(AB350,0))+MAX(0,MIN(AC350,1)-MAX(AB350,AD350)))+AF350*(MAX(0,MIN(AC350,1+Parámetros!$B$11)-MAX(AB350,1))+MAX(0,MIN(AC350,2)-MAX(AB350,1+AD350)))</f>
        <v>0</v>
      </c>
    </row>
    <row r="351" spans="1:41" x14ac:dyDescent="0.25">
      <c r="A351" s="15"/>
      <c r="B351" s="8"/>
      <c r="C351" s="5" t="str">
        <f>IF(B351="","",IFERROR(INDEX(Trabajadores!$B$5:$B$204,MATCH(B351,Trabajadores!$A$5:$A$204,0)),"Cédula no registrada"))</f>
        <v/>
      </c>
      <c r="D351" s="11"/>
      <c r="E351" s="11"/>
      <c r="F351" s="8"/>
      <c r="G351" s="18" t="str">
        <f>IF(A351="","",IFERROR(INDEX(Trabajadores!$E$5:$E$204,MATCH(B351,Trabajadores!$A$5:$A$204,0))/Parámetros!$B$6,0)+IF(IFERROR(INDEX(Trabajadores!$E$5:$E$204,MATCH(B351,Trabajadores!$A$5:$A$204,0)),"")="",Parámetros!$B$7,0))</f>
        <v/>
      </c>
      <c r="H351" s="5" t="str">
        <f t="shared" si="100"/>
        <v/>
      </c>
      <c r="I351" s="5" t="str">
        <f>IF(A351="","",IF(COUNTIF(Festivos!$A$5:$A$451,A351)&gt;0,"Festivo",IF(WEEKDAY(A351,2)=7,"Domingo",IF(AND(AF351=1,AC351&gt;1),IF(COUNTIF(Festivos!$A$5:$A$451,A351+1)&gt;0,"Festivo","Domingo")&amp;" desde las 00:00",""))))</f>
        <v/>
      </c>
      <c r="J351" s="19" t="str">
        <f t="shared" si="101"/>
        <v/>
      </c>
      <c r="K351" s="19" t="str">
        <f t="shared" si="102"/>
        <v/>
      </c>
      <c r="L351" s="19" t="str">
        <f t="shared" si="103"/>
        <v/>
      </c>
      <c r="M351" s="19" t="str">
        <f t="shared" si="104"/>
        <v/>
      </c>
      <c r="N351" s="19" t="str">
        <f t="shared" si="105"/>
        <v/>
      </c>
      <c r="O351" s="19" t="str">
        <f t="shared" si="106"/>
        <v/>
      </c>
      <c r="P351" s="19" t="str">
        <f t="shared" si="107"/>
        <v/>
      </c>
      <c r="Q351" s="19" t="str">
        <f t="shared" si="108"/>
        <v/>
      </c>
      <c r="R351" s="19" t="str">
        <f t="shared" si="109"/>
        <v/>
      </c>
      <c r="S351" s="17" t="str">
        <f>IF(B351="","",IFERROR(INDEX(Trabajadores!$G$5:$G$204,MATCH(B351,Trabajadores!$A$5:$A$204,0)),""))</f>
        <v/>
      </c>
      <c r="T351" s="17" t="str">
        <f>IF(OR(OR(A351="",D351="",E351=""),S351=""),"",ROUND(S351*(N(L351)*Parámetros!$B$8+N(M351)*(1+Parámetros!$B$9)+N(N351)*(1+Parámetros!$B$10)+N(O351)*(1+AG351)+N(P351)*(1+AG351+Parámetros!$B$8)+N(Q351)*(1+AG351+Parámetros!$B$9)+N(R351)*(1+AG351+Parámetros!$B$10)),0))</f>
        <v/>
      </c>
      <c r="U351" s="5" t="str">
        <f>IF(OR(A351="",D351="",E351=""),"",IF(N(M351)+N(N351)+N(Q351)+N(R351)&gt;Parámetros!$B$12,"Supera el límite de horas extras diarias",IF(C351="Cédula no registrada","Registre la cédula en «Trabajadores»","")))</f>
        <v/>
      </c>
      <c r="X351" s="20">
        <f t="shared" si="110"/>
        <v>0</v>
      </c>
      <c r="Y351" s="20">
        <f t="shared" si="111"/>
        <v>0</v>
      </c>
      <c r="Z351" s="20">
        <f t="shared" si="112"/>
        <v>0</v>
      </c>
      <c r="AA351" s="20">
        <f t="shared" si="113"/>
        <v>0</v>
      </c>
      <c r="AB351" s="20">
        <f t="shared" si="114"/>
        <v>0</v>
      </c>
      <c r="AC351" s="20">
        <f t="shared" si="115"/>
        <v>0</v>
      </c>
      <c r="AD351" s="20">
        <f>IF(A351="",21/24,MOD(VLOOKUP(A351,Parámetros!$A$24:$B$25,2,TRUE()),1))</f>
        <v>0.875</v>
      </c>
      <c r="AE351" s="5">
        <f>IF(A351="",0,IF(OR(WEEKDAY(A351,2)=7,COUNTIF(Festivos!$A$5:$A$451,A351)&gt;0),1,0))</f>
        <v>0</v>
      </c>
      <c r="AF351" s="5">
        <f>IF(A351="",0,IF(OR(WEEKDAY(A351+1,2)=7,COUNTIF(Festivos!$A$5:$A$451,A351+1)&gt;0),1,0))</f>
        <v>0</v>
      </c>
      <c r="AG351" s="9">
        <f>IF(A351="",0,VLOOKUP(A351,Parámetros!$A$18:$B$21,2,TRUE()))</f>
        <v>0</v>
      </c>
      <c r="AH351" s="20">
        <f t="shared" si="116"/>
        <v>0</v>
      </c>
      <c r="AI351" s="20">
        <f>MAX(0,MIN(AB351,Parámetros!$B$11)-MAX(X351,0))+MAX(0,MIN(AB351,1+Parámetros!$B$11)-MAX(X351,AD351))+MAX(0,MIN(AB351,2)-MAX(X351,1+AD351))</f>
        <v>0</v>
      </c>
      <c r="AJ351" s="20">
        <f t="shared" si="117"/>
        <v>0</v>
      </c>
      <c r="AK351" s="20">
        <f>AE351*(MAX(0,MIN(AB351,Parámetros!$B$11)-MAX(X351,0))+MAX(0,MIN(AB351,1)-MAX(X351,AD351)))+AF351*(MAX(0,MIN(AB351,1+Parámetros!$B$11)-MAX(X351,1))+MAX(0,MIN(AB351,2)-MAX(X351,1+AD351)))</f>
        <v>0</v>
      </c>
      <c r="AL351" s="20">
        <f t="shared" si="118"/>
        <v>0</v>
      </c>
      <c r="AM351" s="20">
        <f>MAX(0,MIN(AC351,Parámetros!$B$11)-MAX(AB351,0))+MAX(0,MIN(AC351,1+Parámetros!$B$11)-MAX(AB351,AD351))+MAX(0,MIN(AC351,2)-MAX(AB351,1+AD351))</f>
        <v>0</v>
      </c>
      <c r="AN351" s="20">
        <f t="shared" si="119"/>
        <v>0</v>
      </c>
      <c r="AO351" s="20">
        <f>AE351*(MAX(0,MIN(AC351,Parámetros!$B$11)-MAX(AB351,0))+MAX(0,MIN(AC351,1)-MAX(AB351,AD351)))+AF351*(MAX(0,MIN(AC351,1+Parámetros!$B$11)-MAX(AB351,1))+MAX(0,MIN(AC351,2)-MAX(AB351,1+AD351)))</f>
        <v>0</v>
      </c>
    </row>
    <row r="352" spans="1:41" x14ac:dyDescent="0.25">
      <c r="A352" s="15"/>
      <c r="B352" s="8"/>
      <c r="C352" s="5" t="str">
        <f>IF(B352="","",IFERROR(INDEX(Trabajadores!$B$5:$B$204,MATCH(B352,Trabajadores!$A$5:$A$204,0)),"Cédula no registrada"))</f>
        <v/>
      </c>
      <c r="D352" s="11"/>
      <c r="E352" s="11"/>
      <c r="F352" s="8"/>
      <c r="G352" s="18" t="str">
        <f>IF(A352="","",IFERROR(INDEX(Trabajadores!$E$5:$E$204,MATCH(B352,Trabajadores!$A$5:$A$204,0))/Parámetros!$B$6,0)+IF(IFERROR(INDEX(Trabajadores!$E$5:$E$204,MATCH(B352,Trabajadores!$A$5:$A$204,0)),"")="",Parámetros!$B$7,0))</f>
        <v/>
      </c>
      <c r="H352" s="5" t="str">
        <f t="shared" si="100"/>
        <v/>
      </c>
      <c r="I352" s="5" t="str">
        <f>IF(A352="","",IF(COUNTIF(Festivos!$A$5:$A$451,A352)&gt;0,"Festivo",IF(WEEKDAY(A352,2)=7,"Domingo",IF(AND(AF352=1,AC352&gt;1),IF(COUNTIF(Festivos!$A$5:$A$451,A352+1)&gt;0,"Festivo","Domingo")&amp;" desde las 00:00",""))))</f>
        <v/>
      </c>
      <c r="J352" s="19" t="str">
        <f t="shared" si="101"/>
        <v/>
      </c>
      <c r="K352" s="19" t="str">
        <f t="shared" si="102"/>
        <v/>
      </c>
      <c r="L352" s="19" t="str">
        <f t="shared" si="103"/>
        <v/>
      </c>
      <c r="M352" s="19" t="str">
        <f t="shared" si="104"/>
        <v/>
      </c>
      <c r="N352" s="19" t="str">
        <f t="shared" si="105"/>
        <v/>
      </c>
      <c r="O352" s="19" t="str">
        <f t="shared" si="106"/>
        <v/>
      </c>
      <c r="P352" s="19" t="str">
        <f t="shared" si="107"/>
        <v/>
      </c>
      <c r="Q352" s="19" t="str">
        <f t="shared" si="108"/>
        <v/>
      </c>
      <c r="R352" s="19" t="str">
        <f t="shared" si="109"/>
        <v/>
      </c>
      <c r="S352" s="17" t="str">
        <f>IF(B352="","",IFERROR(INDEX(Trabajadores!$G$5:$G$204,MATCH(B352,Trabajadores!$A$5:$A$204,0)),""))</f>
        <v/>
      </c>
      <c r="T352" s="17" t="str">
        <f>IF(OR(OR(A352="",D352="",E352=""),S352=""),"",ROUND(S352*(N(L352)*Parámetros!$B$8+N(M352)*(1+Parámetros!$B$9)+N(N352)*(1+Parámetros!$B$10)+N(O352)*(1+AG352)+N(P352)*(1+AG352+Parámetros!$B$8)+N(Q352)*(1+AG352+Parámetros!$B$9)+N(R352)*(1+AG352+Parámetros!$B$10)),0))</f>
        <v/>
      </c>
      <c r="U352" s="5" t="str">
        <f>IF(OR(A352="",D352="",E352=""),"",IF(N(M352)+N(N352)+N(Q352)+N(R352)&gt;Parámetros!$B$12,"Supera el límite de horas extras diarias",IF(C352="Cédula no registrada","Registre la cédula en «Trabajadores»","")))</f>
        <v/>
      </c>
      <c r="X352" s="20">
        <f t="shared" si="110"/>
        <v>0</v>
      </c>
      <c r="Y352" s="20">
        <f t="shared" si="111"/>
        <v>0</v>
      </c>
      <c r="Z352" s="20">
        <f t="shared" si="112"/>
        <v>0</v>
      </c>
      <c r="AA352" s="20">
        <f t="shared" si="113"/>
        <v>0</v>
      </c>
      <c r="AB352" s="20">
        <f t="shared" si="114"/>
        <v>0</v>
      </c>
      <c r="AC352" s="20">
        <f t="shared" si="115"/>
        <v>0</v>
      </c>
      <c r="AD352" s="20">
        <f>IF(A352="",21/24,MOD(VLOOKUP(A352,Parámetros!$A$24:$B$25,2,TRUE()),1))</f>
        <v>0.875</v>
      </c>
      <c r="AE352" s="5">
        <f>IF(A352="",0,IF(OR(WEEKDAY(A352,2)=7,COUNTIF(Festivos!$A$5:$A$451,A352)&gt;0),1,0))</f>
        <v>0</v>
      </c>
      <c r="AF352" s="5">
        <f>IF(A352="",0,IF(OR(WEEKDAY(A352+1,2)=7,COUNTIF(Festivos!$A$5:$A$451,A352+1)&gt;0),1,0))</f>
        <v>0</v>
      </c>
      <c r="AG352" s="9">
        <f>IF(A352="",0,VLOOKUP(A352,Parámetros!$A$18:$B$21,2,TRUE()))</f>
        <v>0</v>
      </c>
      <c r="AH352" s="20">
        <f t="shared" si="116"/>
        <v>0</v>
      </c>
      <c r="AI352" s="20">
        <f>MAX(0,MIN(AB352,Parámetros!$B$11)-MAX(X352,0))+MAX(0,MIN(AB352,1+Parámetros!$B$11)-MAX(X352,AD352))+MAX(0,MIN(AB352,2)-MAX(X352,1+AD352))</f>
        <v>0</v>
      </c>
      <c r="AJ352" s="20">
        <f t="shared" si="117"/>
        <v>0</v>
      </c>
      <c r="AK352" s="20">
        <f>AE352*(MAX(0,MIN(AB352,Parámetros!$B$11)-MAX(X352,0))+MAX(0,MIN(AB352,1)-MAX(X352,AD352)))+AF352*(MAX(0,MIN(AB352,1+Parámetros!$B$11)-MAX(X352,1))+MAX(0,MIN(AB352,2)-MAX(X352,1+AD352)))</f>
        <v>0</v>
      </c>
      <c r="AL352" s="20">
        <f t="shared" si="118"/>
        <v>0</v>
      </c>
      <c r="AM352" s="20">
        <f>MAX(0,MIN(AC352,Parámetros!$B$11)-MAX(AB352,0))+MAX(0,MIN(AC352,1+Parámetros!$B$11)-MAX(AB352,AD352))+MAX(0,MIN(AC352,2)-MAX(AB352,1+AD352))</f>
        <v>0</v>
      </c>
      <c r="AN352" s="20">
        <f t="shared" si="119"/>
        <v>0</v>
      </c>
      <c r="AO352" s="20">
        <f>AE352*(MAX(0,MIN(AC352,Parámetros!$B$11)-MAX(AB352,0))+MAX(0,MIN(AC352,1)-MAX(AB352,AD352)))+AF352*(MAX(0,MIN(AC352,1+Parámetros!$B$11)-MAX(AB352,1))+MAX(0,MIN(AC352,2)-MAX(AB352,1+AD352)))</f>
        <v>0</v>
      </c>
    </row>
    <row r="353" spans="1:41" x14ac:dyDescent="0.25">
      <c r="A353" s="15"/>
      <c r="B353" s="8"/>
      <c r="C353" s="5" t="str">
        <f>IF(B353="","",IFERROR(INDEX(Trabajadores!$B$5:$B$204,MATCH(B353,Trabajadores!$A$5:$A$204,0)),"Cédula no registrada"))</f>
        <v/>
      </c>
      <c r="D353" s="11"/>
      <c r="E353" s="11"/>
      <c r="F353" s="8"/>
      <c r="G353" s="18" t="str">
        <f>IF(A353="","",IFERROR(INDEX(Trabajadores!$E$5:$E$204,MATCH(B353,Trabajadores!$A$5:$A$204,0))/Parámetros!$B$6,0)+IF(IFERROR(INDEX(Trabajadores!$E$5:$E$204,MATCH(B353,Trabajadores!$A$5:$A$204,0)),"")="",Parámetros!$B$7,0))</f>
        <v/>
      </c>
      <c r="H353" s="5" t="str">
        <f t="shared" si="100"/>
        <v/>
      </c>
      <c r="I353" s="5" t="str">
        <f>IF(A353="","",IF(COUNTIF(Festivos!$A$5:$A$451,A353)&gt;0,"Festivo",IF(WEEKDAY(A353,2)=7,"Domingo",IF(AND(AF353=1,AC353&gt;1),IF(COUNTIF(Festivos!$A$5:$A$451,A353+1)&gt;0,"Festivo","Domingo")&amp;" desde las 00:00",""))))</f>
        <v/>
      </c>
      <c r="J353" s="19" t="str">
        <f t="shared" si="101"/>
        <v/>
      </c>
      <c r="K353" s="19" t="str">
        <f t="shared" si="102"/>
        <v/>
      </c>
      <c r="L353" s="19" t="str">
        <f t="shared" si="103"/>
        <v/>
      </c>
      <c r="M353" s="19" t="str">
        <f t="shared" si="104"/>
        <v/>
      </c>
      <c r="N353" s="19" t="str">
        <f t="shared" si="105"/>
        <v/>
      </c>
      <c r="O353" s="19" t="str">
        <f t="shared" si="106"/>
        <v/>
      </c>
      <c r="P353" s="19" t="str">
        <f t="shared" si="107"/>
        <v/>
      </c>
      <c r="Q353" s="19" t="str">
        <f t="shared" si="108"/>
        <v/>
      </c>
      <c r="R353" s="19" t="str">
        <f t="shared" si="109"/>
        <v/>
      </c>
      <c r="S353" s="17" t="str">
        <f>IF(B353="","",IFERROR(INDEX(Trabajadores!$G$5:$G$204,MATCH(B353,Trabajadores!$A$5:$A$204,0)),""))</f>
        <v/>
      </c>
      <c r="T353" s="17" t="str">
        <f>IF(OR(OR(A353="",D353="",E353=""),S353=""),"",ROUND(S353*(N(L353)*Parámetros!$B$8+N(M353)*(1+Parámetros!$B$9)+N(N353)*(1+Parámetros!$B$10)+N(O353)*(1+AG353)+N(P353)*(1+AG353+Parámetros!$B$8)+N(Q353)*(1+AG353+Parámetros!$B$9)+N(R353)*(1+AG353+Parámetros!$B$10)),0))</f>
        <v/>
      </c>
      <c r="U353" s="5" t="str">
        <f>IF(OR(A353="",D353="",E353=""),"",IF(N(M353)+N(N353)+N(Q353)+N(R353)&gt;Parámetros!$B$12,"Supera el límite de horas extras diarias",IF(C353="Cédula no registrada","Registre la cédula en «Trabajadores»","")))</f>
        <v/>
      </c>
      <c r="X353" s="20">
        <f t="shared" si="110"/>
        <v>0</v>
      </c>
      <c r="Y353" s="20">
        <f t="shared" si="111"/>
        <v>0</v>
      </c>
      <c r="Z353" s="20">
        <f t="shared" si="112"/>
        <v>0</v>
      </c>
      <c r="AA353" s="20">
        <f t="shared" si="113"/>
        <v>0</v>
      </c>
      <c r="AB353" s="20">
        <f t="shared" si="114"/>
        <v>0</v>
      </c>
      <c r="AC353" s="20">
        <f t="shared" si="115"/>
        <v>0</v>
      </c>
      <c r="AD353" s="20">
        <f>IF(A353="",21/24,MOD(VLOOKUP(A353,Parámetros!$A$24:$B$25,2,TRUE()),1))</f>
        <v>0.875</v>
      </c>
      <c r="AE353" s="5">
        <f>IF(A353="",0,IF(OR(WEEKDAY(A353,2)=7,COUNTIF(Festivos!$A$5:$A$451,A353)&gt;0),1,0))</f>
        <v>0</v>
      </c>
      <c r="AF353" s="5">
        <f>IF(A353="",0,IF(OR(WEEKDAY(A353+1,2)=7,COUNTIF(Festivos!$A$5:$A$451,A353+1)&gt;0),1,0))</f>
        <v>0</v>
      </c>
      <c r="AG353" s="9">
        <f>IF(A353="",0,VLOOKUP(A353,Parámetros!$A$18:$B$21,2,TRUE()))</f>
        <v>0</v>
      </c>
      <c r="AH353" s="20">
        <f t="shared" si="116"/>
        <v>0</v>
      </c>
      <c r="AI353" s="20">
        <f>MAX(0,MIN(AB353,Parámetros!$B$11)-MAX(X353,0))+MAX(0,MIN(AB353,1+Parámetros!$B$11)-MAX(X353,AD353))+MAX(0,MIN(AB353,2)-MAX(X353,1+AD353))</f>
        <v>0</v>
      </c>
      <c r="AJ353" s="20">
        <f t="shared" si="117"/>
        <v>0</v>
      </c>
      <c r="AK353" s="20">
        <f>AE353*(MAX(0,MIN(AB353,Parámetros!$B$11)-MAX(X353,0))+MAX(0,MIN(AB353,1)-MAX(X353,AD353)))+AF353*(MAX(0,MIN(AB353,1+Parámetros!$B$11)-MAX(X353,1))+MAX(0,MIN(AB353,2)-MAX(X353,1+AD353)))</f>
        <v>0</v>
      </c>
      <c r="AL353" s="20">
        <f t="shared" si="118"/>
        <v>0</v>
      </c>
      <c r="AM353" s="20">
        <f>MAX(0,MIN(AC353,Parámetros!$B$11)-MAX(AB353,0))+MAX(0,MIN(AC353,1+Parámetros!$B$11)-MAX(AB353,AD353))+MAX(0,MIN(AC353,2)-MAX(AB353,1+AD353))</f>
        <v>0</v>
      </c>
      <c r="AN353" s="20">
        <f t="shared" si="119"/>
        <v>0</v>
      </c>
      <c r="AO353" s="20">
        <f>AE353*(MAX(0,MIN(AC353,Parámetros!$B$11)-MAX(AB353,0))+MAX(0,MIN(AC353,1)-MAX(AB353,AD353)))+AF353*(MAX(0,MIN(AC353,1+Parámetros!$B$11)-MAX(AB353,1))+MAX(0,MIN(AC353,2)-MAX(AB353,1+AD353)))</f>
        <v>0</v>
      </c>
    </row>
    <row r="354" spans="1:41" x14ac:dyDescent="0.25">
      <c r="A354" s="15"/>
      <c r="B354" s="8"/>
      <c r="C354" s="5" t="str">
        <f>IF(B354="","",IFERROR(INDEX(Trabajadores!$B$5:$B$204,MATCH(B354,Trabajadores!$A$5:$A$204,0)),"Cédula no registrada"))</f>
        <v/>
      </c>
      <c r="D354" s="11"/>
      <c r="E354" s="11"/>
      <c r="F354" s="8"/>
      <c r="G354" s="18" t="str">
        <f>IF(A354="","",IFERROR(INDEX(Trabajadores!$E$5:$E$204,MATCH(B354,Trabajadores!$A$5:$A$204,0))/Parámetros!$B$6,0)+IF(IFERROR(INDEX(Trabajadores!$E$5:$E$204,MATCH(B354,Trabajadores!$A$5:$A$204,0)),"")="",Parámetros!$B$7,0))</f>
        <v/>
      </c>
      <c r="H354" s="5" t="str">
        <f t="shared" si="100"/>
        <v/>
      </c>
      <c r="I354" s="5" t="str">
        <f>IF(A354="","",IF(COUNTIF(Festivos!$A$5:$A$451,A354)&gt;0,"Festivo",IF(WEEKDAY(A354,2)=7,"Domingo",IF(AND(AF354=1,AC354&gt;1),IF(COUNTIF(Festivos!$A$5:$A$451,A354+1)&gt;0,"Festivo","Domingo")&amp;" desde las 00:00",""))))</f>
        <v/>
      </c>
      <c r="J354" s="19" t="str">
        <f t="shared" si="101"/>
        <v/>
      </c>
      <c r="K354" s="19" t="str">
        <f t="shared" si="102"/>
        <v/>
      </c>
      <c r="L354" s="19" t="str">
        <f t="shared" si="103"/>
        <v/>
      </c>
      <c r="M354" s="19" t="str">
        <f t="shared" si="104"/>
        <v/>
      </c>
      <c r="N354" s="19" t="str">
        <f t="shared" si="105"/>
        <v/>
      </c>
      <c r="O354" s="19" t="str">
        <f t="shared" si="106"/>
        <v/>
      </c>
      <c r="P354" s="19" t="str">
        <f t="shared" si="107"/>
        <v/>
      </c>
      <c r="Q354" s="19" t="str">
        <f t="shared" si="108"/>
        <v/>
      </c>
      <c r="R354" s="19" t="str">
        <f t="shared" si="109"/>
        <v/>
      </c>
      <c r="S354" s="17" t="str">
        <f>IF(B354="","",IFERROR(INDEX(Trabajadores!$G$5:$G$204,MATCH(B354,Trabajadores!$A$5:$A$204,0)),""))</f>
        <v/>
      </c>
      <c r="T354" s="17" t="str">
        <f>IF(OR(OR(A354="",D354="",E354=""),S354=""),"",ROUND(S354*(N(L354)*Parámetros!$B$8+N(M354)*(1+Parámetros!$B$9)+N(N354)*(1+Parámetros!$B$10)+N(O354)*(1+AG354)+N(P354)*(1+AG354+Parámetros!$B$8)+N(Q354)*(1+AG354+Parámetros!$B$9)+N(R354)*(1+AG354+Parámetros!$B$10)),0))</f>
        <v/>
      </c>
      <c r="U354" s="5" t="str">
        <f>IF(OR(A354="",D354="",E354=""),"",IF(N(M354)+N(N354)+N(Q354)+N(R354)&gt;Parámetros!$B$12,"Supera el límite de horas extras diarias",IF(C354="Cédula no registrada","Registre la cédula en «Trabajadores»","")))</f>
        <v/>
      </c>
      <c r="X354" s="20">
        <f t="shared" si="110"/>
        <v>0</v>
      </c>
      <c r="Y354" s="20">
        <f t="shared" si="111"/>
        <v>0</v>
      </c>
      <c r="Z354" s="20">
        <f t="shared" si="112"/>
        <v>0</v>
      </c>
      <c r="AA354" s="20">
        <f t="shared" si="113"/>
        <v>0</v>
      </c>
      <c r="AB354" s="20">
        <f t="shared" si="114"/>
        <v>0</v>
      </c>
      <c r="AC354" s="20">
        <f t="shared" si="115"/>
        <v>0</v>
      </c>
      <c r="AD354" s="20">
        <f>IF(A354="",21/24,MOD(VLOOKUP(A354,Parámetros!$A$24:$B$25,2,TRUE()),1))</f>
        <v>0.875</v>
      </c>
      <c r="AE354" s="5">
        <f>IF(A354="",0,IF(OR(WEEKDAY(A354,2)=7,COUNTIF(Festivos!$A$5:$A$451,A354)&gt;0),1,0))</f>
        <v>0</v>
      </c>
      <c r="AF354" s="5">
        <f>IF(A354="",0,IF(OR(WEEKDAY(A354+1,2)=7,COUNTIF(Festivos!$A$5:$A$451,A354+1)&gt;0),1,0))</f>
        <v>0</v>
      </c>
      <c r="AG354" s="9">
        <f>IF(A354="",0,VLOOKUP(A354,Parámetros!$A$18:$B$21,2,TRUE()))</f>
        <v>0</v>
      </c>
      <c r="AH354" s="20">
        <f t="shared" si="116"/>
        <v>0</v>
      </c>
      <c r="AI354" s="20">
        <f>MAX(0,MIN(AB354,Parámetros!$B$11)-MAX(X354,0))+MAX(0,MIN(AB354,1+Parámetros!$B$11)-MAX(X354,AD354))+MAX(0,MIN(AB354,2)-MAX(X354,1+AD354))</f>
        <v>0</v>
      </c>
      <c r="AJ354" s="20">
        <f t="shared" si="117"/>
        <v>0</v>
      </c>
      <c r="AK354" s="20">
        <f>AE354*(MAX(0,MIN(AB354,Parámetros!$B$11)-MAX(X354,0))+MAX(0,MIN(AB354,1)-MAX(X354,AD354)))+AF354*(MAX(0,MIN(AB354,1+Parámetros!$B$11)-MAX(X354,1))+MAX(0,MIN(AB354,2)-MAX(X354,1+AD354)))</f>
        <v>0</v>
      </c>
      <c r="AL354" s="20">
        <f t="shared" si="118"/>
        <v>0</v>
      </c>
      <c r="AM354" s="20">
        <f>MAX(0,MIN(AC354,Parámetros!$B$11)-MAX(AB354,0))+MAX(0,MIN(AC354,1+Parámetros!$B$11)-MAX(AB354,AD354))+MAX(0,MIN(AC354,2)-MAX(AB354,1+AD354))</f>
        <v>0</v>
      </c>
      <c r="AN354" s="20">
        <f t="shared" si="119"/>
        <v>0</v>
      </c>
      <c r="AO354" s="20">
        <f>AE354*(MAX(0,MIN(AC354,Parámetros!$B$11)-MAX(AB354,0))+MAX(0,MIN(AC354,1)-MAX(AB354,AD354)))+AF354*(MAX(0,MIN(AC354,1+Parámetros!$B$11)-MAX(AB354,1))+MAX(0,MIN(AC354,2)-MAX(AB354,1+AD354)))</f>
        <v>0</v>
      </c>
    </row>
    <row r="355" spans="1:41" x14ac:dyDescent="0.25">
      <c r="A355" s="15"/>
      <c r="B355" s="8"/>
      <c r="C355" s="5" t="str">
        <f>IF(B355="","",IFERROR(INDEX(Trabajadores!$B$5:$B$204,MATCH(B355,Trabajadores!$A$5:$A$204,0)),"Cédula no registrada"))</f>
        <v/>
      </c>
      <c r="D355" s="11"/>
      <c r="E355" s="11"/>
      <c r="F355" s="8"/>
      <c r="G355" s="18" t="str">
        <f>IF(A355="","",IFERROR(INDEX(Trabajadores!$E$5:$E$204,MATCH(B355,Trabajadores!$A$5:$A$204,0))/Parámetros!$B$6,0)+IF(IFERROR(INDEX(Trabajadores!$E$5:$E$204,MATCH(B355,Trabajadores!$A$5:$A$204,0)),"")="",Parámetros!$B$7,0))</f>
        <v/>
      </c>
      <c r="H355" s="5" t="str">
        <f t="shared" si="100"/>
        <v/>
      </c>
      <c r="I355" s="5" t="str">
        <f>IF(A355="","",IF(COUNTIF(Festivos!$A$5:$A$451,A355)&gt;0,"Festivo",IF(WEEKDAY(A355,2)=7,"Domingo",IF(AND(AF355=1,AC355&gt;1),IF(COUNTIF(Festivos!$A$5:$A$451,A355+1)&gt;0,"Festivo","Domingo")&amp;" desde las 00:00",""))))</f>
        <v/>
      </c>
      <c r="J355" s="19" t="str">
        <f t="shared" si="101"/>
        <v/>
      </c>
      <c r="K355" s="19" t="str">
        <f t="shared" si="102"/>
        <v/>
      </c>
      <c r="L355" s="19" t="str">
        <f t="shared" si="103"/>
        <v/>
      </c>
      <c r="M355" s="19" t="str">
        <f t="shared" si="104"/>
        <v/>
      </c>
      <c r="N355" s="19" t="str">
        <f t="shared" si="105"/>
        <v/>
      </c>
      <c r="O355" s="19" t="str">
        <f t="shared" si="106"/>
        <v/>
      </c>
      <c r="P355" s="19" t="str">
        <f t="shared" si="107"/>
        <v/>
      </c>
      <c r="Q355" s="19" t="str">
        <f t="shared" si="108"/>
        <v/>
      </c>
      <c r="R355" s="19" t="str">
        <f t="shared" si="109"/>
        <v/>
      </c>
      <c r="S355" s="17" t="str">
        <f>IF(B355="","",IFERROR(INDEX(Trabajadores!$G$5:$G$204,MATCH(B355,Trabajadores!$A$5:$A$204,0)),""))</f>
        <v/>
      </c>
      <c r="T355" s="17" t="str">
        <f>IF(OR(OR(A355="",D355="",E355=""),S355=""),"",ROUND(S355*(N(L355)*Parámetros!$B$8+N(M355)*(1+Parámetros!$B$9)+N(N355)*(1+Parámetros!$B$10)+N(O355)*(1+AG355)+N(P355)*(1+AG355+Parámetros!$B$8)+N(Q355)*(1+AG355+Parámetros!$B$9)+N(R355)*(1+AG355+Parámetros!$B$10)),0))</f>
        <v/>
      </c>
      <c r="U355" s="5" t="str">
        <f>IF(OR(A355="",D355="",E355=""),"",IF(N(M355)+N(N355)+N(Q355)+N(R355)&gt;Parámetros!$B$12,"Supera el límite de horas extras diarias",IF(C355="Cédula no registrada","Registre la cédula en «Trabajadores»","")))</f>
        <v/>
      </c>
      <c r="X355" s="20">
        <f t="shared" si="110"/>
        <v>0</v>
      </c>
      <c r="Y355" s="20">
        <f t="shared" si="111"/>
        <v>0</v>
      </c>
      <c r="Z355" s="20">
        <f t="shared" si="112"/>
        <v>0</v>
      </c>
      <c r="AA355" s="20">
        <f t="shared" si="113"/>
        <v>0</v>
      </c>
      <c r="AB355" s="20">
        <f t="shared" si="114"/>
        <v>0</v>
      </c>
      <c r="AC355" s="20">
        <f t="shared" si="115"/>
        <v>0</v>
      </c>
      <c r="AD355" s="20">
        <f>IF(A355="",21/24,MOD(VLOOKUP(A355,Parámetros!$A$24:$B$25,2,TRUE()),1))</f>
        <v>0.875</v>
      </c>
      <c r="AE355" s="5">
        <f>IF(A355="",0,IF(OR(WEEKDAY(A355,2)=7,COUNTIF(Festivos!$A$5:$A$451,A355)&gt;0),1,0))</f>
        <v>0</v>
      </c>
      <c r="AF355" s="5">
        <f>IF(A355="",0,IF(OR(WEEKDAY(A355+1,2)=7,COUNTIF(Festivos!$A$5:$A$451,A355+1)&gt;0),1,0))</f>
        <v>0</v>
      </c>
      <c r="AG355" s="9">
        <f>IF(A355="",0,VLOOKUP(A355,Parámetros!$A$18:$B$21,2,TRUE()))</f>
        <v>0</v>
      </c>
      <c r="AH355" s="20">
        <f t="shared" si="116"/>
        <v>0</v>
      </c>
      <c r="AI355" s="20">
        <f>MAX(0,MIN(AB355,Parámetros!$B$11)-MAX(X355,0))+MAX(0,MIN(AB355,1+Parámetros!$B$11)-MAX(X355,AD355))+MAX(0,MIN(AB355,2)-MAX(X355,1+AD355))</f>
        <v>0</v>
      </c>
      <c r="AJ355" s="20">
        <f t="shared" si="117"/>
        <v>0</v>
      </c>
      <c r="AK355" s="20">
        <f>AE355*(MAX(0,MIN(AB355,Parámetros!$B$11)-MAX(X355,0))+MAX(0,MIN(AB355,1)-MAX(X355,AD355)))+AF355*(MAX(0,MIN(AB355,1+Parámetros!$B$11)-MAX(X355,1))+MAX(0,MIN(AB355,2)-MAX(X355,1+AD355)))</f>
        <v>0</v>
      </c>
      <c r="AL355" s="20">
        <f t="shared" si="118"/>
        <v>0</v>
      </c>
      <c r="AM355" s="20">
        <f>MAX(0,MIN(AC355,Parámetros!$B$11)-MAX(AB355,0))+MAX(0,MIN(AC355,1+Parámetros!$B$11)-MAX(AB355,AD355))+MAX(0,MIN(AC355,2)-MAX(AB355,1+AD355))</f>
        <v>0</v>
      </c>
      <c r="AN355" s="20">
        <f t="shared" si="119"/>
        <v>0</v>
      </c>
      <c r="AO355" s="20">
        <f>AE355*(MAX(0,MIN(AC355,Parámetros!$B$11)-MAX(AB355,0))+MAX(0,MIN(AC355,1)-MAX(AB355,AD355)))+AF355*(MAX(0,MIN(AC355,1+Parámetros!$B$11)-MAX(AB355,1))+MAX(0,MIN(AC355,2)-MAX(AB355,1+AD355)))</f>
        <v>0</v>
      </c>
    </row>
    <row r="356" spans="1:41" x14ac:dyDescent="0.25">
      <c r="A356" s="15"/>
      <c r="B356" s="8"/>
      <c r="C356" s="5" t="str">
        <f>IF(B356="","",IFERROR(INDEX(Trabajadores!$B$5:$B$204,MATCH(B356,Trabajadores!$A$5:$A$204,0)),"Cédula no registrada"))</f>
        <v/>
      </c>
      <c r="D356" s="11"/>
      <c r="E356" s="11"/>
      <c r="F356" s="8"/>
      <c r="G356" s="18" t="str">
        <f>IF(A356="","",IFERROR(INDEX(Trabajadores!$E$5:$E$204,MATCH(B356,Trabajadores!$A$5:$A$204,0))/Parámetros!$B$6,0)+IF(IFERROR(INDEX(Trabajadores!$E$5:$E$204,MATCH(B356,Trabajadores!$A$5:$A$204,0)),"")="",Parámetros!$B$7,0))</f>
        <v/>
      </c>
      <c r="H356" s="5" t="str">
        <f t="shared" si="100"/>
        <v/>
      </c>
      <c r="I356" s="5" t="str">
        <f>IF(A356="","",IF(COUNTIF(Festivos!$A$5:$A$451,A356)&gt;0,"Festivo",IF(WEEKDAY(A356,2)=7,"Domingo",IF(AND(AF356=1,AC356&gt;1),IF(COUNTIF(Festivos!$A$5:$A$451,A356+1)&gt;0,"Festivo","Domingo")&amp;" desde las 00:00",""))))</f>
        <v/>
      </c>
      <c r="J356" s="19" t="str">
        <f t="shared" si="101"/>
        <v/>
      </c>
      <c r="K356" s="19" t="str">
        <f t="shared" si="102"/>
        <v/>
      </c>
      <c r="L356" s="19" t="str">
        <f t="shared" si="103"/>
        <v/>
      </c>
      <c r="M356" s="19" t="str">
        <f t="shared" si="104"/>
        <v/>
      </c>
      <c r="N356" s="19" t="str">
        <f t="shared" si="105"/>
        <v/>
      </c>
      <c r="O356" s="19" t="str">
        <f t="shared" si="106"/>
        <v/>
      </c>
      <c r="P356" s="19" t="str">
        <f t="shared" si="107"/>
        <v/>
      </c>
      <c r="Q356" s="19" t="str">
        <f t="shared" si="108"/>
        <v/>
      </c>
      <c r="R356" s="19" t="str">
        <f t="shared" si="109"/>
        <v/>
      </c>
      <c r="S356" s="17" t="str">
        <f>IF(B356="","",IFERROR(INDEX(Trabajadores!$G$5:$G$204,MATCH(B356,Trabajadores!$A$5:$A$204,0)),""))</f>
        <v/>
      </c>
      <c r="T356" s="17" t="str">
        <f>IF(OR(OR(A356="",D356="",E356=""),S356=""),"",ROUND(S356*(N(L356)*Parámetros!$B$8+N(M356)*(1+Parámetros!$B$9)+N(N356)*(1+Parámetros!$B$10)+N(O356)*(1+AG356)+N(P356)*(1+AG356+Parámetros!$B$8)+N(Q356)*(1+AG356+Parámetros!$B$9)+N(R356)*(1+AG356+Parámetros!$B$10)),0))</f>
        <v/>
      </c>
      <c r="U356" s="5" t="str">
        <f>IF(OR(A356="",D356="",E356=""),"",IF(N(M356)+N(N356)+N(Q356)+N(R356)&gt;Parámetros!$B$12,"Supera el límite de horas extras diarias",IF(C356="Cédula no registrada","Registre la cédula en «Trabajadores»","")))</f>
        <v/>
      </c>
      <c r="X356" s="20">
        <f t="shared" si="110"/>
        <v>0</v>
      </c>
      <c r="Y356" s="20">
        <f t="shared" si="111"/>
        <v>0</v>
      </c>
      <c r="Z356" s="20">
        <f t="shared" si="112"/>
        <v>0</v>
      </c>
      <c r="AA356" s="20">
        <f t="shared" si="113"/>
        <v>0</v>
      </c>
      <c r="AB356" s="20">
        <f t="shared" si="114"/>
        <v>0</v>
      </c>
      <c r="AC356" s="20">
        <f t="shared" si="115"/>
        <v>0</v>
      </c>
      <c r="AD356" s="20">
        <f>IF(A356="",21/24,MOD(VLOOKUP(A356,Parámetros!$A$24:$B$25,2,TRUE()),1))</f>
        <v>0.875</v>
      </c>
      <c r="AE356" s="5">
        <f>IF(A356="",0,IF(OR(WEEKDAY(A356,2)=7,COUNTIF(Festivos!$A$5:$A$451,A356)&gt;0),1,0))</f>
        <v>0</v>
      </c>
      <c r="AF356" s="5">
        <f>IF(A356="",0,IF(OR(WEEKDAY(A356+1,2)=7,COUNTIF(Festivos!$A$5:$A$451,A356+1)&gt;0),1,0))</f>
        <v>0</v>
      </c>
      <c r="AG356" s="9">
        <f>IF(A356="",0,VLOOKUP(A356,Parámetros!$A$18:$B$21,2,TRUE()))</f>
        <v>0</v>
      </c>
      <c r="AH356" s="20">
        <f t="shared" si="116"/>
        <v>0</v>
      </c>
      <c r="AI356" s="20">
        <f>MAX(0,MIN(AB356,Parámetros!$B$11)-MAX(X356,0))+MAX(0,MIN(AB356,1+Parámetros!$B$11)-MAX(X356,AD356))+MAX(0,MIN(AB356,2)-MAX(X356,1+AD356))</f>
        <v>0</v>
      </c>
      <c r="AJ356" s="20">
        <f t="shared" si="117"/>
        <v>0</v>
      </c>
      <c r="AK356" s="20">
        <f>AE356*(MAX(0,MIN(AB356,Parámetros!$B$11)-MAX(X356,0))+MAX(0,MIN(AB356,1)-MAX(X356,AD356)))+AF356*(MAX(0,MIN(AB356,1+Parámetros!$B$11)-MAX(X356,1))+MAX(0,MIN(AB356,2)-MAX(X356,1+AD356)))</f>
        <v>0</v>
      </c>
      <c r="AL356" s="20">
        <f t="shared" si="118"/>
        <v>0</v>
      </c>
      <c r="AM356" s="20">
        <f>MAX(0,MIN(AC356,Parámetros!$B$11)-MAX(AB356,0))+MAX(0,MIN(AC356,1+Parámetros!$B$11)-MAX(AB356,AD356))+MAX(0,MIN(AC356,2)-MAX(AB356,1+AD356))</f>
        <v>0</v>
      </c>
      <c r="AN356" s="20">
        <f t="shared" si="119"/>
        <v>0</v>
      </c>
      <c r="AO356" s="20">
        <f>AE356*(MAX(0,MIN(AC356,Parámetros!$B$11)-MAX(AB356,0))+MAX(0,MIN(AC356,1)-MAX(AB356,AD356)))+AF356*(MAX(0,MIN(AC356,1+Parámetros!$B$11)-MAX(AB356,1))+MAX(0,MIN(AC356,2)-MAX(AB356,1+AD356)))</f>
        <v>0</v>
      </c>
    </row>
    <row r="357" spans="1:41" x14ac:dyDescent="0.25">
      <c r="A357" s="15"/>
      <c r="B357" s="8"/>
      <c r="C357" s="5" t="str">
        <f>IF(B357="","",IFERROR(INDEX(Trabajadores!$B$5:$B$204,MATCH(B357,Trabajadores!$A$5:$A$204,0)),"Cédula no registrada"))</f>
        <v/>
      </c>
      <c r="D357" s="11"/>
      <c r="E357" s="11"/>
      <c r="F357" s="8"/>
      <c r="G357" s="18" t="str">
        <f>IF(A357="","",IFERROR(INDEX(Trabajadores!$E$5:$E$204,MATCH(B357,Trabajadores!$A$5:$A$204,0))/Parámetros!$B$6,0)+IF(IFERROR(INDEX(Trabajadores!$E$5:$E$204,MATCH(B357,Trabajadores!$A$5:$A$204,0)),"")="",Parámetros!$B$7,0))</f>
        <v/>
      </c>
      <c r="H357" s="5" t="str">
        <f t="shared" si="100"/>
        <v/>
      </c>
      <c r="I357" s="5" t="str">
        <f>IF(A357="","",IF(COUNTIF(Festivos!$A$5:$A$451,A357)&gt;0,"Festivo",IF(WEEKDAY(A357,2)=7,"Domingo",IF(AND(AF357=1,AC357&gt;1),IF(COUNTIF(Festivos!$A$5:$A$451,A357+1)&gt;0,"Festivo","Domingo")&amp;" desde las 00:00",""))))</f>
        <v/>
      </c>
      <c r="J357" s="19" t="str">
        <f t="shared" si="101"/>
        <v/>
      </c>
      <c r="K357" s="19" t="str">
        <f t="shared" si="102"/>
        <v/>
      </c>
      <c r="L357" s="19" t="str">
        <f t="shared" si="103"/>
        <v/>
      </c>
      <c r="M357" s="19" t="str">
        <f t="shared" si="104"/>
        <v/>
      </c>
      <c r="N357" s="19" t="str">
        <f t="shared" si="105"/>
        <v/>
      </c>
      <c r="O357" s="19" t="str">
        <f t="shared" si="106"/>
        <v/>
      </c>
      <c r="P357" s="19" t="str">
        <f t="shared" si="107"/>
        <v/>
      </c>
      <c r="Q357" s="19" t="str">
        <f t="shared" si="108"/>
        <v/>
      </c>
      <c r="R357" s="19" t="str">
        <f t="shared" si="109"/>
        <v/>
      </c>
      <c r="S357" s="17" t="str">
        <f>IF(B357="","",IFERROR(INDEX(Trabajadores!$G$5:$G$204,MATCH(B357,Trabajadores!$A$5:$A$204,0)),""))</f>
        <v/>
      </c>
      <c r="T357" s="17" t="str">
        <f>IF(OR(OR(A357="",D357="",E357=""),S357=""),"",ROUND(S357*(N(L357)*Parámetros!$B$8+N(M357)*(1+Parámetros!$B$9)+N(N357)*(1+Parámetros!$B$10)+N(O357)*(1+AG357)+N(P357)*(1+AG357+Parámetros!$B$8)+N(Q357)*(1+AG357+Parámetros!$B$9)+N(R357)*(1+AG357+Parámetros!$B$10)),0))</f>
        <v/>
      </c>
      <c r="U357" s="5" t="str">
        <f>IF(OR(A357="",D357="",E357=""),"",IF(N(M357)+N(N357)+N(Q357)+N(R357)&gt;Parámetros!$B$12,"Supera el límite de horas extras diarias",IF(C357="Cédula no registrada","Registre la cédula en «Trabajadores»","")))</f>
        <v/>
      </c>
      <c r="X357" s="20">
        <f t="shared" si="110"/>
        <v>0</v>
      </c>
      <c r="Y357" s="20">
        <f t="shared" si="111"/>
        <v>0</v>
      </c>
      <c r="Z357" s="20">
        <f t="shared" si="112"/>
        <v>0</v>
      </c>
      <c r="AA357" s="20">
        <f t="shared" si="113"/>
        <v>0</v>
      </c>
      <c r="AB357" s="20">
        <f t="shared" si="114"/>
        <v>0</v>
      </c>
      <c r="AC357" s="20">
        <f t="shared" si="115"/>
        <v>0</v>
      </c>
      <c r="AD357" s="20">
        <f>IF(A357="",21/24,MOD(VLOOKUP(A357,Parámetros!$A$24:$B$25,2,TRUE()),1))</f>
        <v>0.875</v>
      </c>
      <c r="AE357" s="5">
        <f>IF(A357="",0,IF(OR(WEEKDAY(A357,2)=7,COUNTIF(Festivos!$A$5:$A$451,A357)&gt;0),1,0))</f>
        <v>0</v>
      </c>
      <c r="AF357" s="5">
        <f>IF(A357="",0,IF(OR(WEEKDAY(A357+1,2)=7,COUNTIF(Festivos!$A$5:$A$451,A357+1)&gt;0),1,0))</f>
        <v>0</v>
      </c>
      <c r="AG357" s="9">
        <f>IF(A357="",0,VLOOKUP(A357,Parámetros!$A$18:$B$21,2,TRUE()))</f>
        <v>0</v>
      </c>
      <c r="AH357" s="20">
        <f t="shared" si="116"/>
        <v>0</v>
      </c>
      <c r="AI357" s="20">
        <f>MAX(0,MIN(AB357,Parámetros!$B$11)-MAX(X357,0))+MAX(0,MIN(AB357,1+Parámetros!$B$11)-MAX(X357,AD357))+MAX(0,MIN(AB357,2)-MAX(X357,1+AD357))</f>
        <v>0</v>
      </c>
      <c r="AJ357" s="20">
        <f t="shared" si="117"/>
        <v>0</v>
      </c>
      <c r="AK357" s="20">
        <f>AE357*(MAX(0,MIN(AB357,Parámetros!$B$11)-MAX(X357,0))+MAX(0,MIN(AB357,1)-MAX(X357,AD357)))+AF357*(MAX(0,MIN(AB357,1+Parámetros!$B$11)-MAX(X357,1))+MAX(0,MIN(AB357,2)-MAX(X357,1+AD357)))</f>
        <v>0</v>
      </c>
      <c r="AL357" s="20">
        <f t="shared" si="118"/>
        <v>0</v>
      </c>
      <c r="AM357" s="20">
        <f>MAX(0,MIN(AC357,Parámetros!$B$11)-MAX(AB357,0))+MAX(0,MIN(AC357,1+Parámetros!$B$11)-MAX(AB357,AD357))+MAX(0,MIN(AC357,2)-MAX(AB357,1+AD357))</f>
        <v>0</v>
      </c>
      <c r="AN357" s="20">
        <f t="shared" si="119"/>
        <v>0</v>
      </c>
      <c r="AO357" s="20">
        <f>AE357*(MAX(0,MIN(AC357,Parámetros!$B$11)-MAX(AB357,0))+MAX(0,MIN(AC357,1)-MAX(AB357,AD357)))+AF357*(MAX(0,MIN(AC357,1+Parámetros!$B$11)-MAX(AB357,1))+MAX(0,MIN(AC357,2)-MAX(AB357,1+AD357)))</f>
        <v>0</v>
      </c>
    </row>
    <row r="358" spans="1:41" x14ac:dyDescent="0.25">
      <c r="A358" s="15"/>
      <c r="B358" s="8"/>
      <c r="C358" s="5" t="str">
        <f>IF(B358="","",IFERROR(INDEX(Trabajadores!$B$5:$B$204,MATCH(B358,Trabajadores!$A$5:$A$204,0)),"Cédula no registrada"))</f>
        <v/>
      </c>
      <c r="D358" s="11"/>
      <c r="E358" s="11"/>
      <c r="F358" s="8"/>
      <c r="G358" s="18" t="str">
        <f>IF(A358="","",IFERROR(INDEX(Trabajadores!$E$5:$E$204,MATCH(B358,Trabajadores!$A$5:$A$204,0))/Parámetros!$B$6,0)+IF(IFERROR(INDEX(Trabajadores!$E$5:$E$204,MATCH(B358,Trabajadores!$A$5:$A$204,0)),"")="",Parámetros!$B$7,0))</f>
        <v/>
      </c>
      <c r="H358" s="5" t="str">
        <f t="shared" si="100"/>
        <v/>
      </c>
      <c r="I358" s="5" t="str">
        <f>IF(A358="","",IF(COUNTIF(Festivos!$A$5:$A$451,A358)&gt;0,"Festivo",IF(WEEKDAY(A358,2)=7,"Domingo",IF(AND(AF358=1,AC358&gt;1),IF(COUNTIF(Festivos!$A$5:$A$451,A358+1)&gt;0,"Festivo","Domingo")&amp;" desde las 00:00",""))))</f>
        <v/>
      </c>
      <c r="J358" s="19" t="str">
        <f t="shared" si="101"/>
        <v/>
      </c>
      <c r="K358" s="19" t="str">
        <f t="shared" si="102"/>
        <v/>
      </c>
      <c r="L358" s="19" t="str">
        <f t="shared" si="103"/>
        <v/>
      </c>
      <c r="M358" s="19" t="str">
        <f t="shared" si="104"/>
        <v/>
      </c>
      <c r="N358" s="19" t="str">
        <f t="shared" si="105"/>
        <v/>
      </c>
      <c r="O358" s="19" t="str">
        <f t="shared" si="106"/>
        <v/>
      </c>
      <c r="P358" s="19" t="str">
        <f t="shared" si="107"/>
        <v/>
      </c>
      <c r="Q358" s="19" t="str">
        <f t="shared" si="108"/>
        <v/>
      </c>
      <c r="R358" s="19" t="str">
        <f t="shared" si="109"/>
        <v/>
      </c>
      <c r="S358" s="17" t="str">
        <f>IF(B358="","",IFERROR(INDEX(Trabajadores!$G$5:$G$204,MATCH(B358,Trabajadores!$A$5:$A$204,0)),""))</f>
        <v/>
      </c>
      <c r="T358" s="17" t="str">
        <f>IF(OR(OR(A358="",D358="",E358=""),S358=""),"",ROUND(S358*(N(L358)*Parámetros!$B$8+N(M358)*(1+Parámetros!$B$9)+N(N358)*(1+Parámetros!$B$10)+N(O358)*(1+AG358)+N(P358)*(1+AG358+Parámetros!$B$8)+N(Q358)*(1+AG358+Parámetros!$B$9)+N(R358)*(1+AG358+Parámetros!$B$10)),0))</f>
        <v/>
      </c>
      <c r="U358" s="5" t="str">
        <f>IF(OR(A358="",D358="",E358=""),"",IF(N(M358)+N(N358)+N(Q358)+N(R358)&gt;Parámetros!$B$12,"Supera el límite de horas extras diarias",IF(C358="Cédula no registrada","Registre la cédula en «Trabajadores»","")))</f>
        <v/>
      </c>
      <c r="X358" s="20">
        <f t="shared" si="110"/>
        <v>0</v>
      </c>
      <c r="Y358" s="20">
        <f t="shared" si="111"/>
        <v>0</v>
      </c>
      <c r="Z358" s="20">
        <f t="shared" si="112"/>
        <v>0</v>
      </c>
      <c r="AA358" s="20">
        <f t="shared" si="113"/>
        <v>0</v>
      </c>
      <c r="AB358" s="20">
        <f t="shared" si="114"/>
        <v>0</v>
      </c>
      <c r="AC358" s="20">
        <f t="shared" si="115"/>
        <v>0</v>
      </c>
      <c r="AD358" s="20">
        <f>IF(A358="",21/24,MOD(VLOOKUP(A358,Parámetros!$A$24:$B$25,2,TRUE()),1))</f>
        <v>0.875</v>
      </c>
      <c r="AE358" s="5">
        <f>IF(A358="",0,IF(OR(WEEKDAY(A358,2)=7,COUNTIF(Festivos!$A$5:$A$451,A358)&gt;0),1,0))</f>
        <v>0</v>
      </c>
      <c r="AF358" s="5">
        <f>IF(A358="",0,IF(OR(WEEKDAY(A358+1,2)=7,COUNTIF(Festivos!$A$5:$A$451,A358+1)&gt;0),1,0))</f>
        <v>0</v>
      </c>
      <c r="AG358" s="9">
        <f>IF(A358="",0,VLOOKUP(A358,Parámetros!$A$18:$B$21,2,TRUE()))</f>
        <v>0</v>
      </c>
      <c r="AH358" s="20">
        <f t="shared" si="116"/>
        <v>0</v>
      </c>
      <c r="AI358" s="20">
        <f>MAX(0,MIN(AB358,Parámetros!$B$11)-MAX(X358,0))+MAX(0,MIN(AB358,1+Parámetros!$B$11)-MAX(X358,AD358))+MAX(0,MIN(AB358,2)-MAX(X358,1+AD358))</f>
        <v>0</v>
      </c>
      <c r="AJ358" s="20">
        <f t="shared" si="117"/>
        <v>0</v>
      </c>
      <c r="AK358" s="20">
        <f>AE358*(MAX(0,MIN(AB358,Parámetros!$B$11)-MAX(X358,0))+MAX(0,MIN(AB358,1)-MAX(X358,AD358)))+AF358*(MAX(0,MIN(AB358,1+Parámetros!$B$11)-MAX(X358,1))+MAX(0,MIN(AB358,2)-MAX(X358,1+AD358)))</f>
        <v>0</v>
      </c>
      <c r="AL358" s="20">
        <f t="shared" si="118"/>
        <v>0</v>
      </c>
      <c r="AM358" s="20">
        <f>MAX(0,MIN(AC358,Parámetros!$B$11)-MAX(AB358,0))+MAX(0,MIN(AC358,1+Parámetros!$B$11)-MAX(AB358,AD358))+MAX(0,MIN(AC358,2)-MAX(AB358,1+AD358))</f>
        <v>0</v>
      </c>
      <c r="AN358" s="20">
        <f t="shared" si="119"/>
        <v>0</v>
      </c>
      <c r="AO358" s="20">
        <f>AE358*(MAX(0,MIN(AC358,Parámetros!$B$11)-MAX(AB358,0))+MAX(0,MIN(AC358,1)-MAX(AB358,AD358)))+AF358*(MAX(0,MIN(AC358,1+Parámetros!$B$11)-MAX(AB358,1))+MAX(0,MIN(AC358,2)-MAX(AB358,1+AD358)))</f>
        <v>0</v>
      </c>
    </row>
    <row r="359" spans="1:41" x14ac:dyDescent="0.25">
      <c r="A359" s="15"/>
      <c r="B359" s="8"/>
      <c r="C359" s="5" t="str">
        <f>IF(B359="","",IFERROR(INDEX(Trabajadores!$B$5:$B$204,MATCH(B359,Trabajadores!$A$5:$A$204,0)),"Cédula no registrada"))</f>
        <v/>
      </c>
      <c r="D359" s="11"/>
      <c r="E359" s="11"/>
      <c r="F359" s="8"/>
      <c r="G359" s="18" t="str">
        <f>IF(A359="","",IFERROR(INDEX(Trabajadores!$E$5:$E$204,MATCH(B359,Trabajadores!$A$5:$A$204,0))/Parámetros!$B$6,0)+IF(IFERROR(INDEX(Trabajadores!$E$5:$E$204,MATCH(B359,Trabajadores!$A$5:$A$204,0)),"")="",Parámetros!$B$7,0))</f>
        <v/>
      </c>
      <c r="H359" s="5" t="str">
        <f t="shared" si="100"/>
        <v/>
      </c>
      <c r="I359" s="5" t="str">
        <f>IF(A359="","",IF(COUNTIF(Festivos!$A$5:$A$451,A359)&gt;0,"Festivo",IF(WEEKDAY(A359,2)=7,"Domingo",IF(AND(AF359=1,AC359&gt;1),IF(COUNTIF(Festivos!$A$5:$A$451,A359+1)&gt;0,"Festivo","Domingo")&amp;" desde las 00:00",""))))</f>
        <v/>
      </c>
      <c r="J359" s="19" t="str">
        <f t="shared" si="101"/>
        <v/>
      </c>
      <c r="K359" s="19" t="str">
        <f t="shared" si="102"/>
        <v/>
      </c>
      <c r="L359" s="19" t="str">
        <f t="shared" si="103"/>
        <v/>
      </c>
      <c r="M359" s="19" t="str">
        <f t="shared" si="104"/>
        <v/>
      </c>
      <c r="N359" s="19" t="str">
        <f t="shared" si="105"/>
        <v/>
      </c>
      <c r="O359" s="19" t="str">
        <f t="shared" si="106"/>
        <v/>
      </c>
      <c r="P359" s="19" t="str">
        <f t="shared" si="107"/>
        <v/>
      </c>
      <c r="Q359" s="19" t="str">
        <f t="shared" si="108"/>
        <v/>
      </c>
      <c r="R359" s="19" t="str">
        <f t="shared" si="109"/>
        <v/>
      </c>
      <c r="S359" s="17" t="str">
        <f>IF(B359="","",IFERROR(INDEX(Trabajadores!$G$5:$G$204,MATCH(B359,Trabajadores!$A$5:$A$204,0)),""))</f>
        <v/>
      </c>
      <c r="T359" s="17" t="str">
        <f>IF(OR(OR(A359="",D359="",E359=""),S359=""),"",ROUND(S359*(N(L359)*Parámetros!$B$8+N(M359)*(1+Parámetros!$B$9)+N(N359)*(1+Parámetros!$B$10)+N(O359)*(1+AG359)+N(P359)*(1+AG359+Parámetros!$B$8)+N(Q359)*(1+AG359+Parámetros!$B$9)+N(R359)*(1+AG359+Parámetros!$B$10)),0))</f>
        <v/>
      </c>
      <c r="U359" s="5" t="str">
        <f>IF(OR(A359="",D359="",E359=""),"",IF(N(M359)+N(N359)+N(Q359)+N(R359)&gt;Parámetros!$B$12,"Supera el límite de horas extras diarias",IF(C359="Cédula no registrada","Registre la cédula en «Trabajadores»","")))</f>
        <v/>
      </c>
      <c r="X359" s="20">
        <f t="shared" si="110"/>
        <v>0</v>
      </c>
      <c r="Y359" s="20">
        <f t="shared" si="111"/>
        <v>0</v>
      </c>
      <c r="Z359" s="20">
        <f t="shared" si="112"/>
        <v>0</v>
      </c>
      <c r="AA359" s="20">
        <f t="shared" si="113"/>
        <v>0</v>
      </c>
      <c r="AB359" s="20">
        <f t="shared" si="114"/>
        <v>0</v>
      </c>
      <c r="AC359" s="20">
        <f t="shared" si="115"/>
        <v>0</v>
      </c>
      <c r="AD359" s="20">
        <f>IF(A359="",21/24,MOD(VLOOKUP(A359,Parámetros!$A$24:$B$25,2,TRUE()),1))</f>
        <v>0.875</v>
      </c>
      <c r="AE359" s="5">
        <f>IF(A359="",0,IF(OR(WEEKDAY(A359,2)=7,COUNTIF(Festivos!$A$5:$A$451,A359)&gt;0),1,0))</f>
        <v>0</v>
      </c>
      <c r="AF359" s="5">
        <f>IF(A359="",0,IF(OR(WEEKDAY(A359+1,2)=7,COUNTIF(Festivos!$A$5:$A$451,A359+1)&gt;0),1,0))</f>
        <v>0</v>
      </c>
      <c r="AG359" s="9">
        <f>IF(A359="",0,VLOOKUP(A359,Parámetros!$A$18:$B$21,2,TRUE()))</f>
        <v>0</v>
      </c>
      <c r="AH359" s="20">
        <f t="shared" si="116"/>
        <v>0</v>
      </c>
      <c r="AI359" s="20">
        <f>MAX(0,MIN(AB359,Parámetros!$B$11)-MAX(X359,0))+MAX(0,MIN(AB359,1+Parámetros!$B$11)-MAX(X359,AD359))+MAX(0,MIN(AB359,2)-MAX(X359,1+AD359))</f>
        <v>0</v>
      </c>
      <c r="AJ359" s="20">
        <f t="shared" si="117"/>
        <v>0</v>
      </c>
      <c r="AK359" s="20">
        <f>AE359*(MAX(0,MIN(AB359,Parámetros!$B$11)-MAX(X359,0))+MAX(0,MIN(AB359,1)-MAX(X359,AD359)))+AF359*(MAX(0,MIN(AB359,1+Parámetros!$B$11)-MAX(X359,1))+MAX(0,MIN(AB359,2)-MAX(X359,1+AD359)))</f>
        <v>0</v>
      </c>
      <c r="AL359" s="20">
        <f t="shared" si="118"/>
        <v>0</v>
      </c>
      <c r="AM359" s="20">
        <f>MAX(0,MIN(AC359,Parámetros!$B$11)-MAX(AB359,0))+MAX(0,MIN(AC359,1+Parámetros!$B$11)-MAX(AB359,AD359))+MAX(0,MIN(AC359,2)-MAX(AB359,1+AD359))</f>
        <v>0</v>
      </c>
      <c r="AN359" s="20">
        <f t="shared" si="119"/>
        <v>0</v>
      </c>
      <c r="AO359" s="20">
        <f>AE359*(MAX(0,MIN(AC359,Parámetros!$B$11)-MAX(AB359,0))+MAX(0,MIN(AC359,1)-MAX(AB359,AD359)))+AF359*(MAX(0,MIN(AC359,1+Parámetros!$B$11)-MAX(AB359,1))+MAX(0,MIN(AC359,2)-MAX(AB359,1+AD359)))</f>
        <v>0</v>
      </c>
    </row>
    <row r="360" spans="1:41" x14ac:dyDescent="0.25">
      <c r="A360" s="15"/>
      <c r="B360" s="8"/>
      <c r="C360" s="5" t="str">
        <f>IF(B360="","",IFERROR(INDEX(Trabajadores!$B$5:$B$204,MATCH(B360,Trabajadores!$A$5:$A$204,0)),"Cédula no registrada"))</f>
        <v/>
      </c>
      <c r="D360" s="11"/>
      <c r="E360" s="11"/>
      <c r="F360" s="8"/>
      <c r="G360" s="18" t="str">
        <f>IF(A360="","",IFERROR(INDEX(Trabajadores!$E$5:$E$204,MATCH(B360,Trabajadores!$A$5:$A$204,0))/Parámetros!$B$6,0)+IF(IFERROR(INDEX(Trabajadores!$E$5:$E$204,MATCH(B360,Trabajadores!$A$5:$A$204,0)),"")="",Parámetros!$B$7,0))</f>
        <v/>
      </c>
      <c r="H360" s="5" t="str">
        <f t="shared" si="100"/>
        <v/>
      </c>
      <c r="I360" s="5" t="str">
        <f>IF(A360="","",IF(COUNTIF(Festivos!$A$5:$A$451,A360)&gt;0,"Festivo",IF(WEEKDAY(A360,2)=7,"Domingo",IF(AND(AF360=1,AC360&gt;1),IF(COUNTIF(Festivos!$A$5:$A$451,A360+1)&gt;0,"Festivo","Domingo")&amp;" desde las 00:00",""))))</f>
        <v/>
      </c>
      <c r="J360" s="19" t="str">
        <f t="shared" si="101"/>
        <v/>
      </c>
      <c r="K360" s="19" t="str">
        <f t="shared" si="102"/>
        <v/>
      </c>
      <c r="L360" s="19" t="str">
        <f t="shared" si="103"/>
        <v/>
      </c>
      <c r="M360" s="19" t="str">
        <f t="shared" si="104"/>
        <v/>
      </c>
      <c r="N360" s="19" t="str">
        <f t="shared" si="105"/>
        <v/>
      </c>
      <c r="O360" s="19" t="str">
        <f t="shared" si="106"/>
        <v/>
      </c>
      <c r="P360" s="19" t="str">
        <f t="shared" si="107"/>
        <v/>
      </c>
      <c r="Q360" s="19" t="str">
        <f t="shared" si="108"/>
        <v/>
      </c>
      <c r="R360" s="19" t="str">
        <f t="shared" si="109"/>
        <v/>
      </c>
      <c r="S360" s="17" t="str">
        <f>IF(B360="","",IFERROR(INDEX(Trabajadores!$G$5:$G$204,MATCH(B360,Trabajadores!$A$5:$A$204,0)),""))</f>
        <v/>
      </c>
      <c r="T360" s="17" t="str">
        <f>IF(OR(OR(A360="",D360="",E360=""),S360=""),"",ROUND(S360*(N(L360)*Parámetros!$B$8+N(M360)*(1+Parámetros!$B$9)+N(N360)*(1+Parámetros!$B$10)+N(O360)*(1+AG360)+N(P360)*(1+AG360+Parámetros!$B$8)+N(Q360)*(1+AG360+Parámetros!$B$9)+N(R360)*(1+AG360+Parámetros!$B$10)),0))</f>
        <v/>
      </c>
      <c r="U360" s="5" t="str">
        <f>IF(OR(A360="",D360="",E360=""),"",IF(N(M360)+N(N360)+N(Q360)+N(R360)&gt;Parámetros!$B$12,"Supera el límite de horas extras diarias",IF(C360="Cédula no registrada","Registre la cédula en «Trabajadores»","")))</f>
        <v/>
      </c>
      <c r="X360" s="20">
        <f t="shared" si="110"/>
        <v>0</v>
      </c>
      <c r="Y360" s="20">
        <f t="shared" si="111"/>
        <v>0</v>
      </c>
      <c r="Z360" s="20">
        <f t="shared" si="112"/>
        <v>0</v>
      </c>
      <c r="AA360" s="20">
        <f t="shared" si="113"/>
        <v>0</v>
      </c>
      <c r="AB360" s="20">
        <f t="shared" si="114"/>
        <v>0</v>
      </c>
      <c r="AC360" s="20">
        <f t="shared" si="115"/>
        <v>0</v>
      </c>
      <c r="AD360" s="20">
        <f>IF(A360="",21/24,MOD(VLOOKUP(A360,Parámetros!$A$24:$B$25,2,TRUE()),1))</f>
        <v>0.875</v>
      </c>
      <c r="AE360" s="5">
        <f>IF(A360="",0,IF(OR(WEEKDAY(A360,2)=7,COUNTIF(Festivos!$A$5:$A$451,A360)&gt;0),1,0))</f>
        <v>0</v>
      </c>
      <c r="AF360" s="5">
        <f>IF(A360="",0,IF(OR(WEEKDAY(A360+1,2)=7,COUNTIF(Festivos!$A$5:$A$451,A360+1)&gt;0),1,0))</f>
        <v>0</v>
      </c>
      <c r="AG360" s="9">
        <f>IF(A360="",0,VLOOKUP(A360,Parámetros!$A$18:$B$21,2,TRUE()))</f>
        <v>0</v>
      </c>
      <c r="AH360" s="20">
        <f t="shared" si="116"/>
        <v>0</v>
      </c>
      <c r="AI360" s="20">
        <f>MAX(0,MIN(AB360,Parámetros!$B$11)-MAX(X360,0))+MAX(0,MIN(AB360,1+Parámetros!$B$11)-MAX(X360,AD360))+MAX(0,MIN(AB360,2)-MAX(X360,1+AD360))</f>
        <v>0</v>
      </c>
      <c r="AJ360" s="20">
        <f t="shared" si="117"/>
        <v>0</v>
      </c>
      <c r="AK360" s="20">
        <f>AE360*(MAX(0,MIN(AB360,Parámetros!$B$11)-MAX(X360,0))+MAX(0,MIN(AB360,1)-MAX(X360,AD360)))+AF360*(MAX(0,MIN(AB360,1+Parámetros!$B$11)-MAX(X360,1))+MAX(0,MIN(AB360,2)-MAX(X360,1+AD360)))</f>
        <v>0</v>
      </c>
      <c r="AL360" s="20">
        <f t="shared" si="118"/>
        <v>0</v>
      </c>
      <c r="AM360" s="20">
        <f>MAX(0,MIN(AC360,Parámetros!$B$11)-MAX(AB360,0))+MAX(0,MIN(AC360,1+Parámetros!$B$11)-MAX(AB360,AD360))+MAX(0,MIN(AC360,2)-MAX(AB360,1+AD360))</f>
        <v>0</v>
      </c>
      <c r="AN360" s="20">
        <f t="shared" si="119"/>
        <v>0</v>
      </c>
      <c r="AO360" s="20">
        <f>AE360*(MAX(0,MIN(AC360,Parámetros!$B$11)-MAX(AB360,0))+MAX(0,MIN(AC360,1)-MAX(AB360,AD360)))+AF360*(MAX(0,MIN(AC360,1+Parámetros!$B$11)-MAX(AB360,1))+MAX(0,MIN(AC360,2)-MAX(AB360,1+AD360)))</f>
        <v>0</v>
      </c>
    </row>
    <row r="361" spans="1:41" x14ac:dyDescent="0.25">
      <c r="A361" s="15"/>
      <c r="B361" s="8"/>
      <c r="C361" s="5" t="str">
        <f>IF(B361="","",IFERROR(INDEX(Trabajadores!$B$5:$B$204,MATCH(B361,Trabajadores!$A$5:$A$204,0)),"Cédula no registrada"))</f>
        <v/>
      </c>
      <c r="D361" s="11"/>
      <c r="E361" s="11"/>
      <c r="F361" s="8"/>
      <c r="G361" s="18" t="str">
        <f>IF(A361="","",IFERROR(INDEX(Trabajadores!$E$5:$E$204,MATCH(B361,Trabajadores!$A$5:$A$204,0))/Parámetros!$B$6,0)+IF(IFERROR(INDEX(Trabajadores!$E$5:$E$204,MATCH(B361,Trabajadores!$A$5:$A$204,0)),"")="",Parámetros!$B$7,0))</f>
        <v/>
      </c>
      <c r="H361" s="5" t="str">
        <f t="shared" si="100"/>
        <v/>
      </c>
      <c r="I361" s="5" t="str">
        <f>IF(A361="","",IF(COUNTIF(Festivos!$A$5:$A$451,A361)&gt;0,"Festivo",IF(WEEKDAY(A361,2)=7,"Domingo",IF(AND(AF361=1,AC361&gt;1),IF(COUNTIF(Festivos!$A$5:$A$451,A361+1)&gt;0,"Festivo","Domingo")&amp;" desde las 00:00",""))))</f>
        <v/>
      </c>
      <c r="J361" s="19" t="str">
        <f t="shared" si="101"/>
        <v/>
      </c>
      <c r="K361" s="19" t="str">
        <f t="shared" si="102"/>
        <v/>
      </c>
      <c r="L361" s="19" t="str">
        <f t="shared" si="103"/>
        <v/>
      </c>
      <c r="M361" s="19" t="str">
        <f t="shared" si="104"/>
        <v/>
      </c>
      <c r="N361" s="19" t="str">
        <f t="shared" si="105"/>
        <v/>
      </c>
      <c r="O361" s="19" t="str">
        <f t="shared" si="106"/>
        <v/>
      </c>
      <c r="P361" s="19" t="str">
        <f t="shared" si="107"/>
        <v/>
      </c>
      <c r="Q361" s="19" t="str">
        <f t="shared" si="108"/>
        <v/>
      </c>
      <c r="R361" s="19" t="str">
        <f t="shared" si="109"/>
        <v/>
      </c>
      <c r="S361" s="17" t="str">
        <f>IF(B361="","",IFERROR(INDEX(Trabajadores!$G$5:$G$204,MATCH(B361,Trabajadores!$A$5:$A$204,0)),""))</f>
        <v/>
      </c>
      <c r="T361" s="17" t="str">
        <f>IF(OR(OR(A361="",D361="",E361=""),S361=""),"",ROUND(S361*(N(L361)*Parámetros!$B$8+N(M361)*(1+Parámetros!$B$9)+N(N361)*(1+Parámetros!$B$10)+N(O361)*(1+AG361)+N(P361)*(1+AG361+Parámetros!$B$8)+N(Q361)*(1+AG361+Parámetros!$B$9)+N(R361)*(1+AG361+Parámetros!$B$10)),0))</f>
        <v/>
      </c>
      <c r="U361" s="5" t="str">
        <f>IF(OR(A361="",D361="",E361=""),"",IF(N(M361)+N(N361)+N(Q361)+N(R361)&gt;Parámetros!$B$12,"Supera el límite de horas extras diarias",IF(C361="Cédula no registrada","Registre la cédula en «Trabajadores»","")))</f>
        <v/>
      </c>
      <c r="X361" s="20">
        <f t="shared" si="110"/>
        <v>0</v>
      </c>
      <c r="Y361" s="20">
        <f t="shared" si="111"/>
        <v>0</v>
      </c>
      <c r="Z361" s="20">
        <f t="shared" si="112"/>
        <v>0</v>
      </c>
      <c r="AA361" s="20">
        <f t="shared" si="113"/>
        <v>0</v>
      </c>
      <c r="AB361" s="20">
        <f t="shared" si="114"/>
        <v>0</v>
      </c>
      <c r="AC361" s="20">
        <f t="shared" si="115"/>
        <v>0</v>
      </c>
      <c r="AD361" s="20">
        <f>IF(A361="",21/24,MOD(VLOOKUP(A361,Parámetros!$A$24:$B$25,2,TRUE()),1))</f>
        <v>0.875</v>
      </c>
      <c r="AE361" s="5">
        <f>IF(A361="",0,IF(OR(WEEKDAY(A361,2)=7,COUNTIF(Festivos!$A$5:$A$451,A361)&gt;0),1,0))</f>
        <v>0</v>
      </c>
      <c r="AF361" s="5">
        <f>IF(A361="",0,IF(OR(WEEKDAY(A361+1,2)=7,COUNTIF(Festivos!$A$5:$A$451,A361+1)&gt;0),1,0))</f>
        <v>0</v>
      </c>
      <c r="AG361" s="9">
        <f>IF(A361="",0,VLOOKUP(A361,Parámetros!$A$18:$B$21,2,TRUE()))</f>
        <v>0</v>
      </c>
      <c r="AH361" s="20">
        <f t="shared" si="116"/>
        <v>0</v>
      </c>
      <c r="AI361" s="20">
        <f>MAX(0,MIN(AB361,Parámetros!$B$11)-MAX(X361,0))+MAX(0,MIN(AB361,1+Parámetros!$B$11)-MAX(X361,AD361))+MAX(0,MIN(AB361,2)-MAX(X361,1+AD361))</f>
        <v>0</v>
      </c>
      <c r="AJ361" s="20">
        <f t="shared" si="117"/>
        <v>0</v>
      </c>
      <c r="AK361" s="20">
        <f>AE361*(MAX(0,MIN(AB361,Parámetros!$B$11)-MAX(X361,0))+MAX(0,MIN(AB361,1)-MAX(X361,AD361)))+AF361*(MAX(0,MIN(AB361,1+Parámetros!$B$11)-MAX(X361,1))+MAX(0,MIN(AB361,2)-MAX(X361,1+AD361)))</f>
        <v>0</v>
      </c>
      <c r="AL361" s="20">
        <f t="shared" si="118"/>
        <v>0</v>
      </c>
      <c r="AM361" s="20">
        <f>MAX(0,MIN(AC361,Parámetros!$B$11)-MAX(AB361,0))+MAX(0,MIN(AC361,1+Parámetros!$B$11)-MAX(AB361,AD361))+MAX(0,MIN(AC361,2)-MAX(AB361,1+AD361))</f>
        <v>0</v>
      </c>
      <c r="AN361" s="20">
        <f t="shared" si="119"/>
        <v>0</v>
      </c>
      <c r="AO361" s="20">
        <f>AE361*(MAX(0,MIN(AC361,Parámetros!$B$11)-MAX(AB361,0))+MAX(0,MIN(AC361,1)-MAX(AB361,AD361)))+AF361*(MAX(0,MIN(AC361,1+Parámetros!$B$11)-MAX(AB361,1))+MAX(0,MIN(AC361,2)-MAX(AB361,1+AD361)))</f>
        <v>0</v>
      </c>
    </row>
    <row r="362" spans="1:41" x14ac:dyDescent="0.25">
      <c r="A362" s="15"/>
      <c r="B362" s="8"/>
      <c r="C362" s="5" t="str">
        <f>IF(B362="","",IFERROR(INDEX(Trabajadores!$B$5:$B$204,MATCH(B362,Trabajadores!$A$5:$A$204,0)),"Cédula no registrada"))</f>
        <v/>
      </c>
      <c r="D362" s="11"/>
      <c r="E362" s="11"/>
      <c r="F362" s="8"/>
      <c r="G362" s="18" t="str">
        <f>IF(A362="","",IFERROR(INDEX(Trabajadores!$E$5:$E$204,MATCH(B362,Trabajadores!$A$5:$A$204,0))/Parámetros!$B$6,0)+IF(IFERROR(INDEX(Trabajadores!$E$5:$E$204,MATCH(B362,Trabajadores!$A$5:$A$204,0)),"")="",Parámetros!$B$7,0))</f>
        <v/>
      </c>
      <c r="H362" s="5" t="str">
        <f t="shared" si="100"/>
        <v/>
      </c>
      <c r="I362" s="5" t="str">
        <f>IF(A362="","",IF(COUNTIF(Festivos!$A$5:$A$451,A362)&gt;0,"Festivo",IF(WEEKDAY(A362,2)=7,"Domingo",IF(AND(AF362=1,AC362&gt;1),IF(COUNTIF(Festivos!$A$5:$A$451,A362+1)&gt;0,"Festivo","Domingo")&amp;" desde las 00:00",""))))</f>
        <v/>
      </c>
      <c r="J362" s="19" t="str">
        <f t="shared" si="101"/>
        <v/>
      </c>
      <c r="K362" s="19" t="str">
        <f t="shared" si="102"/>
        <v/>
      </c>
      <c r="L362" s="19" t="str">
        <f t="shared" si="103"/>
        <v/>
      </c>
      <c r="M362" s="19" t="str">
        <f t="shared" si="104"/>
        <v/>
      </c>
      <c r="N362" s="19" t="str">
        <f t="shared" si="105"/>
        <v/>
      </c>
      <c r="O362" s="19" t="str">
        <f t="shared" si="106"/>
        <v/>
      </c>
      <c r="P362" s="19" t="str">
        <f t="shared" si="107"/>
        <v/>
      </c>
      <c r="Q362" s="19" t="str">
        <f t="shared" si="108"/>
        <v/>
      </c>
      <c r="R362" s="19" t="str">
        <f t="shared" si="109"/>
        <v/>
      </c>
      <c r="S362" s="17" t="str">
        <f>IF(B362="","",IFERROR(INDEX(Trabajadores!$G$5:$G$204,MATCH(B362,Trabajadores!$A$5:$A$204,0)),""))</f>
        <v/>
      </c>
      <c r="T362" s="17" t="str">
        <f>IF(OR(OR(A362="",D362="",E362=""),S362=""),"",ROUND(S362*(N(L362)*Parámetros!$B$8+N(M362)*(1+Parámetros!$B$9)+N(N362)*(1+Parámetros!$B$10)+N(O362)*(1+AG362)+N(P362)*(1+AG362+Parámetros!$B$8)+N(Q362)*(1+AG362+Parámetros!$B$9)+N(R362)*(1+AG362+Parámetros!$B$10)),0))</f>
        <v/>
      </c>
      <c r="U362" s="5" t="str">
        <f>IF(OR(A362="",D362="",E362=""),"",IF(N(M362)+N(N362)+N(Q362)+N(R362)&gt;Parámetros!$B$12,"Supera el límite de horas extras diarias",IF(C362="Cédula no registrada","Registre la cédula en «Trabajadores»","")))</f>
        <v/>
      </c>
      <c r="X362" s="20">
        <f t="shared" si="110"/>
        <v>0</v>
      </c>
      <c r="Y362" s="20">
        <f t="shared" si="111"/>
        <v>0</v>
      </c>
      <c r="Z362" s="20">
        <f t="shared" si="112"/>
        <v>0</v>
      </c>
      <c r="AA362" s="20">
        <f t="shared" si="113"/>
        <v>0</v>
      </c>
      <c r="AB362" s="20">
        <f t="shared" si="114"/>
        <v>0</v>
      </c>
      <c r="AC362" s="20">
        <f t="shared" si="115"/>
        <v>0</v>
      </c>
      <c r="AD362" s="20">
        <f>IF(A362="",21/24,MOD(VLOOKUP(A362,Parámetros!$A$24:$B$25,2,TRUE()),1))</f>
        <v>0.875</v>
      </c>
      <c r="AE362" s="5">
        <f>IF(A362="",0,IF(OR(WEEKDAY(A362,2)=7,COUNTIF(Festivos!$A$5:$A$451,A362)&gt;0),1,0))</f>
        <v>0</v>
      </c>
      <c r="AF362" s="5">
        <f>IF(A362="",0,IF(OR(WEEKDAY(A362+1,2)=7,COUNTIF(Festivos!$A$5:$A$451,A362+1)&gt;0),1,0))</f>
        <v>0</v>
      </c>
      <c r="AG362" s="9">
        <f>IF(A362="",0,VLOOKUP(A362,Parámetros!$A$18:$B$21,2,TRUE()))</f>
        <v>0</v>
      </c>
      <c r="AH362" s="20">
        <f t="shared" si="116"/>
        <v>0</v>
      </c>
      <c r="AI362" s="20">
        <f>MAX(0,MIN(AB362,Parámetros!$B$11)-MAX(X362,0))+MAX(0,MIN(AB362,1+Parámetros!$B$11)-MAX(X362,AD362))+MAX(0,MIN(AB362,2)-MAX(X362,1+AD362))</f>
        <v>0</v>
      </c>
      <c r="AJ362" s="20">
        <f t="shared" si="117"/>
        <v>0</v>
      </c>
      <c r="AK362" s="20">
        <f>AE362*(MAX(0,MIN(AB362,Parámetros!$B$11)-MAX(X362,0))+MAX(0,MIN(AB362,1)-MAX(X362,AD362)))+AF362*(MAX(0,MIN(AB362,1+Parámetros!$B$11)-MAX(X362,1))+MAX(0,MIN(AB362,2)-MAX(X362,1+AD362)))</f>
        <v>0</v>
      </c>
      <c r="AL362" s="20">
        <f t="shared" si="118"/>
        <v>0</v>
      </c>
      <c r="AM362" s="20">
        <f>MAX(0,MIN(AC362,Parámetros!$B$11)-MAX(AB362,0))+MAX(0,MIN(AC362,1+Parámetros!$B$11)-MAX(AB362,AD362))+MAX(0,MIN(AC362,2)-MAX(AB362,1+AD362))</f>
        <v>0</v>
      </c>
      <c r="AN362" s="20">
        <f t="shared" si="119"/>
        <v>0</v>
      </c>
      <c r="AO362" s="20">
        <f>AE362*(MAX(0,MIN(AC362,Parámetros!$B$11)-MAX(AB362,0))+MAX(0,MIN(AC362,1)-MAX(AB362,AD362)))+AF362*(MAX(0,MIN(AC362,1+Parámetros!$B$11)-MAX(AB362,1))+MAX(0,MIN(AC362,2)-MAX(AB362,1+AD362)))</f>
        <v>0</v>
      </c>
    </row>
    <row r="363" spans="1:41" x14ac:dyDescent="0.25">
      <c r="A363" s="15"/>
      <c r="B363" s="8"/>
      <c r="C363" s="5" t="str">
        <f>IF(B363="","",IFERROR(INDEX(Trabajadores!$B$5:$B$204,MATCH(B363,Trabajadores!$A$5:$A$204,0)),"Cédula no registrada"))</f>
        <v/>
      </c>
      <c r="D363" s="11"/>
      <c r="E363" s="11"/>
      <c r="F363" s="8"/>
      <c r="G363" s="18" t="str">
        <f>IF(A363="","",IFERROR(INDEX(Trabajadores!$E$5:$E$204,MATCH(B363,Trabajadores!$A$5:$A$204,0))/Parámetros!$B$6,0)+IF(IFERROR(INDEX(Trabajadores!$E$5:$E$204,MATCH(B363,Trabajadores!$A$5:$A$204,0)),"")="",Parámetros!$B$7,0))</f>
        <v/>
      </c>
      <c r="H363" s="5" t="str">
        <f t="shared" si="100"/>
        <v/>
      </c>
      <c r="I363" s="5" t="str">
        <f>IF(A363="","",IF(COUNTIF(Festivos!$A$5:$A$451,A363)&gt;0,"Festivo",IF(WEEKDAY(A363,2)=7,"Domingo",IF(AND(AF363=1,AC363&gt;1),IF(COUNTIF(Festivos!$A$5:$A$451,A363+1)&gt;0,"Festivo","Domingo")&amp;" desde las 00:00",""))))</f>
        <v/>
      </c>
      <c r="J363" s="19" t="str">
        <f t="shared" si="101"/>
        <v/>
      </c>
      <c r="K363" s="19" t="str">
        <f t="shared" si="102"/>
        <v/>
      </c>
      <c r="L363" s="19" t="str">
        <f t="shared" si="103"/>
        <v/>
      </c>
      <c r="M363" s="19" t="str">
        <f t="shared" si="104"/>
        <v/>
      </c>
      <c r="N363" s="19" t="str">
        <f t="shared" si="105"/>
        <v/>
      </c>
      <c r="O363" s="19" t="str">
        <f t="shared" si="106"/>
        <v/>
      </c>
      <c r="P363" s="19" t="str">
        <f t="shared" si="107"/>
        <v/>
      </c>
      <c r="Q363" s="19" t="str">
        <f t="shared" si="108"/>
        <v/>
      </c>
      <c r="R363" s="19" t="str">
        <f t="shared" si="109"/>
        <v/>
      </c>
      <c r="S363" s="17" t="str">
        <f>IF(B363="","",IFERROR(INDEX(Trabajadores!$G$5:$G$204,MATCH(B363,Trabajadores!$A$5:$A$204,0)),""))</f>
        <v/>
      </c>
      <c r="T363" s="17" t="str">
        <f>IF(OR(OR(A363="",D363="",E363=""),S363=""),"",ROUND(S363*(N(L363)*Parámetros!$B$8+N(M363)*(1+Parámetros!$B$9)+N(N363)*(1+Parámetros!$B$10)+N(O363)*(1+AG363)+N(P363)*(1+AG363+Parámetros!$B$8)+N(Q363)*(1+AG363+Parámetros!$B$9)+N(R363)*(1+AG363+Parámetros!$B$10)),0))</f>
        <v/>
      </c>
      <c r="U363" s="5" t="str">
        <f>IF(OR(A363="",D363="",E363=""),"",IF(N(M363)+N(N363)+N(Q363)+N(R363)&gt;Parámetros!$B$12,"Supera el límite de horas extras diarias",IF(C363="Cédula no registrada","Registre la cédula en «Trabajadores»","")))</f>
        <v/>
      </c>
      <c r="X363" s="20">
        <f t="shared" si="110"/>
        <v>0</v>
      </c>
      <c r="Y363" s="20">
        <f t="shared" si="111"/>
        <v>0</v>
      </c>
      <c r="Z363" s="20">
        <f t="shared" si="112"/>
        <v>0</v>
      </c>
      <c r="AA363" s="20">
        <f t="shared" si="113"/>
        <v>0</v>
      </c>
      <c r="AB363" s="20">
        <f t="shared" si="114"/>
        <v>0</v>
      </c>
      <c r="AC363" s="20">
        <f t="shared" si="115"/>
        <v>0</v>
      </c>
      <c r="AD363" s="20">
        <f>IF(A363="",21/24,MOD(VLOOKUP(A363,Parámetros!$A$24:$B$25,2,TRUE()),1))</f>
        <v>0.875</v>
      </c>
      <c r="AE363" s="5">
        <f>IF(A363="",0,IF(OR(WEEKDAY(A363,2)=7,COUNTIF(Festivos!$A$5:$A$451,A363)&gt;0),1,0))</f>
        <v>0</v>
      </c>
      <c r="AF363" s="5">
        <f>IF(A363="",0,IF(OR(WEEKDAY(A363+1,2)=7,COUNTIF(Festivos!$A$5:$A$451,A363+1)&gt;0),1,0))</f>
        <v>0</v>
      </c>
      <c r="AG363" s="9">
        <f>IF(A363="",0,VLOOKUP(A363,Parámetros!$A$18:$B$21,2,TRUE()))</f>
        <v>0</v>
      </c>
      <c r="AH363" s="20">
        <f t="shared" si="116"/>
        <v>0</v>
      </c>
      <c r="AI363" s="20">
        <f>MAX(0,MIN(AB363,Parámetros!$B$11)-MAX(X363,0))+MAX(0,MIN(AB363,1+Parámetros!$B$11)-MAX(X363,AD363))+MAX(0,MIN(AB363,2)-MAX(X363,1+AD363))</f>
        <v>0</v>
      </c>
      <c r="AJ363" s="20">
        <f t="shared" si="117"/>
        <v>0</v>
      </c>
      <c r="AK363" s="20">
        <f>AE363*(MAX(0,MIN(AB363,Parámetros!$B$11)-MAX(X363,0))+MAX(0,MIN(AB363,1)-MAX(X363,AD363)))+AF363*(MAX(0,MIN(AB363,1+Parámetros!$B$11)-MAX(X363,1))+MAX(0,MIN(AB363,2)-MAX(X363,1+AD363)))</f>
        <v>0</v>
      </c>
      <c r="AL363" s="20">
        <f t="shared" si="118"/>
        <v>0</v>
      </c>
      <c r="AM363" s="20">
        <f>MAX(0,MIN(AC363,Parámetros!$B$11)-MAX(AB363,0))+MAX(0,MIN(AC363,1+Parámetros!$B$11)-MAX(AB363,AD363))+MAX(0,MIN(AC363,2)-MAX(AB363,1+AD363))</f>
        <v>0</v>
      </c>
      <c r="AN363" s="20">
        <f t="shared" si="119"/>
        <v>0</v>
      </c>
      <c r="AO363" s="20">
        <f>AE363*(MAX(0,MIN(AC363,Parámetros!$B$11)-MAX(AB363,0))+MAX(0,MIN(AC363,1)-MAX(AB363,AD363)))+AF363*(MAX(0,MIN(AC363,1+Parámetros!$B$11)-MAX(AB363,1))+MAX(0,MIN(AC363,2)-MAX(AB363,1+AD363)))</f>
        <v>0</v>
      </c>
    </row>
    <row r="364" spans="1:41" x14ac:dyDescent="0.25">
      <c r="A364" s="15"/>
      <c r="B364" s="8"/>
      <c r="C364" s="5" t="str">
        <f>IF(B364="","",IFERROR(INDEX(Trabajadores!$B$5:$B$204,MATCH(B364,Trabajadores!$A$5:$A$204,0)),"Cédula no registrada"))</f>
        <v/>
      </c>
      <c r="D364" s="11"/>
      <c r="E364" s="11"/>
      <c r="F364" s="8"/>
      <c r="G364" s="18" t="str">
        <f>IF(A364="","",IFERROR(INDEX(Trabajadores!$E$5:$E$204,MATCH(B364,Trabajadores!$A$5:$A$204,0))/Parámetros!$B$6,0)+IF(IFERROR(INDEX(Trabajadores!$E$5:$E$204,MATCH(B364,Trabajadores!$A$5:$A$204,0)),"")="",Parámetros!$B$7,0))</f>
        <v/>
      </c>
      <c r="H364" s="5" t="str">
        <f t="shared" si="100"/>
        <v/>
      </c>
      <c r="I364" s="5" t="str">
        <f>IF(A364="","",IF(COUNTIF(Festivos!$A$5:$A$451,A364)&gt;0,"Festivo",IF(WEEKDAY(A364,2)=7,"Domingo",IF(AND(AF364=1,AC364&gt;1),IF(COUNTIF(Festivos!$A$5:$A$451,A364+1)&gt;0,"Festivo","Domingo")&amp;" desde las 00:00",""))))</f>
        <v/>
      </c>
      <c r="J364" s="19" t="str">
        <f t="shared" si="101"/>
        <v/>
      </c>
      <c r="K364" s="19" t="str">
        <f t="shared" si="102"/>
        <v/>
      </c>
      <c r="L364" s="19" t="str">
        <f t="shared" si="103"/>
        <v/>
      </c>
      <c r="M364" s="19" t="str">
        <f t="shared" si="104"/>
        <v/>
      </c>
      <c r="N364" s="19" t="str">
        <f t="shared" si="105"/>
        <v/>
      </c>
      <c r="O364" s="19" t="str">
        <f t="shared" si="106"/>
        <v/>
      </c>
      <c r="P364" s="19" t="str">
        <f t="shared" si="107"/>
        <v/>
      </c>
      <c r="Q364" s="19" t="str">
        <f t="shared" si="108"/>
        <v/>
      </c>
      <c r="R364" s="19" t="str">
        <f t="shared" si="109"/>
        <v/>
      </c>
      <c r="S364" s="17" t="str">
        <f>IF(B364="","",IFERROR(INDEX(Trabajadores!$G$5:$G$204,MATCH(B364,Trabajadores!$A$5:$A$204,0)),""))</f>
        <v/>
      </c>
      <c r="T364" s="17" t="str">
        <f>IF(OR(OR(A364="",D364="",E364=""),S364=""),"",ROUND(S364*(N(L364)*Parámetros!$B$8+N(M364)*(1+Parámetros!$B$9)+N(N364)*(1+Parámetros!$B$10)+N(O364)*(1+AG364)+N(P364)*(1+AG364+Parámetros!$B$8)+N(Q364)*(1+AG364+Parámetros!$B$9)+N(R364)*(1+AG364+Parámetros!$B$10)),0))</f>
        <v/>
      </c>
      <c r="U364" s="5" t="str">
        <f>IF(OR(A364="",D364="",E364=""),"",IF(N(M364)+N(N364)+N(Q364)+N(R364)&gt;Parámetros!$B$12,"Supera el límite de horas extras diarias",IF(C364="Cédula no registrada","Registre la cédula en «Trabajadores»","")))</f>
        <v/>
      </c>
      <c r="X364" s="20">
        <f t="shared" si="110"/>
        <v>0</v>
      </c>
      <c r="Y364" s="20">
        <f t="shared" si="111"/>
        <v>0</v>
      </c>
      <c r="Z364" s="20">
        <f t="shared" si="112"/>
        <v>0</v>
      </c>
      <c r="AA364" s="20">
        <f t="shared" si="113"/>
        <v>0</v>
      </c>
      <c r="AB364" s="20">
        <f t="shared" si="114"/>
        <v>0</v>
      </c>
      <c r="AC364" s="20">
        <f t="shared" si="115"/>
        <v>0</v>
      </c>
      <c r="AD364" s="20">
        <f>IF(A364="",21/24,MOD(VLOOKUP(A364,Parámetros!$A$24:$B$25,2,TRUE()),1))</f>
        <v>0.875</v>
      </c>
      <c r="AE364" s="5">
        <f>IF(A364="",0,IF(OR(WEEKDAY(A364,2)=7,COUNTIF(Festivos!$A$5:$A$451,A364)&gt;0),1,0))</f>
        <v>0</v>
      </c>
      <c r="AF364" s="5">
        <f>IF(A364="",0,IF(OR(WEEKDAY(A364+1,2)=7,COUNTIF(Festivos!$A$5:$A$451,A364+1)&gt;0),1,0))</f>
        <v>0</v>
      </c>
      <c r="AG364" s="9">
        <f>IF(A364="",0,VLOOKUP(A364,Parámetros!$A$18:$B$21,2,TRUE()))</f>
        <v>0</v>
      </c>
      <c r="AH364" s="20">
        <f t="shared" si="116"/>
        <v>0</v>
      </c>
      <c r="AI364" s="20">
        <f>MAX(0,MIN(AB364,Parámetros!$B$11)-MAX(X364,0))+MAX(0,MIN(AB364,1+Parámetros!$B$11)-MAX(X364,AD364))+MAX(0,MIN(AB364,2)-MAX(X364,1+AD364))</f>
        <v>0</v>
      </c>
      <c r="AJ364" s="20">
        <f t="shared" si="117"/>
        <v>0</v>
      </c>
      <c r="AK364" s="20">
        <f>AE364*(MAX(0,MIN(AB364,Parámetros!$B$11)-MAX(X364,0))+MAX(0,MIN(AB364,1)-MAX(X364,AD364)))+AF364*(MAX(0,MIN(AB364,1+Parámetros!$B$11)-MAX(X364,1))+MAX(0,MIN(AB364,2)-MAX(X364,1+AD364)))</f>
        <v>0</v>
      </c>
      <c r="AL364" s="20">
        <f t="shared" si="118"/>
        <v>0</v>
      </c>
      <c r="AM364" s="20">
        <f>MAX(0,MIN(AC364,Parámetros!$B$11)-MAX(AB364,0))+MAX(0,MIN(AC364,1+Parámetros!$B$11)-MAX(AB364,AD364))+MAX(0,MIN(AC364,2)-MAX(AB364,1+AD364))</f>
        <v>0</v>
      </c>
      <c r="AN364" s="20">
        <f t="shared" si="119"/>
        <v>0</v>
      </c>
      <c r="AO364" s="20">
        <f>AE364*(MAX(0,MIN(AC364,Parámetros!$B$11)-MAX(AB364,0))+MAX(0,MIN(AC364,1)-MAX(AB364,AD364)))+AF364*(MAX(0,MIN(AC364,1+Parámetros!$B$11)-MAX(AB364,1))+MAX(0,MIN(AC364,2)-MAX(AB364,1+AD364)))</f>
        <v>0</v>
      </c>
    </row>
    <row r="365" spans="1:41" x14ac:dyDescent="0.25">
      <c r="A365" s="15"/>
      <c r="B365" s="8"/>
      <c r="C365" s="5" t="str">
        <f>IF(B365="","",IFERROR(INDEX(Trabajadores!$B$5:$B$204,MATCH(B365,Trabajadores!$A$5:$A$204,0)),"Cédula no registrada"))</f>
        <v/>
      </c>
      <c r="D365" s="11"/>
      <c r="E365" s="11"/>
      <c r="F365" s="8"/>
      <c r="G365" s="18" t="str">
        <f>IF(A365="","",IFERROR(INDEX(Trabajadores!$E$5:$E$204,MATCH(B365,Trabajadores!$A$5:$A$204,0))/Parámetros!$B$6,0)+IF(IFERROR(INDEX(Trabajadores!$E$5:$E$204,MATCH(B365,Trabajadores!$A$5:$A$204,0)),"")="",Parámetros!$B$7,0))</f>
        <v/>
      </c>
      <c r="H365" s="5" t="str">
        <f t="shared" si="100"/>
        <v/>
      </c>
      <c r="I365" s="5" t="str">
        <f>IF(A365="","",IF(COUNTIF(Festivos!$A$5:$A$451,A365)&gt;0,"Festivo",IF(WEEKDAY(A365,2)=7,"Domingo",IF(AND(AF365=1,AC365&gt;1),IF(COUNTIF(Festivos!$A$5:$A$451,A365+1)&gt;0,"Festivo","Domingo")&amp;" desde las 00:00",""))))</f>
        <v/>
      </c>
      <c r="J365" s="19" t="str">
        <f t="shared" si="101"/>
        <v/>
      </c>
      <c r="K365" s="19" t="str">
        <f t="shared" si="102"/>
        <v/>
      </c>
      <c r="L365" s="19" t="str">
        <f t="shared" si="103"/>
        <v/>
      </c>
      <c r="M365" s="19" t="str">
        <f t="shared" si="104"/>
        <v/>
      </c>
      <c r="N365" s="19" t="str">
        <f t="shared" si="105"/>
        <v/>
      </c>
      <c r="O365" s="19" t="str">
        <f t="shared" si="106"/>
        <v/>
      </c>
      <c r="P365" s="19" t="str">
        <f t="shared" si="107"/>
        <v/>
      </c>
      <c r="Q365" s="19" t="str">
        <f t="shared" si="108"/>
        <v/>
      </c>
      <c r="R365" s="19" t="str">
        <f t="shared" si="109"/>
        <v/>
      </c>
      <c r="S365" s="17" t="str">
        <f>IF(B365="","",IFERROR(INDEX(Trabajadores!$G$5:$G$204,MATCH(B365,Trabajadores!$A$5:$A$204,0)),""))</f>
        <v/>
      </c>
      <c r="T365" s="17" t="str">
        <f>IF(OR(OR(A365="",D365="",E365=""),S365=""),"",ROUND(S365*(N(L365)*Parámetros!$B$8+N(M365)*(1+Parámetros!$B$9)+N(N365)*(1+Parámetros!$B$10)+N(O365)*(1+AG365)+N(P365)*(1+AG365+Parámetros!$B$8)+N(Q365)*(1+AG365+Parámetros!$B$9)+N(R365)*(1+AG365+Parámetros!$B$10)),0))</f>
        <v/>
      </c>
      <c r="U365" s="5" t="str">
        <f>IF(OR(A365="",D365="",E365=""),"",IF(N(M365)+N(N365)+N(Q365)+N(R365)&gt;Parámetros!$B$12,"Supera el límite de horas extras diarias",IF(C365="Cédula no registrada","Registre la cédula en «Trabajadores»","")))</f>
        <v/>
      </c>
      <c r="X365" s="20">
        <f t="shared" si="110"/>
        <v>0</v>
      </c>
      <c r="Y365" s="20">
        <f t="shared" si="111"/>
        <v>0</v>
      </c>
      <c r="Z365" s="20">
        <f t="shared" si="112"/>
        <v>0</v>
      </c>
      <c r="AA365" s="20">
        <f t="shared" si="113"/>
        <v>0</v>
      </c>
      <c r="AB365" s="20">
        <f t="shared" si="114"/>
        <v>0</v>
      </c>
      <c r="AC365" s="20">
        <f t="shared" si="115"/>
        <v>0</v>
      </c>
      <c r="AD365" s="20">
        <f>IF(A365="",21/24,MOD(VLOOKUP(A365,Parámetros!$A$24:$B$25,2,TRUE()),1))</f>
        <v>0.875</v>
      </c>
      <c r="AE365" s="5">
        <f>IF(A365="",0,IF(OR(WEEKDAY(A365,2)=7,COUNTIF(Festivos!$A$5:$A$451,A365)&gt;0),1,0))</f>
        <v>0</v>
      </c>
      <c r="AF365" s="5">
        <f>IF(A365="",0,IF(OR(WEEKDAY(A365+1,2)=7,COUNTIF(Festivos!$A$5:$A$451,A365+1)&gt;0),1,0))</f>
        <v>0</v>
      </c>
      <c r="AG365" s="9">
        <f>IF(A365="",0,VLOOKUP(A365,Parámetros!$A$18:$B$21,2,TRUE()))</f>
        <v>0</v>
      </c>
      <c r="AH365" s="20">
        <f t="shared" si="116"/>
        <v>0</v>
      </c>
      <c r="AI365" s="20">
        <f>MAX(0,MIN(AB365,Parámetros!$B$11)-MAX(X365,0))+MAX(0,MIN(AB365,1+Parámetros!$B$11)-MAX(X365,AD365))+MAX(0,MIN(AB365,2)-MAX(X365,1+AD365))</f>
        <v>0</v>
      </c>
      <c r="AJ365" s="20">
        <f t="shared" si="117"/>
        <v>0</v>
      </c>
      <c r="AK365" s="20">
        <f>AE365*(MAX(0,MIN(AB365,Parámetros!$B$11)-MAX(X365,0))+MAX(0,MIN(AB365,1)-MAX(X365,AD365)))+AF365*(MAX(0,MIN(AB365,1+Parámetros!$B$11)-MAX(X365,1))+MAX(0,MIN(AB365,2)-MAX(X365,1+AD365)))</f>
        <v>0</v>
      </c>
      <c r="AL365" s="20">
        <f t="shared" si="118"/>
        <v>0</v>
      </c>
      <c r="AM365" s="20">
        <f>MAX(0,MIN(AC365,Parámetros!$B$11)-MAX(AB365,0))+MAX(0,MIN(AC365,1+Parámetros!$B$11)-MAX(AB365,AD365))+MAX(0,MIN(AC365,2)-MAX(AB365,1+AD365))</f>
        <v>0</v>
      </c>
      <c r="AN365" s="20">
        <f t="shared" si="119"/>
        <v>0</v>
      </c>
      <c r="AO365" s="20">
        <f>AE365*(MAX(0,MIN(AC365,Parámetros!$B$11)-MAX(AB365,0))+MAX(0,MIN(AC365,1)-MAX(AB365,AD365)))+AF365*(MAX(0,MIN(AC365,1+Parámetros!$B$11)-MAX(AB365,1))+MAX(0,MIN(AC365,2)-MAX(AB365,1+AD365)))</f>
        <v>0</v>
      </c>
    </row>
    <row r="366" spans="1:41" x14ac:dyDescent="0.25">
      <c r="A366" s="15"/>
      <c r="B366" s="8"/>
      <c r="C366" s="5" t="str">
        <f>IF(B366="","",IFERROR(INDEX(Trabajadores!$B$5:$B$204,MATCH(B366,Trabajadores!$A$5:$A$204,0)),"Cédula no registrada"))</f>
        <v/>
      </c>
      <c r="D366" s="11"/>
      <c r="E366" s="11"/>
      <c r="F366" s="8"/>
      <c r="G366" s="18" t="str">
        <f>IF(A366="","",IFERROR(INDEX(Trabajadores!$E$5:$E$204,MATCH(B366,Trabajadores!$A$5:$A$204,0))/Parámetros!$B$6,0)+IF(IFERROR(INDEX(Trabajadores!$E$5:$E$204,MATCH(B366,Trabajadores!$A$5:$A$204,0)),"")="",Parámetros!$B$7,0))</f>
        <v/>
      </c>
      <c r="H366" s="5" t="str">
        <f t="shared" si="100"/>
        <v/>
      </c>
      <c r="I366" s="5" t="str">
        <f>IF(A366="","",IF(COUNTIF(Festivos!$A$5:$A$451,A366)&gt;0,"Festivo",IF(WEEKDAY(A366,2)=7,"Domingo",IF(AND(AF366=1,AC366&gt;1),IF(COUNTIF(Festivos!$A$5:$A$451,A366+1)&gt;0,"Festivo","Domingo")&amp;" desde las 00:00",""))))</f>
        <v/>
      </c>
      <c r="J366" s="19" t="str">
        <f t="shared" si="101"/>
        <v/>
      </c>
      <c r="K366" s="19" t="str">
        <f t="shared" si="102"/>
        <v/>
      </c>
      <c r="L366" s="19" t="str">
        <f t="shared" si="103"/>
        <v/>
      </c>
      <c r="M366" s="19" t="str">
        <f t="shared" si="104"/>
        <v/>
      </c>
      <c r="N366" s="19" t="str">
        <f t="shared" si="105"/>
        <v/>
      </c>
      <c r="O366" s="19" t="str">
        <f t="shared" si="106"/>
        <v/>
      </c>
      <c r="P366" s="19" t="str">
        <f t="shared" si="107"/>
        <v/>
      </c>
      <c r="Q366" s="19" t="str">
        <f t="shared" si="108"/>
        <v/>
      </c>
      <c r="R366" s="19" t="str">
        <f t="shared" si="109"/>
        <v/>
      </c>
      <c r="S366" s="17" t="str">
        <f>IF(B366="","",IFERROR(INDEX(Trabajadores!$G$5:$G$204,MATCH(B366,Trabajadores!$A$5:$A$204,0)),""))</f>
        <v/>
      </c>
      <c r="T366" s="17" t="str">
        <f>IF(OR(OR(A366="",D366="",E366=""),S366=""),"",ROUND(S366*(N(L366)*Parámetros!$B$8+N(M366)*(1+Parámetros!$B$9)+N(N366)*(1+Parámetros!$B$10)+N(O366)*(1+AG366)+N(P366)*(1+AG366+Parámetros!$B$8)+N(Q366)*(1+AG366+Parámetros!$B$9)+N(R366)*(1+AG366+Parámetros!$B$10)),0))</f>
        <v/>
      </c>
      <c r="U366" s="5" t="str">
        <f>IF(OR(A366="",D366="",E366=""),"",IF(N(M366)+N(N366)+N(Q366)+N(R366)&gt;Parámetros!$B$12,"Supera el límite de horas extras diarias",IF(C366="Cédula no registrada","Registre la cédula en «Trabajadores»","")))</f>
        <v/>
      </c>
      <c r="X366" s="20">
        <f t="shared" si="110"/>
        <v>0</v>
      </c>
      <c r="Y366" s="20">
        <f t="shared" si="111"/>
        <v>0</v>
      </c>
      <c r="Z366" s="20">
        <f t="shared" si="112"/>
        <v>0</v>
      </c>
      <c r="AA366" s="20">
        <f t="shared" si="113"/>
        <v>0</v>
      </c>
      <c r="AB366" s="20">
        <f t="shared" si="114"/>
        <v>0</v>
      </c>
      <c r="AC366" s="20">
        <f t="shared" si="115"/>
        <v>0</v>
      </c>
      <c r="AD366" s="20">
        <f>IF(A366="",21/24,MOD(VLOOKUP(A366,Parámetros!$A$24:$B$25,2,TRUE()),1))</f>
        <v>0.875</v>
      </c>
      <c r="AE366" s="5">
        <f>IF(A366="",0,IF(OR(WEEKDAY(A366,2)=7,COUNTIF(Festivos!$A$5:$A$451,A366)&gt;0),1,0))</f>
        <v>0</v>
      </c>
      <c r="AF366" s="5">
        <f>IF(A366="",0,IF(OR(WEEKDAY(A366+1,2)=7,COUNTIF(Festivos!$A$5:$A$451,A366+1)&gt;0),1,0))</f>
        <v>0</v>
      </c>
      <c r="AG366" s="9">
        <f>IF(A366="",0,VLOOKUP(A366,Parámetros!$A$18:$B$21,2,TRUE()))</f>
        <v>0</v>
      </c>
      <c r="AH366" s="20">
        <f t="shared" si="116"/>
        <v>0</v>
      </c>
      <c r="AI366" s="20">
        <f>MAX(0,MIN(AB366,Parámetros!$B$11)-MAX(X366,0))+MAX(0,MIN(AB366,1+Parámetros!$B$11)-MAX(X366,AD366))+MAX(0,MIN(AB366,2)-MAX(X366,1+AD366))</f>
        <v>0</v>
      </c>
      <c r="AJ366" s="20">
        <f t="shared" si="117"/>
        <v>0</v>
      </c>
      <c r="AK366" s="20">
        <f>AE366*(MAX(0,MIN(AB366,Parámetros!$B$11)-MAX(X366,0))+MAX(0,MIN(AB366,1)-MAX(X366,AD366)))+AF366*(MAX(0,MIN(AB366,1+Parámetros!$B$11)-MAX(X366,1))+MAX(0,MIN(AB366,2)-MAX(X366,1+AD366)))</f>
        <v>0</v>
      </c>
      <c r="AL366" s="20">
        <f t="shared" si="118"/>
        <v>0</v>
      </c>
      <c r="AM366" s="20">
        <f>MAX(0,MIN(AC366,Parámetros!$B$11)-MAX(AB366,0))+MAX(0,MIN(AC366,1+Parámetros!$B$11)-MAX(AB366,AD366))+MAX(0,MIN(AC366,2)-MAX(AB366,1+AD366))</f>
        <v>0</v>
      </c>
      <c r="AN366" s="20">
        <f t="shared" si="119"/>
        <v>0</v>
      </c>
      <c r="AO366" s="20">
        <f>AE366*(MAX(0,MIN(AC366,Parámetros!$B$11)-MAX(AB366,0))+MAX(0,MIN(AC366,1)-MAX(AB366,AD366)))+AF366*(MAX(0,MIN(AC366,1+Parámetros!$B$11)-MAX(AB366,1))+MAX(0,MIN(AC366,2)-MAX(AB366,1+AD366)))</f>
        <v>0</v>
      </c>
    </row>
    <row r="367" spans="1:41" x14ac:dyDescent="0.25">
      <c r="A367" s="15"/>
      <c r="B367" s="8"/>
      <c r="C367" s="5" t="str">
        <f>IF(B367="","",IFERROR(INDEX(Trabajadores!$B$5:$B$204,MATCH(B367,Trabajadores!$A$5:$A$204,0)),"Cédula no registrada"))</f>
        <v/>
      </c>
      <c r="D367" s="11"/>
      <c r="E367" s="11"/>
      <c r="F367" s="8"/>
      <c r="G367" s="18" t="str">
        <f>IF(A367="","",IFERROR(INDEX(Trabajadores!$E$5:$E$204,MATCH(B367,Trabajadores!$A$5:$A$204,0))/Parámetros!$B$6,0)+IF(IFERROR(INDEX(Trabajadores!$E$5:$E$204,MATCH(B367,Trabajadores!$A$5:$A$204,0)),"")="",Parámetros!$B$7,0))</f>
        <v/>
      </c>
      <c r="H367" s="5" t="str">
        <f t="shared" si="100"/>
        <v/>
      </c>
      <c r="I367" s="5" t="str">
        <f>IF(A367="","",IF(COUNTIF(Festivos!$A$5:$A$451,A367)&gt;0,"Festivo",IF(WEEKDAY(A367,2)=7,"Domingo",IF(AND(AF367=1,AC367&gt;1),IF(COUNTIF(Festivos!$A$5:$A$451,A367+1)&gt;0,"Festivo","Domingo")&amp;" desde las 00:00",""))))</f>
        <v/>
      </c>
      <c r="J367" s="19" t="str">
        <f t="shared" si="101"/>
        <v/>
      </c>
      <c r="K367" s="19" t="str">
        <f t="shared" si="102"/>
        <v/>
      </c>
      <c r="L367" s="19" t="str">
        <f t="shared" si="103"/>
        <v/>
      </c>
      <c r="M367" s="19" t="str">
        <f t="shared" si="104"/>
        <v/>
      </c>
      <c r="N367" s="19" t="str">
        <f t="shared" si="105"/>
        <v/>
      </c>
      <c r="O367" s="19" t="str">
        <f t="shared" si="106"/>
        <v/>
      </c>
      <c r="P367" s="19" t="str">
        <f t="shared" si="107"/>
        <v/>
      </c>
      <c r="Q367" s="19" t="str">
        <f t="shared" si="108"/>
        <v/>
      </c>
      <c r="R367" s="19" t="str">
        <f t="shared" si="109"/>
        <v/>
      </c>
      <c r="S367" s="17" t="str">
        <f>IF(B367="","",IFERROR(INDEX(Trabajadores!$G$5:$G$204,MATCH(B367,Trabajadores!$A$5:$A$204,0)),""))</f>
        <v/>
      </c>
      <c r="T367" s="17" t="str">
        <f>IF(OR(OR(A367="",D367="",E367=""),S367=""),"",ROUND(S367*(N(L367)*Parámetros!$B$8+N(M367)*(1+Parámetros!$B$9)+N(N367)*(1+Parámetros!$B$10)+N(O367)*(1+AG367)+N(P367)*(1+AG367+Parámetros!$B$8)+N(Q367)*(1+AG367+Parámetros!$B$9)+N(R367)*(1+AG367+Parámetros!$B$10)),0))</f>
        <v/>
      </c>
      <c r="U367" s="5" t="str">
        <f>IF(OR(A367="",D367="",E367=""),"",IF(N(M367)+N(N367)+N(Q367)+N(R367)&gt;Parámetros!$B$12,"Supera el límite de horas extras diarias",IF(C367="Cédula no registrada","Registre la cédula en «Trabajadores»","")))</f>
        <v/>
      </c>
      <c r="X367" s="20">
        <f t="shared" si="110"/>
        <v>0</v>
      </c>
      <c r="Y367" s="20">
        <f t="shared" si="111"/>
        <v>0</v>
      </c>
      <c r="Z367" s="20">
        <f t="shared" si="112"/>
        <v>0</v>
      </c>
      <c r="AA367" s="20">
        <f t="shared" si="113"/>
        <v>0</v>
      </c>
      <c r="AB367" s="20">
        <f t="shared" si="114"/>
        <v>0</v>
      </c>
      <c r="AC367" s="20">
        <f t="shared" si="115"/>
        <v>0</v>
      </c>
      <c r="AD367" s="20">
        <f>IF(A367="",21/24,MOD(VLOOKUP(A367,Parámetros!$A$24:$B$25,2,TRUE()),1))</f>
        <v>0.875</v>
      </c>
      <c r="AE367" s="5">
        <f>IF(A367="",0,IF(OR(WEEKDAY(A367,2)=7,COUNTIF(Festivos!$A$5:$A$451,A367)&gt;0),1,0))</f>
        <v>0</v>
      </c>
      <c r="AF367" s="5">
        <f>IF(A367="",0,IF(OR(WEEKDAY(A367+1,2)=7,COUNTIF(Festivos!$A$5:$A$451,A367+1)&gt;0),1,0))</f>
        <v>0</v>
      </c>
      <c r="AG367" s="9">
        <f>IF(A367="",0,VLOOKUP(A367,Parámetros!$A$18:$B$21,2,TRUE()))</f>
        <v>0</v>
      </c>
      <c r="AH367" s="20">
        <f t="shared" si="116"/>
        <v>0</v>
      </c>
      <c r="AI367" s="20">
        <f>MAX(0,MIN(AB367,Parámetros!$B$11)-MAX(X367,0))+MAX(0,MIN(AB367,1+Parámetros!$B$11)-MAX(X367,AD367))+MAX(0,MIN(AB367,2)-MAX(X367,1+AD367))</f>
        <v>0</v>
      </c>
      <c r="AJ367" s="20">
        <f t="shared" si="117"/>
        <v>0</v>
      </c>
      <c r="AK367" s="20">
        <f>AE367*(MAX(0,MIN(AB367,Parámetros!$B$11)-MAX(X367,0))+MAX(0,MIN(AB367,1)-MAX(X367,AD367)))+AF367*(MAX(0,MIN(AB367,1+Parámetros!$B$11)-MAX(X367,1))+MAX(0,MIN(AB367,2)-MAX(X367,1+AD367)))</f>
        <v>0</v>
      </c>
      <c r="AL367" s="20">
        <f t="shared" si="118"/>
        <v>0</v>
      </c>
      <c r="AM367" s="20">
        <f>MAX(0,MIN(AC367,Parámetros!$B$11)-MAX(AB367,0))+MAX(0,MIN(AC367,1+Parámetros!$B$11)-MAX(AB367,AD367))+MAX(0,MIN(AC367,2)-MAX(AB367,1+AD367))</f>
        <v>0</v>
      </c>
      <c r="AN367" s="20">
        <f t="shared" si="119"/>
        <v>0</v>
      </c>
      <c r="AO367" s="20">
        <f>AE367*(MAX(0,MIN(AC367,Parámetros!$B$11)-MAX(AB367,0))+MAX(0,MIN(AC367,1)-MAX(AB367,AD367)))+AF367*(MAX(0,MIN(AC367,1+Parámetros!$B$11)-MAX(AB367,1))+MAX(0,MIN(AC367,2)-MAX(AB367,1+AD367)))</f>
        <v>0</v>
      </c>
    </row>
    <row r="368" spans="1:41" x14ac:dyDescent="0.25">
      <c r="A368" s="15"/>
      <c r="B368" s="8"/>
      <c r="C368" s="5" t="str">
        <f>IF(B368="","",IFERROR(INDEX(Trabajadores!$B$5:$B$204,MATCH(B368,Trabajadores!$A$5:$A$204,0)),"Cédula no registrada"))</f>
        <v/>
      </c>
      <c r="D368" s="11"/>
      <c r="E368" s="11"/>
      <c r="F368" s="8"/>
      <c r="G368" s="18" t="str">
        <f>IF(A368="","",IFERROR(INDEX(Trabajadores!$E$5:$E$204,MATCH(B368,Trabajadores!$A$5:$A$204,0))/Parámetros!$B$6,0)+IF(IFERROR(INDEX(Trabajadores!$E$5:$E$204,MATCH(B368,Trabajadores!$A$5:$A$204,0)),"")="",Parámetros!$B$7,0))</f>
        <v/>
      </c>
      <c r="H368" s="5" t="str">
        <f t="shared" si="100"/>
        <v/>
      </c>
      <c r="I368" s="5" t="str">
        <f>IF(A368="","",IF(COUNTIF(Festivos!$A$5:$A$451,A368)&gt;0,"Festivo",IF(WEEKDAY(A368,2)=7,"Domingo",IF(AND(AF368=1,AC368&gt;1),IF(COUNTIF(Festivos!$A$5:$A$451,A368+1)&gt;0,"Festivo","Domingo")&amp;" desde las 00:00",""))))</f>
        <v/>
      </c>
      <c r="J368" s="19" t="str">
        <f t="shared" si="101"/>
        <v/>
      </c>
      <c r="K368" s="19" t="str">
        <f t="shared" si="102"/>
        <v/>
      </c>
      <c r="L368" s="19" t="str">
        <f t="shared" si="103"/>
        <v/>
      </c>
      <c r="M368" s="19" t="str">
        <f t="shared" si="104"/>
        <v/>
      </c>
      <c r="N368" s="19" t="str">
        <f t="shared" si="105"/>
        <v/>
      </c>
      <c r="O368" s="19" t="str">
        <f t="shared" si="106"/>
        <v/>
      </c>
      <c r="P368" s="19" t="str">
        <f t="shared" si="107"/>
        <v/>
      </c>
      <c r="Q368" s="19" t="str">
        <f t="shared" si="108"/>
        <v/>
      </c>
      <c r="R368" s="19" t="str">
        <f t="shared" si="109"/>
        <v/>
      </c>
      <c r="S368" s="17" t="str">
        <f>IF(B368="","",IFERROR(INDEX(Trabajadores!$G$5:$G$204,MATCH(B368,Trabajadores!$A$5:$A$204,0)),""))</f>
        <v/>
      </c>
      <c r="T368" s="17" t="str">
        <f>IF(OR(OR(A368="",D368="",E368=""),S368=""),"",ROUND(S368*(N(L368)*Parámetros!$B$8+N(M368)*(1+Parámetros!$B$9)+N(N368)*(1+Parámetros!$B$10)+N(O368)*(1+AG368)+N(P368)*(1+AG368+Parámetros!$B$8)+N(Q368)*(1+AG368+Parámetros!$B$9)+N(R368)*(1+AG368+Parámetros!$B$10)),0))</f>
        <v/>
      </c>
      <c r="U368" s="5" t="str">
        <f>IF(OR(A368="",D368="",E368=""),"",IF(N(M368)+N(N368)+N(Q368)+N(R368)&gt;Parámetros!$B$12,"Supera el límite de horas extras diarias",IF(C368="Cédula no registrada","Registre la cédula en «Trabajadores»","")))</f>
        <v/>
      </c>
      <c r="X368" s="20">
        <f t="shared" si="110"/>
        <v>0</v>
      </c>
      <c r="Y368" s="20">
        <f t="shared" si="111"/>
        <v>0</v>
      </c>
      <c r="Z368" s="20">
        <f t="shared" si="112"/>
        <v>0</v>
      </c>
      <c r="AA368" s="20">
        <f t="shared" si="113"/>
        <v>0</v>
      </c>
      <c r="AB368" s="20">
        <f t="shared" si="114"/>
        <v>0</v>
      </c>
      <c r="AC368" s="20">
        <f t="shared" si="115"/>
        <v>0</v>
      </c>
      <c r="AD368" s="20">
        <f>IF(A368="",21/24,MOD(VLOOKUP(A368,Parámetros!$A$24:$B$25,2,TRUE()),1))</f>
        <v>0.875</v>
      </c>
      <c r="AE368" s="5">
        <f>IF(A368="",0,IF(OR(WEEKDAY(A368,2)=7,COUNTIF(Festivos!$A$5:$A$451,A368)&gt;0),1,0))</f>
        <v>0</v>
      </c>
      <c r="AF368" s="5">
        <f>IF(A368="",0,IF(OR(WEEKDAY(A368+1,2)=7,COUNTIF(Festivos!$A$5:$A$451,A368+1)&gt;0),1,0))</f>
        <v>0</v>
      </c>
      <c r="AG368" s="9">
        <f>IF(A368="",0,VLOOKUP(A368,Parámetros!$A$18:$B$21,2,TRUE()))</f>
        <v>0</v>
      </c>
      <c r="AH368" s="20">
        <f t="shared" si="116"/>
        <v>0</v>
      </c>
      <c r="AI368" s="20">
        <f>MAX(0,MIN(AB368,Parámetros!$B$11)-MAX(X368,0))+MAX(0,MIN(AB368,1+Parámetros!$B$11)-MAX(X368,AD368))+MAX(0,MIN(AB368,2)-MAX(X368,1+AD368))</f>
        <v>0</v>
      </c>
      <c r="AJ368" s="20">
        <f t="shared" si="117"/>
        <v>0</v>
      </c>
      <c r="AK368" s="20">
        <f>AE368*(MAX(0,MIN(AB368,Parámetros!$B$11)-MAX(X368,0))+MAX(0,MIN(AB368,1)-MAX(X368,AD368)))+AF368*(MAX(0,MIN(AB368,1+Parámetros!$B$11)-MAX(X368,1))+MAX(0,MIN(AB368,2)-MAX(X368,1+AD368)))</f>
        <v>0</v>
      </c>
      <c r="AL368" s="20">
        <f t="shared" si="118"/>
        <v>0</v>
      </c>
      <c r="AM368" s="20">
        <f>MAX(0,MIN(AC368,Parámetros!$B$11)-MAX(AB368,0))+MAX(0,MIN(AC368,1+Parámetros!$B$11)-MAX(AB368,AD368))+MAX(0,MIN(AC368,2)-MAX(AB368,1+AD368))</f>
        <v>0</v>
      </c>
      <c r="AN368" s="20">
        <f t="shared" si="119"/>
        <v>0</v>
      </c>
      <c r="AO368" s="20">
        <f>AE368*(MAX(0,MIN(AC368,Parámetros!$B$11)-MAX(AB368,0))+MAX(0,MIN(AC368,1)-MAX(AB368,AD368)))+AF368*(MAX(0,MIN(AC368,1+Parámetros!$B$11)-MAX(AB368,1))+MAX(0,MIN(AC368,2)-MAX(AB368,1+AD368)))</f>
        <v>0</v>
      </c>
    </row>
    <row r="369" spans="1:41" x14ac:dyDescent="0.25">
      <c r="A369" s="15"/>
      <c r="B369" s="8"/>
      <c r="C369" s="5" t="str">
        <f>IF(B369="","",IFERROR(INDEX(Trabajadores!$B$5:$B$204,MATCH(B369,Trabajadores!$A$5:$A$204,0)),"Cédula no registrada"))</f>
        <v/>
      </c>
      <c r="D369" s="11"/>
      <c r="E369" s="11"/>
      <c r="F369" s="8"/>
      <c r="G369" s="18" t="str">
        <f>IF(A369="","",IFERROR(INDEX(Trabajadores!$E$5:$E$204,MATCH(B369,Trabajadores!$A$5:$A$204,0))/Parámetros!$B$6,0)+IF(IFERROR(INDEX(Trabajadores!$E$5:$E$204,MATCH(B369,Trabajadores!$A$5:$A$204,0)),"")="",Parámetros!$B$7,0))</f>
        <v/>
      </c>
      <c r="H369" s="5" t="str">
        <f t="shared" si="100"/>
        <v/>
      </c>
      <c r="I369" s="5" t="str">
        <f>IF(A369="","",IF(COUNTIF(Festivos!$A$5:$A$451,A369)&gt;0,"Festivo",IF(WEEKDAY(A369,2)=7,"Domingo",IF(AND(AF369=1,AC369&gt;1),IF(COUNTIF(Festivos!$A$5:$A$451,A369+1)&gt;0,"Festivo","Domingo")&amp;" desde las 00:00",""))))</f>
        <v/>
      </c>
      <c r="J369" s="19" t="str">
        <f t="shared" si="101"/>
        <v/>
      </c>
      <c r="K369" s="19" t="str">
        <f t="shared" si="102"/>
        <v/>
      </c>
      <c r="L369" s="19" t="str">
        <f t="shared" si="103"/>
        <v/>
      </c>
      <c r="M369" s="19" t="str">
        <f t="shared" si="104"/>
        <v/>
      </c>
      <c r="N369" s="19" t="str">
        <f t="shared" si="105"/>
        <v/>
      </c>
      <c r="O369" s="19" t="str">
        <f t="shared" si="106"/>
        <v/>
      </c>
      <c r="P369" s="19" t="str">
        <f t="shared" si="107"/>
        <v/>
      </c>
      <c r="Q369" s="19" t="str">
        <f t="shared" si="108"/>
        <v/>
      </c>
      <c r="R369" s="19" t="str">
        <f t="shared" si="109"/>
        <v/>
      </c>
      <c r="S369" s="17" t="str">
        <f>IF(B369="","",IFERROR(INDEX(Trabajadores!$G$5:$G$204,MATCH(B369,Trabajadores!$A$5:$A$204,0)),""))</f>
        <v/>
      </c>
      <c r="T369" s="17" t="str">
        <f>IF(OR(OR(A369="",D369="",E369=""),S369=""),"",ROUND(S369*(N(L369)*Parámetros!$B$8+N(M369)*(1+Parámetros!$B$9)+N(N369)*(1+Parámetros!$B$10)+N(O369)*(1+AG369)+N(P369)*(1+AG369+Parámetros!$B$8)+N(Q369)*(1+AG369+Parámetros!$B$9)+N(R369)*(1+AG369+Parámetros!$B$10)),0))</f>
        <v/>
      </c>
      <c r="U369" s="5" t="str">
        <f>IF(OR(A369="",D369="",E369=""),"",IF(N(M369)+N(N369)+N(Q369)+N(R369)&gt;Parámetros!$B$12,"Supera el límite de horas extras diarias",IF(C369="Cédula no registrada","Registre la cédula en «Trabajadores»","")))</f>
        <v/>
      </c>
      <c r="X369" s="20">
        <f t="shared" si="110"/>
        <v>0</v>
      </c>
      <c r="Y369" s="20">
        <f t="shared" si="111"/>
        <v>0</v>
      </c>
      <c r="Z369" s="20">
        <f t="shared" si="112"/>
        <v>0</v>
      </c>
      <c r="AA369" s="20">
        <f t="shared" si="113"/>
        <v>0</v>
      </c>
      <c r="AB369" s="20">
        <f t="shared" si="114"/>
        <v>0</v>
      </c>
      <c r="AC369" s="20">
        <f t="shared" si="115"/>
        <v>0</v>
      </c>
      <c r="AD369" s="20">
        <f>IF(A369="",21/24,MOD(VLOOKUP(A369,Parámetros!$A$24:$B$25,2,TRUE()),1))</f>
        <v>0.875</v>
      </c>
      <c r="AE369" s="5">
        <f>IF(A369="",0,IF(OR(WEEKDAY(A369,2)=7,COUNTIF(Festivos!$A$5:$A$451,A369)&gt;0),1,0))</f>
        <v>0</v>
      </c>
      <c r="AF369" s="5">
        <f>IF(A369="",0,IF(OR(WEEKDAY(A369+1,2)=7,COUNTIF(Festivos!$A$5:$A$451,A369+1)&gt;0),1,0))</f>
        <v>0</v>
      </c>
      <c r="AG369" s="9">
        <f>IF(A369="",0,VLOOKUP(A369,Parámetros!$A$18:$B$21,2,TRUE()))</f>
        <v>0</v>
      </c>
      <c r="AH369" s="20">
        <f t="shared" si="116"/>
        <v>0</v>
      </c>
      <c r="AI369" s="20">
        <f>MAX(0,MIN(AB369,Parámetros!$B$11)-MAX(X369,0))+MAX(0,MIN(AB369,1+Parámetros!$B$11)-MAX(X369,AD369))+MAX(0,MIN(AB369,2)-MAX(X369,1+AD369))</f>
        <v>0</v>
      </c>
      <c r="AJ369" s="20">
        <f t="shared" si="117"/>
        <v>0</v>
      </c>
      <c r="AK369" s="20">
        <f>AE369*(MAX(0,MIN(AB369,Parámetros!$B$11)-MAX(X369,0))+MAX(0,MIN(AB369,1)-MAX(X369,AD369)))+AF369*(MAX(0,MIN(AB369,1+Parámetros!$B$11)-MAX(X369,1))+MAX(0,MIN(AB369,2)-MAX(X369,1+AD369)))</f>
        <v>0</v>
      </c>
      <c r="AL369" s="20">
        <f t="shared" si="118"/>
        <v>0</v>
      </c>
      <c r="AM369" s="20">
        <f>MAX(0,MIN(AC369,Parámetros!$B$11)-MAX(AB369,0))+MAX(0,MIN(AC369,1+Parámetros!$B$11)-MAX(AB369,AD369))+MAX(0,MIN(AC369,2)-MAX(AB369,1+AD369))</f>
        <v>0</v>
      </c>
      <c r="AN369" s="20">
        <f t="shared" si="119"/>
        <v>0</v>
      </c>
      <c r="AO369" s="20">
        <f>AE369*(MAX(0,MIN(AC369,Parámetros!$B$11)-MAX(AB369,0))+MAX(0,MIN(AC369,1)-MAX(AB369,AD369)))+AF369*(MAX(0,MIN(AC369,1+Parámetros!$B$11)-MAX(AB369,1))+MAX(0,MIN(AC369,2)-MAX(AB369,1+AD369)))</f>
        <v>0</v>
      </c>
    </row>
    <row r="370" spans="1:41" x14ac:dyDescent="0.25">
      <c r="A370" s="15"/>
      <c r="B370" s="8"/>
      <c r="C370" s="5" t="str">
        <f>IF(B370="","",IFERROR(INDEX(Trabajadores!$B$5:$B$204,MATCH(B370,Trabajadores!$A$5:$A$204,0)),"Cédula no registrada"))</f>
        <v/>
      </c>
      <c r="D370" s="11"/>
      <c r="E370" s="11"/>
      <c r="F370" s="8"/>
      <c r="G370" s="18" t="str">
        <f>IF(A370="","",IFERROR(INDEX(Trabajadores!$E$5:$E$204,MATCH(B370,Trabajadores!$A$5:$A$204,0))/Parámetros!$B$6,0)+IF(IFERROR(INDEX(Trabajadores!$E$5:$E$204,MATCH(B370,Trabajadores!$A$5:$A$204,0)),"")="",Parámetros!$B$7,0))</f>
        <v/>
      </c>
      <c r="H370" s="5" t="str">
        <f t="shared" si="100"/>
        <v/>
      </c>
      <c r="I370" s="5" t="str">
        <f>IF(A370="","",IF(COUNTIF(Festivos!$A$5:$A$451,A370)&gt;0,"Festivo",IF(WEEKDAY(A370,2)=7,"Domingo",IF(AND(AF370=1,AC370&gt;1),IF(COUNTIF(Festivos!$A$5:$A$451,A370+1)&gt;0,"Festivo","Domingo")&amp;" desde las 00:00",""))))</f>
        <v/>
      </c>
      <c r="J370" s="19" t="str">
        <f t="shared" si="101"/>
        <v/>
      </c>
      <c r="K370" s="19" t="str">
        <f t="shared" si="102"/>
        <v/>
      </c>
      <c r="L370" s="19" t="str">
        <f t="shared" si="103"/>
        <v/>
      </c>
      <c r="M370" s="19" t="str">
        <f t="shared" si="104"/>
        <v/>
      </c>
      <c r="N370" s="19" t="str">
        <f t="shared" si="105"/>
        <v/>
      </c>
      <c r="O370" s="19" t="str">
        <f t="shared" si="106"/>
        <v/>
      </c>
      <c r="P370" s="19" t="str">
        <f t="shared" si="107"/>
        <v/>
      </c>
      <c r="Q370" s="19" t="str">
        <f t="shared" si="108"/>
        <v/>
      </c>
      <c r="R370" s="19" t="str">
        <f t="shared" si="109"/>
        <v/>
      </c>
      <c r="S370" s="17" t="str">
        <f>IF(B370="","",IFERROR(INDEX(Trabajadores!$G$5:$G$204,MATCH(B370,Trabajadores!$A$5:$A$204,0)),""))</f>
        <v/>
      </c>
      <c r="T370" s="17" t="str">
        <f>IF(OR(OR(A370="",D370="",E370=""),S370=""),"",ROUND(S370*(N(L370)*Parámetros!$B$8+N(M370)*(1+Parámetros!$B$9)+N(N370)*(1+Parámetros!$B$10)+N(O370)*(1+AG370)+N(P370)*(1+AG370+Parámetros!$B$8)+N(Q370)*(1+AG370+Parámetros!$B$9)+N(R370)*(1+AG370+Parámetros!$B$10)),0))</f>
        <v/>
      </c>
      <c r="U370" s="5" t="str">
        <f>IF(OR(A370="",D370="",E370=""),"",IF(N(M370)+N(N370)+N(Q370)+N(R370)&gt;Parámetros!$B$12,"Supera el límite de horas extras diarias",IF(C370="Cédula no registrada","Registre la cédula en «Trabajadores»","")))</f>
        <v/>
      </c>
      <c r="X370" s="20">
        <f t="shared" si="110"/>
        <v>0</v>
      </c>
      <c r="Y370" s="20">
        <f t="shared" si="111"/>
        <v>0</v>
      </c>
      <c r="Z370" s="20">
        <f t="shared" si="112"/>
        <v>0</v>
      </c>
      <c r="AA370" s="20">
        <f t="shared" si="113"/>
        <v>0</v>
      </c>
      <c r="AB370" s="20">
        <f t="shared" si="114"/>
        <v>0</v>
      </c>
      <c r="AC370" s="20">
        <f t="shared" si="115"/>
        <v>0</v>
      </c>
      <c r="AD370" s="20">
        <f>IF(A370="",21/24,MOD(VLOOKUP(A370,Parámetros!$A$24:$B$25,2,TRUE()),1))</f>
        <v>0.875</v>
      </c>
      <c r="AE370" s="5">
        <f>IF(A370="",0,IF(OR(WEEKDAY(A370,2)=7,COUNTIF(Festivos!$A$5:$A$451,A370)&gt;0),1,0))</f>
        <v>0</v>
      </c>
      <c r="AF370" s="5">
        <f>IF(A370="",0,IF(OR(WEEKDAY(A370+1,2)=7,COUNTIF(Festivos!$A$5:$A$451,A370+1)&gt;0),1,0))</f>
        <v>0</v>
      </c>
      <c r="AG370" s="9">
        <f>IF(A370="",0,VLOOKUP(A370,Parámetros!$A$18:$B$21,2,TRUE()))</f>
        <v>0</v>
      </c>
      <c r="AH370" s="20">
        <f t="shared" si="116"/>
        <v>0</v>
      </c>
      <c r="AI370" s="20">
        <f>MAX(0,MIN(AB370,Parámetros!$B$11)-MAX(X370,0))+MAX(0,MIN(AB370,1+Parámetros!$B$11)-MAX(X370,AD370))+MAX(0,MIN(AB370,2)-MAX(X370,1+AD370))</f>
        <v>0</v>
      </c>
      <c r="AJ370" s="20">
        <f t="shared" si="117"/>
        <v>0</v>
      </c>
      <c r="AK370" s="20">
        <f>AE370*(MAX(0,MIN(AB370,Parámetros!$B$11)-MAX(X370,0))+MAX(0,MIN(AB370,1)-MAX(X370,AD370)))+AF370*(MAX(0,MIN(AB370,1+Parámetros!$B$11)-MAX(X370,1))+MAX(0,MIN(AB370,2)-MAX(X370,1+AD370)))</f>
        <v>0</v>
      </c>
      <c r="AL370" s="20">
        <f t="shared" si="118"/>
        <v>0</v>
      </c>
      <c r="AM370" s="20">
        <f>MAX(0,MIN(AC370,Parámetros!$B$11)-MAX(AB370,0))+MAX(0,MIN(AC370,1+Parámetros!$B$11)-MAX(AB370,AD370))+MAX(0,MIN(AC370,2)-MAX(AB370,1+AD370))</f>
        <v>0</v>
      </c>
      <c r="AN370" s="20">
        <f t="shared" si="119"/>
        <v>0</v>
      </c>
      <c r="AO370" s="20">
        <f>AE370*(MAX(0,MIN(AC370,Parámetros!$B$11)-MAX(AB370,0))+MAX(0,MIN(AC370,1)-MAX(AB370,AD370)))+AF370*(MAX(0,MIN(AC370,1+Parámetros!$B$11)-MAX(AB370,1))+MAX(0,MIN(AC370,2)-MAX(AB370,1+AD370)))</f>
        <v>0</v>
      </c>
    </row>
    <row r="371" spans="1:41" x14ac:dyDescent="0.25">
      <c r="A371" s="15"/>
      <c r="B371" s="8"/>
      <c r="C371" s="5" t="str">
        <f>IF(B371="","",IFERROR(INDEX(Trabajadores!$B$5:$B$204,MATCH(B371,Trabajadores!$A$5:$A$204,0)),"Cédula no registrada"))</f>
        <v/>
      </c>
      <c r="D371" s="11"/>
      <c r="E371" s="11"/>
      <c r="F371" s="8"/>
      <c r="G371" s="18" t="str">
        <f>IF(A371="","",IFERROR(INDEX(Trabajadores!$E$5:$E$204,MATCH(B371,Trabajadores!$A$5:$A$204,0))/Parámetros!$B$6,0)+IF(IFERROR(INDEX(Trabajadores!$E$5:$E$204,MATCH(B371,Trabajadores!$A$5:$A$204,0)),"")="",Parámetros!$B$7,0))</f>
        <v/>
      </c>
      <c r="H371" s="5" t="str">
        <f t="shared" si="100"/>
        <v/>
      </c>
      <c r="I371" s="5" t="str">
        <f>IF(A371="","",IF(COUNTIF(Festivos!$A$5:$A$451,A371)&gt;0,"Festivo",IF(WEEKDAY(A371,2)=7,"Domingo",IF(AND(AF371=1,AC371&gt;1),IF(COUNTIF(Festivos!$A$5:$A$451,A371+1)&gt;0,"Festivo","Domingo")&amp;" desde las 00:00",""))))</f>
        <v/>
      </c>
      <c r="J371" s="19" t="str">
        <f t="shared" si="101"/>
        <v/>
      </c>
      <c r="K371" s="19" t="str">
        <f t="shared" si="102"/>
        <v/>
      </c>
      <c r="L371" s="19" t="str">
        <f t="shared" si="103"/>
        <v/>
      </c>
      <c r="M371" s="19" t="str">
        <f t="shared" si="104"/>
        <v/>
      </c>
      <c r="N371" s="19" t="str">
        <f t="shared" si="105"/>
        <v/>
      </c>
      <c r="O371" s="19" t="str">
        <f t="shared" si="106"/>
        <v/>
      </c>
      <c r="P371" s="19" t="str">
        <f t="shared" si="107"/>
        <v/>
      </c>
      <c r="Q371" s="19" t="str">
        <f t="shared" si="108"/>
        <v/>
      </c>
      <c r="R371" s="19" t="str">
        <f t="shared" si="109"/>
        <v/>
      </c>
      <c r="S371" s="17" t="str">
        <f>IF(B371="","",IFERROR(INDEX(Trabajadores!$G$5:$G$204,MATCH(B371,Trabajadores!$A$5:$A$204,0)),""))</f>
        <v/>
      </c>
      <c r="T371" s="17" t="str">
        <f>IF(OR(OR(A371="",D371="",E371=""),S371=""),"",ROUND(S371*(N(L371)*Parámetros!$B$8+N(M371)*(1+Parámetros!$B$9)+N(N371)*(1+Parámetros!$B$10)+N(O371)*(1+AG371)+N(P371)*(1+AG371+Parámetros!$B$8)+N(Q371)*(1+AG371+Parámetros!$B$9)+N(R371)*(1+AG371+Parámetros!$B$10)),0))</f>
        <v/>
      </c>
      <c r="U371" s="5" t="str">
        <f>IF(OR(A371="",D371="",E371=""),"",IF(N(M371)+N(N371)+N(Q371)+N(R371)&gt;Parámetros!$B$12,"Supera el límite de horas extras diarias",IF(C371="Cédula no registrada","Registre la cédula en «Trabajadores»","")))</f>
        <v/>
      </c>
      <c r="X371" s="20">
        <f t="shared" si="110"/>
        <v>0</v>
      </c>
      <c r="Y371" s="20">
        <f t="shared" si="111"/>
        <v>0</v>
      </c>
      <c r="Z371" s="20">
        <f t="shared" si="112"/>
        <v>0</v>
      </c>
      <c r="AA371" s="20">
        <f t="shared" si="113"/>
        <v>0</v>
      </c>
      <c r="AB371" s="20">
        <f t="shared" si="114"/>
        <v>0</v>
      </c>
      <c r="AC371" s="20">
        <f t="shared" si="115"/>
        <v>0</v>
      </c>
      <c r="AD371" s="20">
        <f>IF(A371="",21/24,MOD(VLOOKUP(A371,Parámetros!$A$24:$B$25,2,TRUE()),1))</f>
        <v>0.875</v>
      </c>
      <c r="AE371" s="5">
        <f>IF(A371="",0,IF(OR(WEEKDAY(A371,2)=7,COUNTIF(Festivos!$A$5:$A$451,A371)&gt;0),1,0))</f>
        <v>0</v>
      </c>
      <c r="AF371" s="5">
        <f>IF(A371="",0,IF(OR(WEEKDAY(A371+1,2)=7,COUNTIF(Festivos!$A$5:$A$451,A371+1)&gt;0),1,0))</f>
        <v>0</v>
      </c>
      <c r="AG371" s="9">
        <f>IF(A371="",0,VLOOKUP(A371,Parámetros!$A$18:$B$21,2,TRUE()))</f>
        <v>0</v>
      </c>
      <c r="AH371" s="20">
        <f t="shared" si="116"/>
        <v>0</v>
      </c>
      <c r="AI371" s="20">
        <f>MAX(0,MIN(AB371,Parámetros!$B$11)-MAX(X371,0))+MAX(0,MIN(AB371,1+Parámetros!$B$11)-MAX(X371,AD371))+MAX(0,MIN(AB371,2)-MAX(X371,1+AD371))</f>
        <v>0</v>
      </c>
      <c r="AJ371" s="20">
        <f t="shared" si="117"/>
        <v>0</v>
      </c>
      <c r="AK371" s="20">
        <f>AE371*(MAX(0,MIN(AB371,Parámetros!$B$11)-MAX(X371,0))+MAX(0,MIN(AB371,1)-MAX(X371,AD371)))+AF371*(MAX(0,MIN(AB371,1+Parámetros!$B$11)-MAX(X371,1))+MAX(0,MIN(AB371,2)-MAX(X371,1+AD371)))</f>
        <v>0</v>
      </c>
      <c r="AL371" s="20">
        <f t="shared" si="118"/>
        <v>0</v>
      </c>
      <c r="AM371" s="20">
        <f>MAX(0,MIN(AC371,Parámetros!$B$11)-MAX(AB371,0))+MAX(0,MIN(AC371,1+Parámetros!$B$11)-MAX(AB371,AD371))+MAX(0,MIN(AC371,2)-MAX(AB371,1+AD371))</f>
        <v>0</v>
      </c>
      <c r="AN371" s="20">
        <f t="shared" si="119"/>
        <v>0</v>
      </c>
      <c r="AO371" s="20">
        <f>AE371*(MAX(0,MIN(AC371,Parámetros!$B$11)-MAX(AB371,0))+MAX(0,MIN(AC371,1)-MAX(AB371,AD371)))+AF371*(MAX(0,MIN(AC371,1+Parámetros!$B$11)-MAX(AB371,1))+MAX(0,MIN(AC371,2)-MAX(AB371,1+AD371)))</f>
        <v>0</v>
      </c>
    </row>
    <row r="372" spans="1:41" x14ac:dyDescent="0.25">
      <c r="A372" s="15"/>
      <c r="B372" s="8"/>
      <c r="C372" s="5" t="str">
        <f>IF(B372="","",IFERROR(INDEX(Trabajadores!$B$5:$B$204,MATCH(B372,Trabajadores!$A$5:$A$204,0)),"Cédula no registrada"))</f>
        <v/>
      </c>
      <c r="D372" s="11"/>
      <c r="E372" s="11"/>
      <c r="F372" s="8"/>
      <c r="G372" s="18" t="str">
        <f>IF(A372="","",IFERROR(INDEX(Trabajadores!$E$5:$E$204,MATCH(B372,Trabajadores!$A$5:$A$204,0))/Parámetros!$B$6,0)+IF(IFERROR(INDEX(Trabajadores!$E$5:$E$204,MATCH(B372,Trabajadores!$A$5:$A$204,0)),"")="",Parámetros!$B$7,0))</f>
        <v/>
      </c>
      <c r="H372" s="5" t="str">
        <f t="shared" si="100"/>
        <v/>
      </c>
      <c r="I372" s="5" t="str">
        <f>IF(A372="","",IF(COUNTIF(Festivos!$A$5:$A$451,A372)&gt;0,"Festivo",IF(WEEKDAY(A372,2)=7,"Domingo",IF(AND(AF372=1,AC372&gt;1),IF(COUNTIF(Festivos!$A$5:$A$451,A372+1)&gt;0,"Festivo","Domingo")&amp;" desde las 00:00",""))))</f>
        <v/>
      </c>
      <c r="J372" s="19" t="str">
        <f t="shared" si="101"/>
        <v/>
      </c>
      <c r="K372" s="19" t="str">
        <f t="shared" si="102"/>
        <v/>
      </c>
      <c r="L372" s="19" t="str">
        <f t="shared" si="103"/>
        <v/>
      </c>
      <c r="M372" s="19" t="str">
        <f t="shared" si="104"/>
        <v/>
      </c>
      <c r="N372" s="19" t="str">
        <f t="shared" si="105"/>
        <v/>
      </c>
      <c r="O372" s="19" t="str">
        <f t="shared" si="106"/>
        <v/>
      </c>
      <c r="P372" s="19" t="str">
        <f t="shared" si="107"/>
        <v/>
      </c>
      <c r="Q372" s="19" t="str">
        <f t="shared" si="108"/>
        <v/>
      </c>
      <c r="R372" s="19" t="str">
        <f t="shared" si="109"/>
        <v/>
      </c>
      <c r="S372" s="17" t="str">
        <f>IF(B372="","",IFERROR(INDEX(Trabajadores!$G$5:$G$204,MATCH(B372,Trabajadores!$A$5:$A$204,0)),""))</f>
        <v/>
      </c>
      <c r="T372" s="17" t="str">
        <f>IF(OR(OR(A372="",D372="",E372=""),S372=""),"",ROUND(S372*(N(L372)*Parámetros!$B$8+N(M372)*(1+Parámetros!$B$9)+N(N372)*(1+Parámetros!$B$10)+N(O372)*(1+AG372)+N(P372)*(1+AG372+Parámetros!$B$8)+N(Q372)*(1+AG372+Parámetros!$B$9)+N(R372)*(1+AG372+Parámetros!$B$10)),0))</f>
        <v/>
      </c>
      <c r="U372" s="5" t="str">
        <f>IF(OR(A372="",D372="",E372=""),"",IF(N(M372)+N(N372)+N(Q372)+N(R372)&gt;Parámetros!$B$12,"Supera el límite de horas extras diarias",IF(C372="Cédula no registrada","Registre la cédula en «Trabajadores»","")))</f>
        <v/>
      </c>
      <c r="X372" s="20">
        <f t="shared" si="110"/>
        <v>0</v>
      </c>
      <c r="Y372" s="20">
        <f t="shared" si="111"/>
        <v>0</v>
      </c>
      <c r="Z372" s="20">
        <f t="shared" si="112"/>
        <v>0</v>
      </c>
      <c r="AA372" s="20">
        <f t="shared" si="113"/>
        <v>0</v>
      </c>
      <c r="AB372" s="20">
        <f t="shared" si="114"/>
        <v>0</v>
      </c>
      <c r="AC372" s="20">
        <f t="shared" si="115"/>
        <v>0</v>
      </c>
      <c r="AD372" s="20">
        <f>IF(A372="",21/24,MOD(VLOOKUP(A372,Parámetros!$A$24:$B$25,2,TRUE()),1))</f>
        <v>0.875</v>
      </c>
      <c r="AE372" s="5">
        <f>IF(A372="",0,IF(OR(WEEKDAY(A372,2)=7,COUNTIF(Festivos!$A$5:$A$451,A372)&gt;0),1,0))</f>
        <v>0</v>
      </c>
      <c r="AF372" s="5">
        <f>IF(A372="",0,IF(OR(WEEKDAY(A372+1,2)=7,COUNTIF(Festivos!$A$5:$A$451,A372+1)&gt;0),1,0))</f>
        <v>0</v>
      </c>
      <c r="AG372" s="9">
        <f>IF(A372="",0,VLOOKUP(A372,Parámetros!$A$18:$B$21,2,TRUE()))</f>
        <v>0</v>
      </c>
      <c r="AH372" s="20">
        <f t="shared" si="116"/>
        <v>0</v>
      </c>
      <c r="AI372" s="20">
        <f>MAX(0,MIN(AB372,Parámetros!$B$11)-MAX(X372,0))+MAX(0,MIN(AB372,1+Parámetros!$B$11)-MAX(X372,AD372))+MAX(0,MIN(AB372,2)-MAX(X372,1+AD372))</f>
        <v>0</v>
      </c>
      <c r="AJ372" s="20">
        <f t="shared" si="117"/>
        <v>0</v>
      </c>
      <c r="AK372" s="20">
        <f>AE372*(MAX(0,MIN(AB372,Parámetros!$B$11)-MAX(X372,0))+MAX(0,MIN(AB372,1)-MAX(X372,AD372)))+AF372*(MAX(0,MIN(AB372,1+Parámetros!$B$11)-MAX(X372,1))+MAX(0,MIN(AB372,2)-MAX(X372,1+AD372)))</f>
        <v>0</v>
      </c>
      <c r="AL372" s="20">
        <f t="shared" si="118"/>
        <v>0</v>
      </c>
      <c r="AM372" s="20">
        <f>MAX(0,MIN(AC372,Parámetros!$B$11)-MAX(AB372,0))+MAX(0,MIN(AC372,1+Parámetros!$B$11)-MAX(AB372,AD372))+MAX(0,MIN(AC372,2)-MAX(AB372,1+AD372))</f>
        <v>0</v>
      </c>
      <c r="AN372" s="20">
        <f t="shared" si="119"/>
        <v>0</v>
      </c>
      <c r="AO372" s="20">
        <f>AE372*(MAX(0,MIN(AC372,Parámetros!$B$11)-MAX(AB372,0))+MAX(0,MIN(AC372,1)-MAX(AB372,AD372)))+AF372*(MAX(0,MIN(AC372,1+Parámetros!$B$11)-MAX(AB372,1))+MAX(0,MIN(AC372,2)-MAX(AB372,1+AD372)))</f>
        <v>0</v>
      </c>
    </row>
    <row r="373" spans="1:41" x14ac:dyDescent="0.25">
      <c r="A373" s="15"/>
      <c r="B373" s="8"/>
      <c r="C373" s="5" t="str">
        <f>IF(B373="","",IFERROR(INDEX(Trabajadores!$B$5:$B$204,MATCH(B373,Trabajadores!$A$5:$A$204,0)),"Cédula no registrada"))</f>
        <v/>
      </c>
      <c r="D373" s="11"/>
      <c r="E373" s="11"/>
      <c r="F373" s="8"/>
      <c r="G373" s="18" t="str">
        <f>IF(A373="","",IFERROR(INDEX(Trabajadores!$E$5:$E$204,MATCH(B373,Trabajadores!$A$5:$A$204,0))/Parámetros!$B$6,0)+IF(IFERROR(INDEX(Trabajadores!$E$5:$E$204,MATCH(B373,Trabajadores!$A$5:$A$204,0)),"")="",Parámetros!$B$7,0))</f>
        <v/>
      </c>
      <c r="H373" s="5" t="str">
        <f t="shared" si="100"/>
        <v/>
      </c>
      <c r="I373" s="5" t="str">
        <f>IF(A373="","",IF(COUNTIF(Festivos!$A$5:$A$451,A373)&gt;0,"Festivo",IF(WEEKDAY(A373,2)=7,"Domingo",IF(AND(AF373=1,AC373&gt;1),IF(COUNTIF(Festivos!$A$5:$A$451,A373+1)&gt;0,"Festivo","Domingo")&amp;" desde las 00:00",""))))</f>
        <v/>
      </c>
      <c r="J373" s="19" t="str">
        <f t="shared" si="101"/>
        <v/>
      </c>
      <c r="K373" s="19" t="str">
        <f t="shared" si="102"/>
        <v/>
      </c>
      <c r="L373" s="19" t="str">
        <f t="shared" si="103"/>
        <v/>
      </c>
      <c r="M373" s="19" t="str">
        <f t="shared" si="104"/>
        <v/>
      </c>
      <c r="N373" s="19" t="str">
        <f t="shared" si="105"/>
        <v/>
      </c>
      <c r="O373" s="19" t="str">
        <f t="shared" si="106"/>
        <v/>
      </c>
      <c r="P373" s="19" t="str">
        <f t="shared" si="107"/>
        <v/>
      </c>
      <c r="Q373" s="19" t="str">
        <f t="shared" si="108"/>
        <v/>
      </c>
      <c r="R373" s="19" t="str">
        <f t="shared" si="109"/>
        <v/>
      </c>
      <c r="S373" s="17" t="str">
        <f>IF(B373="","",IFERROR(INDEX(Trabajadores!$G$5:$G$204,MATCH(B373,Trabajadores!$A$5:$A$204,0)),""))</f>
        <v/>
      </c>
      <c r="T373" s="17" t="str">
        <f>IF(OR(OR(A373="",D373="",E373=""),S373=""),"",ROUND(S373*(N(L373)*Parámetros!$B$8+N(M373)*(1+Parámetros!$B$9)+N(N373)*(1+Parámetros!$B$10)+N(O373)*(1+AG373)+N(P373)*(1+AG373+Parámetros!$B$8)+N(Q373)*(1+AG373+Parámetros!$B$9)+N(R373)*(1+AG373+Parámetros!$B$10)),0))</f>
        <v/>
      </c>
      <c r="U373" s="5" t="str">
        <f>IF(OR(A373="",D373="",E373=""),"",IF(N(M373)+N(N373)+N(Q373)+N(R373)&gt;Parámetros!$B$12,"Supera el límite de horas extras diarias",IF(C373="Cédula no registrada","Registre la cédula en «Trabajadores»","")))</f>
        <v/>
      </c>
      <c r="X373" s="20">
        <f t="shared" si="110"/>
        <v>0</v>
      </c>
      <c r="Y373" s="20">
        <f t="shared" si="111"/>
        <v>0</v>
      </c>
      <c r="Z373" s="20">
        <f t="shared" si="112"/>
        <v>0</v>
      </c>
      <c r="AA373" s="20">
        <f t="shared" si="113"/>
        <v>0</v>
      </c>
      <c r="AB373" s="20">
        <f t="shared" si="114"/>
        <v>0</v>
      </c>
      <c r="AC373" s="20">
        <f t="shared" si="115"/>
        <v>0</v>
      </c>
      <c r="AD373" s="20">
        <f>IF(A373="",21/24,MOD(VLOOKUP(A373,Parámetros!$A$24:$B$25,2,TRUE()),1))</f>
        <v>0.875</v>
      </c>
      <c r="AE373" s="5">
        <f>IF(A373="",0,IF(OR(WEEKDAY(A373,2)=7,COUNTIF(Festivos!$A$5:$A$451,A373)&gt;0),1,0))</f>
        <v>0</v>
      </c>
      <c r="AF373" s="5">
        <f>IF(A373="",0,IF(OR(WEEKDAY(A373+1,2)=7,COUNTIF(Festivos!$A$5:$A$451,A373+1)&gt;0),1,0))</f>
        <v>0</v>
      </c>
      <c r="AG373" s="9">
        <f>IF(A373="",0,VLOOKUP(A373,Parámetros!$A$18:$B$21,2,TRUE()))</f>
        <v>0</v>
      </c>
      <c r="AH373" s="20">
        <f t="shared" si="116"/>
        <v>0</v>
      </c>
      <c r="AI373" s="20">
        <f>MAX(0,MIN(AB373,Parámetros!$B$11)-MAX(X373,0))+MAX(0,MIN(AB373,1+Parámetros!$B$11)-MAX(X373,AD373))+MAX(0,MIN(AB373,2)-MAX(X373,1+AD373))</f>
        <v>0</v>
      </c>
      <c r="AJ373" s="20">
        <f t="shared" si="117"/>
        <v>0</v>
      </c>
      <c r="AK373" s="20">
        <f>AE373*(MAX(0,MIN(AB373,Parámetros!$B$11)-MAX(X373,0))+MAX(0,MIN(AB373,1)-MAX(X373,AD373)))+AF373*(MAX(0,MIN(AB373,1+Parámetros!$B$11)-MAX(X373,1))+MAX(0,MIN(AB373,2)-MAX(X373,1+AD373)))</f>
        <v>0</v>
      </c>
      <c r="AL373" s="20">
        <f t="shared" si="118"/>
        <v>0</v>
      </c>
      <c r="AM373" s="20">
        <f>MAX(0,MIN(AC373,Parámetros!$B$11)-MAX(AB373,0))+MAX(0,MIN(AC373,1+Parámetros!$B$11)-MAX(AB373,AD373))+MAX(0,MIN(AC373,2)-MAX(AB373,1+AD373))</f>
        <v>0</v>
      </c>
      <c r="AN373" s="20">
        <f t="shared" si="119"/>
        <v>0</v>
      </c>
      <c r="AO373" s="20">
        <f>AE373*(MAX(0,MIN(AC373,Parámetros!$B$11)-MAX(AB373,0))+MAX(0,MIN(AC373,1)-MAX(AB373,AD373)))+AF373*(MAX(0,MIN(AC373,1+Parámetros!$B$11)-MAX(AB373,1))+MAX(0,MIN(AC373,2)-MAX(AB373,1+AD373)))</f>
        <v>0</v>
      </c>
    </row>
    <row r="374" spans="1:41" x14ac:dyDescent="0.25">
      <c r="A374" s="15"/>
      <c r="B374" s="8"/>
      <c r="C374" s="5" t="str">
        <f>IF(B374="","",IFERROR(INDEX(Trabajadores!$B$5:$B$204,MATCH(B374,Trabajadores!$A$5:$A$204,0)),"Cédula no registrada"))</f>
        <v/>
      </c>
      <c r="D374" s="11"/>
      <c r="E374" s="11"/>
      <c r="F374" s="8"/>
      <c r="G374" s="18" t="str">
        <f>IF(A374="","",IFERROR(INDEX(Trabajadores!$E$5:$E$204,MATCH(B374,Trabajadores!$A$5:$A$204,0))/Parámetros!$B$6,0)+IF(IFERROR(INDEX(Trabajadores!$E$5:$E$204,MATCH(B374,Trabajadores!$A$5:$A$204,0)),"")="",Parámetros!$B$7,0))</f>
        <v/>
      </c>
      <c r="H374" s="5" t="str">
        <f t="shared" si="100"/>
        <v/>
      </c>
      <c r="I374" s="5" t="str">
        <f>IF(A374="","",IF(COUNTIF(Festivos!$A$5:$A$451,A374)&gt;0,"Festivo",IF(WEEKDAY(A374,2)=7,"Domingo",IF(AND(AF374=1,AC374&gt;1),IF(COUNTIF(Festivos!$A$5:$A$451,A374+1)&gt;0,"Festivo","Domingo")&amp;" desde las 00:00",""))))</f>
        <v/>
      </c>
      <c r="J374" s="19" t="str">
        <f t="shared" si="101"/>
        <v/>
      </c>
      <c r="K374" s="19" t="str">
        <f t="shared" si="102"/>
        <v/>
      </c>
      <c r="L374" s="19" t="str">
        <f t="shared" si="103"/>
        <v/>
      </c>
      <c r="M374" s="19" t="str">
        <f t="shared" si="104"/>
        <v/>
      </c>
      <c r="N374" s="19" t="str">
        <f t="shared" si="105"/>
        <v/>
      </c>
      <c r="O374" s="19" t="str">
        <f t="shared" si="106"/>
        <v/>
      </c>
      <c r="P374" s="19" t="str">
        <f t="shared" si="107"/>
        <v/>
      </c>
      <c r="Q374" s="19" t="str">
        <f t="shared" si="108"/>
        <v/>
      </c>
      <c r="R374" s="19" t="str">
        <f t="shared" si="109"/>
        <v/>
      </c>
      <c r="S374" s="17" t="str">
        <f>IF(B374="","",IFERROR(INDEX(Trabajadores!$G$5:$G$204,MATCH(B374,Trabajadores!$A$5:$A$204,0)),""))</f>
        <v/>
      </c>
      <c r="T374" s="17" t="str">
        <f>IF(OR(OR(A374="",D374="",E374=""),S374=""),"",ROUND(S374*(N(L374)*Parámetros!$B$8+N(M374)*(1+Parámetros!$B$9)+N(N374)*(1+Parámetros!$B$10)+N(O374)*(1+AG374)+N(P374)*(1+AG374+Parámetros!$B$8)+N(Q374)*(1+AG374+Parámetros!$B$9)+N(R374)*(1+AG374+Parámetros!$B$10)),0))</f>
        <v/>
      </c>
      <c r="U374" s="5" t="str">
        <f>IF(OR(A374="",D374="",E374=""),"",IF(N(M374)+N(N374)+N(Q374)+N(R374)&gt;Parámetros!$B$12,"Supera el límite de horas extras diarias",IF(C374="Cédula no registrada","Registre la cédula en «Trabajadores»","")))</f>
        <v/>
      </c>
      <c r="X374" s="20">
        <f t="shared" si="110"/>
        <v>0</v>
      </c>
      <c r="Y374" s="20">
        <f t="shared" si="111"/>
        <v>0</v>
      </c>
      <c r="Z374" s="20">
        <f t="shared" si="112"/>
        <v>0</v>
      </c>
      <c r="AA374" s="20">
        <f t="shared" si="113"/>
        <v>0</v>
      </c>
      <c r="AB374" s="20">
        <f t="shared" si="114"/>
        <v>0</v>
      </c>
      <c r="AC374" s="20">
        <f t="shared" si="115"/>
        <v>0</v>
      </c>
      <c r="AD374" s="20">
        <f>IF(A374="",21/24,MOD(VLOOKUP(A374,Parámetros!$A$24:$B$25,2,TRUE()),1))</f>
        <v>0.875</v>
      </c>
      <c r="AE374" s="5">
        <f>IF(A374="",0,IF(OR(WEEKDAY(A374,2)=7,COUNTIF(Festivos!$A$5:$A$451,A374)&gt;0),1,0))</f>
        <v>0</v>
      </c>
      <c r="AF374" s="5">
        <f>IF(A374="",0,IF(OR(WEEKDAY(A374+1,2)=7,COUNTIF(Festivos!$A$5:$A$451,A374+1)&gt;0),1,0))</f>
        <v>0</v>
      </c>
      <c r="AG374" s="9">
        <f>IF(A374="",0,VLOOKUP(A374,Parámetros!$A$18:$B$21,2,TRUE()))</f>
        <v>0</v>
      </c>
      <c r="AH374" s="20">
        <f t="shared" si="116"/>
        <v>0</v>
      </c>
      <c r="AI374" s="20">
        <f>MAX(0,MIN(AB374,Parámetros!$B$11)-MAX(X374,0))+MAX(0,MIN(AB374,1+Parámetros!$B$11)-MAX(X374,AD374))+MAX(0,MIN(AB374,2)-MAX(X374,1+AD374))</f>
        <v>0</v>
      </c>
      <c r="AJ374" s="20">
        <f t="shared" si="117"/>
        <v>0</v>
      </c>
      <c r="AK374" s="20">
        <f>AE374*(MAX(0,MIN(AB374,Parámetros!$B$11)-MAX(X374,0))+MAX(0,MIN(AB374,1)-MAX(X374,AD374)))+AF374*(MAX(0,MIN(AB374,1+Parámetros!$B$11)-MAX(X374,1))+MAX(0,MIN(AB374,2)-MAX(X374,1+AD374)))</f>
        <v>0</v>
      </c>
      <c r="AL374" s="20">
        <f t="shared" si="118"/>
        <v>0</v>
      </c>
      <c r="AM374" s="20">
        <f>MAX(0,MIN(AC374,Parámetros!$B$11)-MAX(AB374,0))+MAX(0,MIN(AC374,1+Parámetros!$B$11)-MAX(AB374,AD374))+MAX(0,MIN(AC374,2)-MAX(AB374,1+AD374))</f>
        <v>0</v>
      </c>
      <c r="AN374" s="20">
        <f t="shared" si="119"/>
        <v>0</v>
      </c>
      <c r="AO374" s="20">
        <f>AE374*(MAX(0,MIN(AC374,Parámetros!$B$11)-MAX(AB374,0))+MAX(0,MIN(AC374,1)-MAX(AB374,AD374)))+AF374*(MAX(0,MIN(AC374,1+Parámetros!$B$11)-MAX(AB374,1))+MAX(0,MIN(AC374,2)-MAX(AB374,1+AD374)))</f>
        <v>0</v>
      </c>
    </row>
    <row r="375" spans="1:41" x14ac:dyDescent="0.25">
      <c r="A375" s="15"/>
      <c r="B375" s="8"/>
      <c r="C375" s="5" t="str">
        <f>IF(B375="","",IFERROR(INDEX(Trabajadores!$B$5:$B$204,MATCH(B375,Trabajadores!$A$5:$A$204,0)),"Cédula no registrada"))</f>
        <v/>
      </c>
      <c r="D375" s="11"/>
      <c r="E375" s="11"/>
      <c r="F375" s="8"/>
      <c r="G375" s="18" t="str">
        <f>IF(A375="","",IFERROR(INDEX(Trabajadores!$E$5:$E$204,MATCH(B375,Trabajadores!$A$5:$A$204,0))/Parámetros!$B$6,0)+IF(IFERROR(INDEX(Trabajadores!$E$5:$E$204,MATCH(B375,Trabajadores!$A$5:$A$204,0)),"")="",Parámetros!$B$7,0))</f>
        <v/>
      </c>
      <c r="H375" s="5" t="str">
        <f t="shared" si="100"/>
        <v/>
      </c>
      <c r="I375" s="5" t="str">
        <f>IF(A375="","",IF(COUNTIF(Festivos!$A$5:$A$451,A375)&gt;0,"Festivo",IF(WEEKDAY(A375,2)=7,"Domingo",IF(AND(AF375=1,AC375&gt;1),IF(COUNTIF(Festivos!$A$5:$A$451,A375+1)&gt;0,"Festivo","Domingo")&amp;" desde las 00:00",""))))</f>
        <v/>
      </c>
      <c r="J375" s="19" t="str">
        <f t="shared" si="101"/>
        <v/>
      </c>
      <c r="K375" s="19" t="str">
        <f t="shared" si="102"/>
        <v/>
      </c>
      <c r="L375" s="19" t="str">
        <f t="shared" si="103"/>
        <v/>
      </c>
      <c r="M375" s="19" t="str">
        <f t="shared" si="104"/>
        <v/>
      </c>
      <c r="N375" s="19" t="str">
        <f t="shared" si="105"/>
        <v/>
      </c>
      <c r="O375" s="19" t="str">
        <f t="shared" si="106"/>
        <v/>
      </c>
      <c r="P375" s="19" t="str">
        <f t="shared" si="107"/>
        <v/>
      </c>
      <c r="Q375" s="19" t="str">
        <f t="shared" si="108"/>
        <v/>
      </c>
      <c r="R375" s="19" t="str">
        <f t="shared" si="109"/>
        <v/>
      </c>
      <c r="S375" s="17" t="str">
        <f>IF(B375="","",IFERROR(INDEX(Trabajadores!$G$5:$G$204,MATCH(B375,Trabajadores!$A$5:$A$204,0)),""))</f>
        <v/>
      </c>
      <c r="T375" s="17" t="str">
        <f>IF(OR(OR(A375="",D375="",E375=""),S375=""),"",ROUND(S375*(N(L375)*Parámetros!$B$8+N(M375)*(1+Parámetros!$B$9)+N(N375)*(1+Parámetros!$B$10)+N(O375)*(1+AG375)+N(P375)*(1+AG375+Parámetros!$B$8)+N(Q375)*(1+AG375+Parámetros!$B$9)+N(R375)*(1+AG375+Parámetros!$B$10)),0))</f>
        <v/>
      </c>
      <c r="U375" s="5" t="str">
        <f>IF(OR(A375="",D375="",E375=""),"",IF(N(M375)+N(N375)+N(Q375)+N(R375)&gt;Parámetros!$B$12,"Supera el límite de horas extras diarias",IF(C375="Cédula no registrada","Registre la cédula en «Trabajadores»","")))</f>
        <v/>
      </c>
      <c r="X375" s="20">
        <f t="shared" si="110"/>
        <v>0</v>
      </c>
      <c r="Y375" s="20">
        <f t="shared" si="111"/>
        <v>0</v>
      </c>
      <c r="Z375" s="20">
        <f t="shared" si="112"/>
        <v>0</v>
      </c>
      <c r="AA375" s="20">
        <f t="shared" si="113"/>
        <v>0</v>
      </c>
      <c r="AB375" s="20">
        <f t="shared" si="114"/>
        <v>0</v>
      </c>
      <c r="AC375" s="20">
        <f t="shared" si="115"/>
        <v>0</v>
      </c>
      <c r="AD375" s="20">
        <f>IF(A375="",21/24,MOD(VLOOKUP(A375,Parámetros!$A$24:$B$25,2,TRUE()),1))</f>
        <v>0.875</v>
      </c>
      <c r="AE375" s="5">
        <f>IF(A375="",0,IF(OR(WEEKDAY(A375,2)=7,COUNTIF(Festivos!$A$5:$A$451,A375)&gt;0),1,0))</f>
        <v>0</v>
      </c>
      <c r="AF375" s="5">
        <f>IF(A375="",0,IF(OR(WEEKDAY(A375+1,2)=7,COUNTIF(Festivos!$A$5:$A$451,A375+1)&gt;0),1,0))</f>
        <v>0</v>
      </c>
      <c r="AG375" s="9">
        <f>IF(A375="",0,VLOOKUP(A375,Parámetros!$A$18:$B$21,2,TRUE()))</f>
        <v>0</v>
      </c>
      <c r="AH375" s="20">
        <f t="shared" si="116"/>
        <v>0</v>
      </c>
      <c r="AI375" s="20">
        <f>MAX(0,MIN(AB375,Parámetros!$B$11)-MAX(X375,0))+MAX(0,MIN(AB375,1+Parámetros!$B$11)-MAX(X375,AD375))+MAX(0,MIN(AB375,2)-MAX(X375,1+AD375))</f>
        <v>0</v>
      </c>
      <c r="AJ375" s="20">
        <f t="shared" si="117"/>
        <v>0</v>
      </c>
      <c r="AK375" s="20">
        <f>AE375*(MAX(0,MIN(AB375,Parámetros!$B$11)-MAX(X375,0))+MAX(0,MIN(AB375,1)-MAX(X375,AD375)))+AF375*(MAX(0,MIN(AB375,1+Parámetros!$B$11)-MAX(X375,1))+MAX(0,MIN(AB375,2)-MAX(X375,1+AD375)))</f>
        <v>0</v>
      </c>
      <c r="AL375" s="20">
        <f t="shared" si="118"/>
        <v>0</v>
      </c>
      <c r="AM375" s="20">
        <f>MAX(0,MIN(AC375,Parámetros!$B$11)-MAX(AB375,0))+MAX(0,MIN(AC375,1+Parámetros!$B$11)-MAX(AB375,AD375))+MAX(0,MIN(AC375,2)-MAX(AB375,1+AD375))</f>
        <v>0</v>
      </c>
      <c r="AN375" s="20">
        <f t="shared" si="119"/>
        <v>0</v>
      </c>
      <c r="AO375" s="20">
        <f>AE375*(MAX(0,MIN(AC375,Parámetros!$B$11)-MAX(AB375,0))+MAX(0,MIN(AC375,1)-MAX(AB375,AD375)))+AF375*(MAX(0,MIN(AC375,1+Parámetros!$B$11)-MAX(AB375,1))+MAX(0,MIN(AC375,2)-MAX(AB375,1+AD375)))</f>
        <v>0</v>
      </c>
    </row>
    <row r="376" spans="1:41" x14ac:dyDescent="0.25">
      <c r="A376" s="15"/>
      <c r="B376" s="8"/>
      <c r="C376" s="5" t="str">
        <f>IF(B376="","",IFERROR(INDEX(Trabajadores!$B$5:$B$204,MATCH(B376,Trabajadores!$A$5:$A$204,0)),"Cédula no registrada"))</f>
        <v/>
      </c>
      <c r="D376" s="11"/>
      <c r="E376" s="11"/>
      <c r="F376" s="8"/>
      <c r="G376" s="18" t="str">
        <f>IF(A376="","",IFERROR(INDEX(Trabajadores!$E$5:$E$204,MATCH(B376,Trabajadores!$A$5:$A$204,0))/Parámetros!$B$6,0)+IF(IFERROR(INDEX(Trabajadores!$E$5:$E$204,MATCH(B376,Trabajadores!$A$5:$A$204,0)),"")="",Parámetros!$B$7,0))</f>
        <v/>
      </c>
      <c r="H376" s="5" t="str">
        <f t="shared" si="100"/>
        <v/>
      </c>
      <c r="I376" s="5" t="str">
        <f>IF(A376="","",IF(COUNTIF(Festivos!$A$5:$A$451,A376)&gt;0,"Festivo",IF(WEEKDAY(A376,2)=7,"Domingo",IF(AND(AF376=1,AC376&gt;1),IF(COUNTIF(Festivos!$A$5:$A$451,A376+1)&gt;0,"Festivo","Domingo")&amp;" desde las 00:00",""))))</f>
        <v/>
      </c>
      <c r="J376" s="19" t="str">
        <f t="shared" si="101"/>
        <v/>
      </c>
      <c r="K376" s="19" t="str">
        <f t="shared" si="102"/>
        <v/>
      </c>
      <c r="L376" s="19" t="str">
        <f t="shared" si="103"/>
        <v/>
      </c>
      <c r="M376" s="19" t="str">
        <f t="shared" si="104"/>
        <v/>
      </c>
      <c r="N376" s="19" t="str">
        <f t="shared" si="105"/>
        <v/>
      </c>
      <c r="O376" s="19" t="str">
        <f t="shared" si="106"/>
        <v/>
      </c>
      <c r="P376" s="19" t="str">
        <f t="shared" si="107"/>
        <v/>
      </c>
      <c r="Q376" s="19" t="str">
        <f t="shared" si="108"/>
        <v/>
      </c>
      <c r="R376" s="19" t="str">
        <f t="shared" si="109"/>
        <v/>
      </c>
      <c r="S376" s="17" t="str">
        <f>IF(B376="","",IFERROR(INDEX(Trabajadores!$G$5:$G$204,MATCH(B376,Trabajadores!$A$5:$A$204,0)),""))</f>
        <v/>
      </c>
      <c r="T376" s="17" t="str">
        <f>IF(OR(OR(A376="",D376="",E376=""),S376=""),"",ROUND(S376*(N(L376)*Parámetros!$B$8+N(M376)*(1+Parámetros!$B$9)+N(N376)*(1+Parámetros!$B$10)+N(O376)*(1+AG376)+N(P376)*(1+AG376+Parámetros!$B$8)+N(Q376)*(1+AG376+Parámetros!$B$9)+N(R376)*(1+AG376+Parámetros!$B$10)),0))</f>
        <v/>
      </c>
      <c r="U376" s="5" t="str">
        <f>IF(OR(A376="",D376="",E376=""),"",IF(N(M376)+N(N376)+N(Q376)+N(R376)&gt;Parámetros!$B$12,"Supera el límite de horas extras diarias",IF(C376="Cédula no registrada","Registre la cédula en «Trabajadores»","")))</f>
        <v/>
      </c>
      <c r="X376" s="20">
        <f t="shared" si="110"/>
        <v>0</v>
      </c>
      <c r="Y376" s="20">
        <f t="shared" si="111"/>
        <v>0</v>
      </c>
      <c r="Z376" s="20">
        <f t="shared" si="112"/>
        <v>0</v>
      </c>
      <c r="AA376" s="20">
        <f t="shared" si="113"/>
        <v>0</v>
      </c>
      <c r="AB376" s="20">
        <f t="shared" si="114"/>
        <v>0</v>
      </c>
      <c r="AC376" s="20">
        <f t="shared" si="115"/>
        <v>0</v>
      </c>
      <c r="AD376" s="20">
        <f>IF(A376="",21/24,MOD(VLOOKUP(A376,Parámetros!$A$24:$B$25,2,TRUE()),1))</f>
        <v>0.875</v>
      </c>
      <c r="AE376" s="5">
        <f>IF(A376="",0,IF(OR(WEEKDAY(A376,2)=7,COUNTIF(Festivos!$A$5:$A$451,A376)&gt;0),1,0))</f>
        <v>0</v>
      </c>
      <c r="AF376" s="5">
        <f>IF(A376="",0,IF(OR(WEEKDAY(A376+1,2)=7,COUNTIF(Festivos!$A$5:$A$451,A376+1)&gt;0),1,0))</f>
        <v>0</v>
      </c>
      <c r="AG376" s="9">
        <f>IF(A376="",0,VLOOKUP(A376,Parámetros!$A$18:$B$21,2,TRUE()))</f>
        <v>0</v>
      </c>
      <c r="AH376" s="20">
        <f t="shared" si="116"/>
        <v>0</v>
      </c>
      <c r="AI376" s="20">
        <f>MAX(0,MIN(AB376,Parámetros!$B$11)-MAX(X376,0))+MAX(0,MIN(AB376,1+Parámetros!$B$11)-MAX(X376,AD376))+MAX(0,MIN(AB376,2)-MAX(X376,1+AD376))</f>
        <v>0</v>
      </c>
      <c r="AJ376" s="20">
        <f t="shared" si="117"/>
        <v>0</v>
      </c>
      <c r="AK376" s="20">
        <f>AE376*(MAX(0,MIN(AB376,Parámetros!$B$11)-MAX(X376,0))+MAX(0,MIN(AB376,1)-MAX(X376,AD376)))+AF376*(MAX(0,MIN(AB376,1+Parámetros!$B$11)-MAX(X376,1))+MAX(0,MIN(AB376,2)-MAX(X376,1+AD376)))</f>
        <v>0</v>
      </c>
      <c r="AL376" s="20">
        <f t="shared" si="118"/>
        <v>0</v>
      </c>
      <c r="AM376" s="20">
        <f>MAX(0,MIN(AC376,Parámetros!$B$11)-MAX(AB376,0))+MAX(0,MIN(AC376,1+Parámetros!$B$11)-MAX(AB376,AD376))+MAX(0,MIN(AC376,2)-MAX(AB376,1+AD376))</f>
        <v>0</v>
      </c>
      <c r="AN376" s="20">
        <f t="shared" si="119"/>
        <v>0</v>
      </c>
      <c r="AO376" s="20">
        <f>AE376*(MAX(0,MIN(AC376,Parámetros!$B$11)-MAX(AB376,0))+MAX(0,MIN(AC376,1)-MAX(AB376,AD376)))+AF376*(MAX(0,MIN(AC376,1+Parámetros!$B$11)-MAX(AB376,1))+MAX(0,MIN(AC376,2)-MAX(AB376,1+AD376)))</f>
        <v>0</v>
      </c>
    </row>
    <row r="377" spans="1:41" x14ac:dyDescent="0.25">
      <c r="A377" s="15"/>
      <c r="B377" s="8"/>
      <c r="C377" s="5" t="str">
        <f>IF(B377="","",IFERROR(INDEX(Trabajadores!$B$5:$B$204,MATCH(B377,Trabajadores!$A$5:$A$204,0)),"Cédula no registrada"))</f>
        <v/>
      </c>
      <c r="D377" s="11"/>
      <c r="E377" s="11"/>
      <c r="F377" s="8"/>
      <c r="G377" s="18" t="str">
        <f>IF(A377="","",IFERROR(INDEX(Trabajadores!$E$5:$E$204,MATCH(B377,Trabajadores!$A$5:$A$204,0))/Parámetros!$B$6,0)+IF(IFERROR(INDEX(Trabajadores!$E$5:$E$204,MATCH(B377,Trabajadores!$A$5:$A$204,0)),"")="",Parámetros!$B$7,0))</f>
        <v/>
      </c>
      <c r="H377" s="5" t="str">
        <f t="shared" si="100"/>
        <v/>
      </c>
      <c r="I377" s="5" t="str">
        <f>IF(A377="","",IF(COUNTIF(Festivos!$A$5:$A$451,A377)&gt;0,"Festivo",IF(WEEKDAY(A377,2)=7,"Domingo",IF(AND(AF377=1,AC377&gt;1),IF(COUNTIF(Festivos!$A$5:$A$451,A377+1)&gt;0,"Festivo","Domingo")&amp;" desde las 00:00",""))))</f>
        <v/>
      </c>
      <c r="J377" s="19" t="str">
        <f t="shared" si="101"/>
        <v/>
      </c>
      <c r="K377" s="19" t="str">
        <f t="shared" si="102"/>
        <v/>
      </c>
      <c r="L377" s="19" t="str">
        <f t="shared" si="103"/>
        <v/>
      </c>
      <c r="M377" s="19" t="str">
        <f t="shared" si="104"/>
        <v/>
      </c>
      <c r="N377" s="19" t="str">
        <f t="shared" si="105"/>
        <v/>
      </c>
      <c r="O377" s="19" t="str">
        <f t="shared" si="106"/>
        <v/>
      </c>
      <c r="P377" s="19" t="str">
        <f t="shared" si="107"/>
        <v/>
      </c>
      <c r="Q377" s="19" t="str">
        <f t="shared" si="108"/>
        <v/>
      </c>
      <c r="R377" s="19" t="str">
        <f t="shared" si="109"/>
        <v/>
      </c>
      <c r="S377" s="17" t="str">
        <f>IF(B377="","",IFERROR(INDEX(Trabajadores!$G$5:$G$204,MATCH(B377,Trabajadores!$A$5:$A$204,0)),""))</f>
        <v/>
      </c>
      <c r="T377" s="17" t="str">
        <f>IF(OR(OR(A377="",D377="",E377=""),S377=""),"",ROUND(S377*(N(L377)*Parámetros!$B$8+N(M377)*(1+Parámetros!$B$9)+N(N377)*(1+Parámetros!$B$10)+N(O377)*(1+AG377)+N(P377)*(1+AG377+Parámetros!$B$8)+N(Q377)*(1+AG377+Parámetros!$B$9)+N(R377)*(1+AG377+Parámetros!$B$10)),0))</f>
        <v/>
      </c>
      <c r="U377" s="5" t="str">
        <f>IF(OR(A377="",D377="",E377=""),"",IF(N(M377)+N(N377)+N(Q377)+N(R377)&gt;Parámetros!$B$12,"Supera el límite de horas extras diarias",IF(C377="Cédula no registrada","Registre la cédula en «Trabajadores»","")))</f>
        <v/>
      </c>
      <c r="X377" s="20">
        <f t="shared" si="110"/>
        <v>0</v>
      </c>
      <c r="Y377" s="20">
        <f t="shared" si="111"/>
        <v>0</v>
      </c>
      <c r="Z377" s="20">
        <f t="shared" si="112"/>
        <v>0</v>
      </c>
      <c r="AA377" s="20">
        <f t="shared" si="113"/>
        <v>0</v>
      </c>
      <c r="AB377" s="20">
        <f t="shared" si="114"/>
        <v>0</v>
      </c>
      <c r="AC377" s="20">
        <f t="shared" si="115"/>
        <v>0</v>
      </c>
      <c r="AD377" s="20">
        <f>IF(A377="",21/24,MOD(VLOOKUP(A377,Parámetros!$A$24:$B$25,2,TRUE()),1))</f>
        <v>0.875</v>
      </c>
      <c r="AE377" s="5">
        <f>IF(A377="",0,IF(OR(WEEKDAY(A377,2)=7,COUNTIF(Festivos!$A$5:$A$451,A377)&gt;0),1,0))</f>
        <v>0</v>
      </c>
      <c r="AF377" s="5">
        <f>IF(A377="",0,IF(OR(WEEKDAY(A377+1,2)=7,COUNTIF(Festivos!$A$5:$A$451,A377+1)&gt;0),1,0))</f>
        <v>0</v>
      </c>
      <c r="AG377" s="9">
        <f>IF(A377="",0,VLOOKUP(A377,Parámetros!$A$18:$B$21,2,TRUE()))</f>
        <v>0</v>
      </c>
      <c r="AH377" s="20">
        <f t="shared" si="116"/>
        <v>0</v>
      </c>
      <c r="AI377" s="20">
        <f>MAX(0,MIN(AB377,Parámetros!$B$11)-MAX(X377,0))+MAX(0,MIN(AB377,1+Parámetros!$B$11)-MAX(X377,AD377))+MAX(0,MIN(AB377,2)-MAX(X377,1+AD377))</f>
        <v>0</v>
      </c>
      <c r="AJ377" s="20">
        <f t="shared" si="117"/>
        <v>0</v>
      </c>
      <c r="AK377" s="20">
        <f>AE377*(MAX(0,MIN(AB377,Parámetros!$B$11)-MAX(X377,0))+MAX(0,MIN(AB377,1)-MAX(X377,AD377)))+AF377*(MAX(0,MIN(AB377,1+Parámetros!$B$11)-MAX(X377,1))+MAX(0,MIN(AB377,2)-MAX(X377,1+AD377)))</f>
        <v>0</v>
      </c>
      <c r="AL377" s="20">
        <f t="shared" si="118"/>
        <v>0</v>
      </c>
      <c r="AM377" s="20">
        <f>MAX(0,MIN(AC377,Parámetros!$B$11)-MAX(AB377,0))+MAX(0,MIN(AC377,1+Parámetros!$B$11)-MAX(AB377,AD377))+MAX(0,MIN(AC377,2)-MAX(AB377,1+AD377))</f>
        <v>0</v>
      </c>
      <c r="AN377" s="20">
        <f t="shared" si="119"/>
        <v>0</v>
      </c>
      <c r="AO377" s="20">
        <f>AE377*(MAX(0,MIN(AC377,Parámetros!$B$11)-MAX(AB377,0))+MAX(0,MIN(AC377,1)-MAX(AB377,AD377)))+AF377*(MAX(0,MIN(AC377,1+Parámetros!$B$11)-MAX(AB377,1))+MAX(0,MIN(AC377,2)-MAX(AB377,1+AD377)))</f>
        <v>0</v>
      </c>
    </row>
    <row r="378" spans="1:41" x14ac:dyDescent="0.25">
      <c r="A378" s="15"/>
      <c r="B378" s="8"/>
      <c r="C378" s="5" t="str">
        <f>IF(B378="","",IFERROR(INDEX(Trabajadores!$B$5:$B$204,MATCH(B378,Trabajadores!$A$5:$A$204,0)),"Cédula no registrada"))</f>
        <v/>
      </c>
      <c r="D378" s="11"/>
      <c r="E378" s="11"/>
      <c r="F378" s="8"/>
      <c r="G378" s="18" t="str">
        <f>IF(A378="","",IFERROR(INDEX(Trabajadores!$E$5:$E$204,MATCH(B378,Trabajadores!$A$5:$A$204,0))/Parámetros!$B$6,0)+IF(IFERROR(INDEX(Trabajadores!$E$5:$E$204,MATCH(B378,Trabajadores!$A$5:$A$204,0)),"")="",Parámetros!$B$7,0))</f>
        <v/>
      </c>
      <c r="H378" s="5" t="str">
        <f t="shared" si="100"/>
        <v/>
      </c>
      <c r="I378" s="5" t="str">
        <f>IF(A378="","",IF(COUNTIF(Festivos!$A$5:$A$451,A378)&gt;0,"Festivo",IF(WEEKDAY(A378,2)=7,"Domingo",IF(AND(AF378=1,AC378&gt;1),IF(COUNTIF(Festivos!$A$5:$A$451,A378+1)&gt;0,"Festivo","Domingo")&amp;" desde las 00:00",""))))</f>
        <v/>
      </c>
      <c r="J378" s="19" t="str">
        <f t="shared" si="101"/>
        <v/>
      </c>
      <c r="K378" s="19" t="str">
        <f t="shared" si="102"/>
        <v/>
      </c>
      <c r="L378" s="19" t="str">
        <f t="shared" si="103"/>
        <v/>
      </c>
      <c r="M378" s="19" t="str">
        <f t="shared" si="104"/>
        <v/>
      </c>
      <c r="N378" s="19" t="str">
        <f t="shared" si="105"/>
        <v/>
      </c>
      <c r="O378" s="19" t="str">
        <f t="shared" si="106"/>
        <v/>
      </c>
      <c r="P378" s="19" t="str">
        <f t="shared" si="107"/>
        <v/>
      </c>
      <c r="Q378" s="19" t="str">
        <f t="shared" si="108"/>
        <v/>
      </c>
      <c r="R378" s="19" t="str">
        <f t="shared" si="109"/>
        <v/>
      </c>
      <c r="S378" s="17" t="str">
        <f>IF(B378="","",IFERROR(INDEX(Trabajadores!$G$5:$G$204,MATCH(B378,Trabajadores!$A$5:$A$204,0)),""))</f>
        <v/>
      </c>
      <c r="T378" s="17" t="str">
        <f>IF(OR(OR(A378="",D378="",E378=""),S378=""),"",ROUND(S378*(N(L378)*Parámetros!$B$8+N(M378)*(1+Parámetros!$B$9)+N(N378)*(1+Parámetros!$B$10)+N(O378)*(1+AG378)+N(P378)*(1+AG378+Parámetros!$B$8)+N(Q378)*(1+AG378+Parámetros!$B$9)+N(R378)*(1+AG378+Parámetros!$B$10)),0))</f>
        <v/>
      </c>
      <c r="U378" s="5" t="str">
        <f>IF(OR(A378="",D378="",E378=""),"",IF(N(M378)+N(N378)+N(Q378)+N(R378)&gt;Parámetros!$B$12,"Supera el límite de horas extras diarias",IF(C378="Cédula no registrada","Registre la cédula en «Trabajadores»","")))</f>
        <v/>
      </c>
      <c r="X378" s="20">
        <f t="shared" si="110"/>
        <v>0</v>
      </c>
      <c r="Y378" s="20">
        <f t="shared" si="111"/>
        <v>0</v>
      </c>
      <c r="Z378" s="20">
        <f t="shared" si="112"/>
        <v>0</v>
      </c>
      <c r="AA378" s="20">
        <f t="shared" si="113"/>
        <v>0</v>
      </c>
      <c r="AB378" s="20">
        <f t="shared" si="114"/>
        <v>0</v>
      </c>
      <c r="AC378" s="20">
        <f t="shared" si="115"/>
        <v>0</v>
      </c>
      <c r="AD378" s="20">
        <f>IF(A378="",21/24,MOD(VLOOKUP(A378,Parámetros!$A$24:$B$25,2,TRUE()),1))</f>
        <v>0.875</v>
      </c>
      <c r="AE378" s="5">
        <f>IF(A378="",0,IF(OR(WEEKDAY(A378,2)=7,COUNTIF(Festivos!$A$5:$A$451,A378)&gt;0),1,0))</f>
        <v>0</v>
      </c>
      <c r="AF378" s="5">
        <f>IF(A378="",0,IF(OR(WEEKDAY(A378+1,2)=7,COUNTIF(Festivos!$A$5:$A$451,A378+1)&gt;0),1,0))</f>
        <v>0</v>
      </c>
      <c r="AG378" s="9">
        <f>IF(A378="",0,VLOOKUP(A378,Parámetros!$A$18:$B$21,2,TRUE()))</f>
        <v>0</v>
      </c>
      <c r="AH378" s="20">
        <f t="shared" si="116"/>
        <v>0</v>
      </c>
      <c r="AI378" s="20">
        <f>MAX(0,MIN(AB378,Parámetros!$B$11)-MAX(X378,0))+MAX(0,MIN(AB378,1+Parámetros!$B$11)-MAX(X378,AD378))+MAX(0,MIN(AB378,2)-MAX(X378,1+AD378))</f>
        <v>0</v>
      </c>
      <c r="AJ378" s="20">
        <f t="shared" si="117"/>
        <v>0</v>
      </c>
      <c r="AK378" s="20">
        <f>AE378*(MAX(0,MIN(AB378,Parámetros!$B$11)-MAX(X378,0))+MAX(0,MIN(AB378,1)-MAX(X378,AD378)))+AF378*(MAX(0,MIN(AB378,1+Parámetros!$B$11)-MAX(X378,1))+MAX(0,MIN(AB378,2)-MAX(X378,1+AD378)))</f>
        <v>0</v>
      </c>
      <c r="AL378" s="20">
        <f t="shared" si="118"/>
        <v>0</v>
      </c>
      <c r="AM378" s="20">
        <f>MAX(0,MIN(AC378,Parámetros!$B$11)-MAX(AB378,0))+MAX(0,MIN(AC378,1+Parámetros!$B$11)-MAX(AB378,AD378))+MAX(0,MIN(AC378,2)-MAX(AB378,1+AD378))</f>
        <v>0</v>
      </c>
      <c r="AN378" s="20">
        <f t="shared" si="119"/>
        <v>0</v>
      </c>
      <c r="AO378" s="20">
        <f>AE378*(MAX(0,MIN(AC378,Parámetros!$B$11)-MAX(AB378,0))+MAX(0,MIN(AC378,1)-MAX(AB378,AD378)))+AF378*(MAX(0,MIN(AC378,1+Parámetros!$B$11)-MAX(AB378,1))+MAX(0,MIN(AC378,2)-MAX(AB378,1+AD378)))</f>
        <v>0</v>
      </c>
    </row>
    <row r="379" spans="1:41" x14ac:dyDescent="0.25">
      <c r="A379" s="15"/>
      <c r="B379" s="8"/>
      <c r="C379" s="5" t="str">
        <f>IF(B379="","",IFERROR(INDEX(Trabajadores!$B$5:$B$204,MATCH(B379,Trabajadores!$A$5:$A$204,0)),"Cédula no registrada"))</f>
        <v/>
      </c>
      <c r="D379" s="11"/>
      <c r="E379" s="11"/>
      <c r="F379" s="8"/>
      <c r="G379" s="18" t="str">
        <f>IF(A379="","",IFERROR(INDEX(Trabajadores!$E$5:$E$204,MATCH(B379,Trabajadores!$A$5:$A$204,0))/Parámetros!$B$6,0)+IF(IFERROR(INDEX(Trabajadores!$E$5:$E$204,MATCH(B379,Trabajadores!$A$5:$A$204,0)),"")="",Parámetros!$B$7,0))</f>
        <v/>
      </c>
      <c r="H379" s="5" t="str">
        <f t="shared" si="100"/>
        <v/>
      </c>
      <c r="I379" s="5" t="str">
        <f>IF(A379="","",IF(COUNTIF(Festivos!$A$5:$A$451,A379)&gt;0,"Festivo",IF(WEEKDAY(A379,2)=7,"Domingo",IF(AND(AF379=1,AC379&gt;1),IF(COUNTIF(Festivos!$A$5:$A$451,A379+1)&gt;0,"Festivo","Domingo")&amp;" desde las 00:00",""))))</f>
        <v/>
      </c>
      <c r="J379" s="19" t="str">
        <f t="shared" si="101"/>
        <v/>
      </c>
      <c r="K379" s="19" t="str">
        <f t="shared" si="102"/>
        <v/>
      </c>
      <c r="L379" s="19" t="str">
        <f t="shared" si="103"/>
        <v/>
      </c>
      <c r="M379" s="19" t="str">
        <f t="shared" si="104"/>
        <v/>
      </c>
      <c r="N379" s="19" t="str">
        <f t="shared" si="105"/>
        <v/>
      </c>
      <c r="O379" s="19" t="str">
        <f t="shared" si="106"/>
        <v/>
      </c>
      <c r="P379" s="19" t="str">
        <f t="shared" si="107"/>
        <v/>
      </c>
      <c r="Q379" s="19" t="str">
        <f t="shared" si="108"/>
        <v/>
      </c>
      <c r="R379" s="19" t="str">
        <f t="shared" si="109"/>
        <v/>
      </c>
      <c r="S379" s="17" t="str">
        <f>IF(B379="","",IFERROR(INDEX(Trabajadores!$G$5:$G$204,MATCH(B379,Trabajadores!$A$5:$A$204,0)),""))</f>
        <v/>
      </c>
      <c r="T379" s="17" t="str">
        <f>IF(OR(OR(A379="",D379="",E379=""),S379=""),"",ROUND(S379*(N(L379)*Parámetros!$B$8+N(M379)*(1+Parámetros!$B$9)+N(N379)*(1+Parámetros!$B$10)+N(O379)*(1+AG379)+N(P379)*(1+AG379+Parámetros!$B$8)+N(Q379)*(1+AG379+Parámetros!$B$9)+N(R379)*(1+AG379+Parámetros!$B$10)),0))</f>
        <v/>
      </c>
      <c r="U379" s="5" t="str">
        <f>IF(OR(A379="",D379="",E379=""),"",IF(N(M379)+N(N379)+N(Q379)+N(R379)&gt;Parámetros!$B$12,"Supera el límite de horas extras diarias",IF(C379="Cédula no registrada","Registre la cédula en «Trabajadores»","")))</f>
        <v/>
      </c>
      <c r="X379" s="20">
        <f t="shared" si="110"/>
        <v>0</v>
      </c>
      <c r="Y379" s="20">
        <f t="shared" si="111"/>
        <v>0</v>
      </c>
      <c r="Z379" s="20">
        <f t="shared" si="112"/>
        <v>0</v>
      </c>
      <c r="AA379" s="20">
        <f t="shared" si="113"/>
        <v>0</v>
      </c>
      <c r="AB379" s="20">
        <f t="shared" si="114"/>
        <v>0</v>
      </c>
      <c r="AC379" s="20">
        <f t="shared" si="115"/>
        <v>0</v>
      </c>
      <c r="AD379" s="20">
        <f>IF(A379="",21/24,MOD(VLOOKUP(A379,Parámetros!$A$24:$B$25,2,TRUE()),1))</f>
        <v>0.875</v>
      </c>
      <c r="AE379" s="5">
        <f>IF(A379="",0,IF(OR(WEEKDAY(A379,2)=7,COUNTIF(Festivos!$A$5:$A$451,A379)&gt;0),1,0))</f>
        <v>0</v>
      </c>
      <c r="AF379" s="5">
        <f>IF(A379="",0,IF(OR(WEEKDAY(A379+1,2)=7,COUNTIF(Festivos!$A$5:$A$451,A379+1)&gt;0),1,0))</f>
        <v>0</v>
      </c>
      <c r="AG379" s="9">
        <f>IF(A379="",0,VLOOKUP(A379,Parámetros!$A$18:$B$21,2,TRUE()))</f>
        <v>0</v>
      </c>
      <c r="AH379" s="20">
        <f t="shared" si="116"/>
        <v>0</v>
      </c>
      <c r="AI379" s="20">
        <f>MAX(0,MIN(AB379,Parámetros!$B$11)-MAX(X379,0))+MAX(0,MIN(AB379,1+Parámetros!$B$11)-MAX(X379,AD379))+MAX(0,MIN(AB379,2)-MAX(X379,1+AD379))</f>
        <v>0</v>
      </c>
      <c r="AJ379" s="20">
        <f t="shared" si="117"/>
        <v>0</v>
      </c>
      <c r="AK379" s="20">
        <f>AE379*(MAX(0,MIN(AB379,Parámetros!$B$11)-MAX(X379,0))+MAX(0,MIN(AB379,1)-MAX(X379,AD379)))+AF379*(MAX(0,MIN(AB379,1+Parámetros!$B$11)-MAX(X379,1))+MAX(0,MIN(AB379,2)-MAX(X379,1+AD379)))</f>
        <v>0</v>
      </c>
      <c r="AL379" s="20">
        <f t="shared" si="118"/>
        <v>0</v>
      </c>
      <c r="AM379" s="20">
        <f>MAX(0,MIN(AC379,Parámetros!$B$11)-MAX(AB379,0))+MAX(0,MIN(AC379,1+Parámetros!$B$11)-MAX(AB379,AD379))+MAX(0,MIN(AC379,2)-MAX(AB379,1+AD379))</f>
        <v>0</v>
      </c>
      <c r="AN379" s="20">
        <f t="shared" si="119"/>
        <v>0</v>
      </c>
      <c r="AO379" s="20">
        <f>AE379*(MAX(0,MIN(AC379,Parámetros!$B$11)-MAX(AB379,0))+MAX(0,MIN(AC379,1)-MAX(AB379,AD379)))+AF379*(MAX(0,MIN(AC379,1+Parámetros!$B$11)-MAX(AB379,1))+MAX(0,MIN(AC379,2)-MAX(AB379,1+AD379)))</f>
        <v>0</v>
      </c>
    </row>
    <row r="380" spans="1:41" x14ac:dyDescent="0.25">
      <c r="A380" s="15"/>
      <c r="B380" s="8"/>
      <c r="C380" s="5" t="str">
        <f>IF(B380="","",IFERROR(INDEX(Trabajadores!$B$5:$B$204,MATCH(B380,Trabajadores!$A$5:$A$204,0)),"Cédula no registrada"))</f>
        <v/>
      </c>
      <c r="D380" s="11"/>
      <c r="E380" s="11"/>
      <c r="F380" s="8"/>
      <c r="G380" s="18" t="str">
        <f>IF(A380="","",IFERROR(INDEX(Trabajadores!$E$5:$E$204,MATCH(B380,Trabajadores!$A$5:$A$204,0))/Parámetros!$B$6,0)+IF(IFERROR(INDEX(Trabajadores!$E$5:$E$204,MATCH(B380,Trabajadores!$A$5:$A$204,0)),"")="",Parámetros!$B$7,0))</f>
        <v/>
      </c>
      <c r="H380" s="5" t="str">
        <f t="shared" si="100"/>
        <v/>
      </c>
      <c r="I380" s="5" t="str">
        <f>IF(A380="","",IF(COUNTIF(Festivos!$A$5:$A$451,A380)&gt;0,"Festivo",IF(WEEKDAY(A380,2)=7,"Domingo",IF(AND(AF380=1,AC380&gt;1),IF(COUNTIF(Festivos!$A$5:$A$451,A380+1)&gt;0,"Festivo","Domingo")&amp;" desde las 00:00",""))))</f>
        <v/>
      </c>
      <c r="J380" s="19" t="str">
        <f t="shared" si="101"/>
        <v/>
      </c>
      <c r="K380" s="19" t="str">
        <f t="shared" si="102"/>
        <v/>
      </c>
      <c r="L380" s="19" t="str">
        <f t="shared" si="103"/>
        <v/>
      </c>
      <c r="M380" s="19" t="str">
        <f t="shared" si="104"/>
        <v/>
      </c>
      <c r="N380" s="19" t="str">
        <f t="shared" si="105"/>
        <v/>
      </c>
      <c r="O380" s="19" t="str">
        <f t="shared" si="106"/>
        <v/>
      </c>
      <c r="P380" s="19" t="str">
        <f t="shared" si="107"/>
        <v/>
      </c>
      <c r="Q380" s="19" t="str">
        <f t="shared" si="108"/>
        <v/>
      </c>
      <c r="R380" s="19" t="str">
        <f t="shared" si="109"/>
        <v/>
      </c>
      <c r="S380" s="17" t="str">
        <f>IF(B380="","",IFERROR(INDEX(Trabajadores!$G$5:$G$204,MATCH(B380,Trabajadores!$A$5:$A$204,0)),""))</f>
        <v/>
      </c>
      <c r="T380" s="17" t="str">
        <f>IF(OR(OR(A380="",D380="",E380=""),S380=""),"",ROUND(S380*(N(L380)*Parámetros!$B$8+N(M380)*(1+Parámetros!$B$9)+N(N380)*(1+Parámetros!$B$10)+N(O380)*(1+AG380)+N(P380)*(1+AG380+Parámetros!$B$8)+N(Q380)*(1+AG380+Parámetros!$B$9)+N(R380)*(1+AG380+Parámetros!$B$10)),0))</f>
        <v/>
      </c>
      <c r="U380" s="5" t="str">
        <f>IF(OR(A380="",D380="",E380=""),"",IF(N(M380)+N(N380)+N(Q380)+N(R380)&gt;Parámetros!$B$12,"Supera el límite de horas extras diarias",IF(C380="Cédula no registrada","Registre la cédula en «Trabajadores»","")))</f>
        <v/>
      </c>
      <c r="X380" s="20">
        <f t="shared" si="110"/>
        <v>0</v>
      </c>
      <c r="Y380" s="20">
        <f t="shared" si="111"/>
        <v>0</v>
      </c>
      <c r="Z380" s="20">
        <f t="shared" si="112"/>
        <v>0</v>
      </c>
      <c r="AA380" s="20">
        <f t="shared" si="113"/>
        <v>0</v>
      </c>
      <c r="AB380" s="20">
        <f t="shared" si="114"/>
        <v>0</v>
      </c>
      <c r="AC380" s="20">
        <f t="shared" si="115"/>
        <v>0</v>
      </c>
      <c r="AD380" s="20">
        <f>IF(A380="",21/24,MOD(VLOOKUP(A380,Parámetros!$A$24:$B$25,2,TRUE()),1))</f>
        <v>0.875</v>
      </c>
      <c r="AE380" s="5">
        <f>IF(A380="",0,IF(OR(WEEKDAY(A380,2)=7,COUNTIF(Festivos!$A$5:$A$451,A380)&gt;0),1,0))</f>
        <v>0</v>
      </c>
      <c r="AF380" s="5">
        <f>IF(A380="",0,IF(OR(WEEKDAY(A380+1,2)=7,COUNTIF(Festivos!$A$5:$A$451,A380+1)&gt;0),1,0))</f>
        <v>0</v>
      </c>
      <c r="AG380" s="9">
        <f>IF(A380="",0,VLOOKUP(A380,Parámetros!$A$18:$B$21,2,TRUE()))</f>
        <v>0</v>
      </c>
      <c r="AH380" s="20">
        <f t="shared" si="116"/>
        <v>0</v>
      </c>
      <c r="AI380" s="20">
        <f>MAX(0,MIN(AB380,Parámetros!$B$11)-MAX(X380,0))+MAX(0,MIN(AB380,1+Parámetros!$B$11)-MAX(X380,AD380))+MAX(0,MIN(AB380,2)-MAX(X380,1+AD380))</f>
        <v>0</v>
      </c>
      <c r="AJ380" s="20">
        <f t="shared" si="117"/>
        <v>0</v>
      </c>
      <c r="AK380" s="20">
        <f>AE380*(MAX(0,MIN(AB380,Parámetros!$B$11)-MAX(X380,0))+MAX(0,MIN(AB380,1)-MAX(X380,AD380)))+AF380*(MAX(0,MIN(AB380,1+Parámetros!$B$11)-MAX(X380,1))+MAX(0,MIN(AB380,2)-MAX(X380,1+AD380)))</f>
        <v>0</v>
      </c>
      <c r="AL380" s="20">
        <f t="shared" si="118"/>
        <v>0</v>
      </c>
      <c r="AM380" s="20">
        <f>MAX(0,MIN(AC380,Parámetros!$B$11)-MAX(AB380,0))+MAX(0,MIN(AC380,1+Parámetros!$B$11)-MAX(AB380,AD380))+MAX(0,MIN(AC380,2)-MAX(AB380,1+AD380))</f>
        <v>0</v>
      </c>
      <c r="AN380" s="20">
        <f t="shared" si="119"/>
        <v>0</v>
      </c>
      <c r="AO380" s="20">
        <f>AE380*(MAX(0,MIN(AC380,Parámetros!$B$11)-MAX(AB380,0))+MAX(0,MIN(AC380,1)-MAX(AB380,AD380)))+AF380*(MAX(0,MIN(AC380,1+Parámetros!$B$11)-MAX(AB380,1))+MAX(0,MIN(AC380,2)-MAX(AB380,1+AD380)))</f>
        <v>0</v>
      </c>
    </row>
    <row r="381" spans="1:41" x14ac:dyDescent="0.25">
      <c r="A381" s="15"/>
      <c r="B381" s="8"/>
      <c r="C381" s="5" t="str">
        <f>IF(B381="","",IFERROR(INDEX(Trabajadores!$B$5:$B$204,MATCH(B381,Trabajadores!$A$5:$A$204,0)),"Cédula no registrada"))</f>
        <v/>
      </c>
      <c r="D381" s="11"/>
      <c r="E381" s="11"/>
      <c r="F381" s="8"/>
      <c r="G381" s="18" t="str">
        <f>IF(A381="","",IFERROR(INDEX(Trabajadores!$E$5:$E$204,MATCH(B381,Trabajadores!$A$5:$A$204,0))/Parámetros!$B$6,0)+IF(IFERROR(INDEX(Trabajadores!$E$5:$E$204,MATCH(B381,Trabajadores!$A$5:$A$204,0)),"")="",Parámetros!$B$7,0))</f>
        <v/>
      </c>
      <c r="H381" s="5" t="str">
        <f t="shared" si="100"/>
        <v/>
      </c>
      <c r="I381" s="5" t="str">
        <f>IF(A381="","",IF(COUNTIF(Festivos!$A$5:$A$451,A381)&gt;0,"Festivo",IF(WEEKDAY(A381,2)=7,"Domingo",IF(AND(AF381=1,AC381&gt;1),IF(COUNTIF(Festivos!$A$5:$A$451,A381+1)&gt;0,"Festivo","Domingo")&amp;" desde las 00:00",""))))</f>
        <v/>
      </c>
      <c r="J381" s="19" t="str">
        <f t="shared" si="101"/>
        <v/>
      </c>
      <c r="K381" s="19" t="str">
        <f t="shared" si="102"/>
        <v/>
      </c>
      <c r="L381" s="19" t="str">
        <f t="shared" si="103"/>
        <v/>
      </c>
      <c r="M381" s="19" t="str">
        <f t="shared" si="104"/>
        <v/>
      </c>
      <c r="N381" s="19" t="str">
        <f t="shared" si="105"/>
        <v/>
      </c>
      <c r="O381" s="19" t="str">
        <f t="shared" si="106"/>
        <v/>
      </c>
      <c r="P381" s="19" t="str">
        <f t="shared" si="107"/>
        <v/>
      </c>
      <c r="Q381" s="19" t="str">
        <f t="shared" si="108"/>
        <v/>
      </c>
      <c r="R381" s="19" t="str">
        <f t="shared" si="109"/>
        <v/>
      </c>
      <c r="S381" s="17" t="str">
        <f>IF(B381="","",IFERROR(INDEX(Trabajadores!$G$5:$G$204,MATCH(B381,Trabajadores!$A$5:$A$204,0)),""))</f>
        <v/>
      </c>
      <c r="T381" s="17" t="str">
        <f>IF(OR(OR(A381="",D381="",E381=""),S381=""),"",ROUND(S381*(N(L381)*Parámetros!$B$8+N(M381)*(1+Parámetros!$B$9)+N(N381)*(1+Parámetros!$B$10)+N(O381)*(1+AG381)+N(P381)*(1+AG381+Parámetros!$B$8)+N(Q381)*(1+AG381+Parámetros!$B$9)+N(R381)*(1+AG381+Parámetros!$B$10)),0))</f>
        <v/>
      </c>
      <c r="U381" s="5" t="str">
        <f>IF(OR(A381="",D381="",E381=""),"",IF(N(M381)+N(N381)+N(Q381)+N(R381)&gt;Parámetros!$B$12,"Supera el límite de horas extras diarias",IF(C381="Cédula no registrada","Registre la cédula en «Trabajadores»","")))</f>
        <v/>
      </c>
      <c r="X381" s="20">
        <f t="shared" si="110"/>
        <v>0</v>
      </c>
      <c r="Y381" s="20">
        <f t="shared" si="111"/>
        <v>0</v>
      </c>
      <c r="Z381" s="20">
        <f t="shared" si="112"/>
        <v>0</v>
      </c>
      <c r="AA381" s="20">
        <f t="shared" si="113"/>
        <v>0</v>
      </c>
      <c r="AB381" s="20">
        <f t="shared" si="114"/>
        <v>0</v>
      </c>
      <c r="AC381" s="20">
        <f t="shared" si="115"/>
        <v>0</v>
      </c>
      <c r="AD381" s="20">
        <f>IF(A381="",21/24,MOD(VLOOKUP(A381,Parámetros!$A$24:$B$25,2,TRUE()),1))</f>
        <v>0.875</v>
      </c>
      <c r="AE381" s="5">
        <f>IF(A381="",0,IF(OR(WEEKDAY(A381,2)=7,COUNTIF(Festivos!$A$5:$A$451,A381)&gt;0),1,0))</f>
        <v>0</v>
      </c>
      <c r="AF381" s="5">
        <f>IF(A381="",0,IF(OR(WEEKDAY(A381+1,2)=7,COUNTIF(Festivos!$A$5:$A$451,A381+1)&gt;0),1,0))</f>
        <v>0</v>
      </c>
      <c r="AG381" s="9">
        <f>IF(A381="",0,VLOOKUP(A381,Parámetros!$A$18:$B$21,2,TRUE()))</f>
        <v>0</v>
      </c>
      <c r="AH381" s="20">
        <f t="shared" si="116"/>
        <v>0</v>
      </c>
      <c r="AI381" s="20">
        <f>MAX(0,MIN(AB381,Parámetros!$B$11)-MAX(X381,0))+MAX(0,MIN(AB381,1+Parámetros!$B$11)-MAX(X381,AD381))+MAX(0,MIN(AB381,2)-MAX(X381,1+AD381))</f>
        <v>0</v>
      </c>
      <c r="AJ381" s="20">
        <f t="shared" si="117"/>
        <v>0</v>
      </c>
      <c r="AK381" s="20">
        <f>AE381*(MAX(0,MIN(AB381,Parámetros!$B$11)-MAX(X381,0))+MAX(0,MIN(AB381,1)-MAX(X381,AD381)))+AF381*(MAX(0,MIN(AB381,1+Parámetros!$B$11)-MAX(X381,1))+MAX(0,MIN(AB381,2)-MAX(X381,1+AD381)))</f>
        <v>0</v>
      </c>
      <c r="AL381" s="20">
        <f t="shared" si="118"/>
        <v>0</v>
      </c>
      <c r="AM381" s="20">
        <f>MAX(0,MIN(AC381,Parámetros!$B$11)-MAX(AB381,0))+MAX(0,MIN(AC381,1+Parámetros!$B$11)-MAX(AB381,AD381))+MAX(0,MIN(AC381,2)-MAX(AB381,1+AD381))</f>
        <v>0</v>
      </c>
      <c r="AN381" s="20">
        <f t="shared" si="119"/>
        <v>0</v>
      </c>
      <c r="AO381" s="20">
        <f>AE381*(MAX(0,MIN(AC381,Parámetros!$B$11)-MAX(AB381,0))+MAX(0,MIN(AC381,1)-MAX(AB381,AD381)))+AF381*(MAX(0,MIN(AC381,1+Parámetros!$B$11)-MAX(AB381,1))+MAX(0,MIN(AC381,2)-MAX(AB381,1+AD381)))</f>
        <v>0</v>
      </c>
    </row>
    <row r="382" spans="1:41" x14ac:dyDescent="0.25">
      <c r="A382" s="15"/>
      <c r="B382" s="8"/>
      <c r="C382" s="5" t="str">
        <f>IF(B382="","",IFERROR(INDEX(Trabajadores!$B$5:$B$204,MATCH(B382,Trabajadores!$A$5:$A$204,0)),"Cédula no registrada"))</f>
        <v/>
      </c>
      <c r="D382" s="11"/>
      <c r="E382" s="11"/>
      <c r="F382" s="8"/>
      <c r="G382" s="18" t="str">
        <f>IF(A382="","",IFERROR(INDEX(Trabajadores!$E$5:$E$204,MATCH(B382,Trabajadores!$A$5:$A$204,0))/Parámetros!$B$6,0)+IF(IFERROR(INDEX(Trabajadores!$E$5:$E$204,MATCH(B382,Trabajadores!$A$5:$A$204,0)),"")="",Parámetros!$B$7,0))</f>
        <v/>
      </c>
      <c r="H382" s="5" t="str">
        <f t="shared" si="100"/>
        <v/>
      </c>
      <c r="I382" s="5" t="str">
        <f>IF(A382="","",IF(COUNTIF(Festivos!$A$5:$A$451,A382)&gt;0,"Festivo",IF(WEEKDAY(A382,2)=7,"Domingo",IF(AND(AF382=1,AC382&gt;1),IF(COUNTIF(Festivos!$A$5:$A$451,A382+1)&gt;0,"Festivo","Domingo")&amp;" desde las 00:00",""))))</f>
        <v/>
      </c>
      <c r="J382" s="19" t="str">
        <f t="shared" si="101"/>
        <v/>
      </c>
      <c r="K382" s="19" t="str">
        <f t="shared" si="102"/>
        <v/>
      </c>
      <c r="L382" s="19" t="str">
        <f t="shared" si="103"/>
        <v/>
      </c>
      <c r="M382" s="19" t="str">
        <f t="shared" si="104"/>
        <v/>
      </c>
      <c r="N382" s="19" t="str">
        <f t="shared" si="105"/>
        <v/>
      </c>
      <c r="O382" s="19" t="str">
        <f t="shared" si="106"/>
        <v/>
      </c>
      <c r="P382" s="19" t="str">
        <f t="shared" si="107"/>
        <v/>
      </c>
      <c r="Q382" s="19" t="str">
        <f t="shared" si="108"/>
        <v/>
      </c>
      <c r="R382" s="19" t="str">
        <f t="shared" si="109"/>
        <v/>
      </c>
      <c r="S382" s="17" t="str">
        <f>IF(B382="","",IFERROR(INDEX(Trabajadores!$G$5:$G$204,MATCH(B382,Trabajadores!$A$5:$A$204,0)),""))</f>
        <v/>
      </c>
      <c r="T382" s="17" t="str">
        <f>IF(OR(OR(A382="",D382="",E382=""),S382=""),"",ROUND(S382*(N(L382)*Parámetros!$B$8+N(M382)*(1+Parámetros!$B$9)+N(N382)*(1+Parámetros!$B$10)+N(O382)*(1+AG382)+N(P382)*(1+AG382+Parámetros!$B$8)+N(Q382)*(1+AG382+Parámetros!$B$9)+N(R382)*(1+AG382+Parámetros!$B$10)),0))</f>
        <v/>
      </c>
      <c r="U382" s="5" t="str">
        <f>IF(OR(A382="",D382="",E382=""),"",IF(N(M382)+N(N382)+N(Q382)+N(R382)&gt;Parámetros!$B$12,"Supera el límite de horas extras diarias",IF(C382="Cédula no registrada","Registre la cédula en «Trabajadores»","")))</f>
        <v/>
      </c>
      <c r="X382" s="20">
        <f t="shared" si="110"/>
        <v>0</v>
      </c>
      <c r="Y382" s="20">
        <f t="shared" si="111"/>
        <v>0</v>
      </c>
      <c r="Z382" s="20">
        <f t="shared" si="112"/>
        <v>0</v>
      </c>
      <c r="AA382" s="20">
        <f t="shared" si="113"/>
        <v>0</v>
      </c>
      <c r="AB382" s="20">
        <f t="shared" si="114"/>
        <v>0</v>
      </c>
      <c r="AC382" s="20">
        <f t="shared" si="115"/>
        <v>0</v>
      </c>
      <c r="AD382" s="20">
        <f>IF(A382="",21/24,MOD(VLOOKUP(A382,Parámetros!$A$24:$B$25,2,TRUE()),1))</f>
        <v>0.875</v>
      </c>
      <c r="AE382" s="5">
        <f>IF(A382="",0,IF(OR(WEEKDAY(A382,2)=7,COUNTIF(Festivos!$A$5:$A$451,A382)&gt;0),1,0))</f>
        <v>0</v>
      </c>
      <c r="AF382" s="5">
        <f>IF(A382="",0,IF(OR(WEEKDAY(A382+1,2)=7,COUNTIF(Festivos!$A$5:$A$451,A382+1)&gt;0),1,0))</f>
        <v>0</v>
      </c>
      <c r="AG382" s="9">
        <f>IF(A382="",0,VLOOKUP(A382,Parámetros!$A$18:$B$21,2,TRUE()))</f>
        <v>0</v>
      </c>
      <c r="AH382" s="20">
        <f t="shared" si="116"/>
        <v>0</v>
      </c>
      <c r="AI382" s="20">
        <f>MAX(0,MIN(AB382,Parámetros!$B$11)-MAX(X382,0))+MAX(0,MIN(AB382,1+Parámetros!$B$11)-MAX(X382,AD382))+MAX(0,MIN(AB382,2)-MAX(X382,1+AD382))</f>
        <v>0</v>
      </c>
      <c r="AJ382" s="20">
        <f t="shared" si="117"/>
        <v>0</v>
      </c>
      <c r="AK382" s="20">
        <f>AE382*(MAX(0,MIN(AB382,Parámetros!$B$11)-MAX(X382,0))+MAX(0,MIN(AB382,1)-MAX(X382,AD382)))+AF382*(MAX(0,MIN(AB382,1+Parámetros!$B$11)-MAX(X382,1))+MAX(0,MIN(AB382,2)-MAX(X382,1+AD382)))</f>
        <v>0</v>
      </c>
      <c r="AL382" s="20">
        <f t="shared" si="118"/>
        <v>0</v>
      </c>
      <c r="AM382" s="20">
        <f>MAX(0,MIN(AC382,Parámetros!$B$11)-MAX(AB382,0))+MAX(0,MIN(AC382,1+Parámetros!$B$11)-MAX(AB382,AD382))+MAX(0,MIN(AC382,2)-MAX(AB382,1+AD382))</f>
        <v>0</v>
      </c>
      <c r="AN382" s="20">
        <f t="shared" si="119"/>
        <v>0</v>
      </c>
      <c r="AO382" s="20">
        <f>AE382*(MAX(0,MIN(AC382,Parámetros!$B$11)-MAX(AB382,0))+MAX(0,MIN(AC382,1)-MAX(AB382,AD382)))+AF382*(MAX(0,MIN(AC382,1+Parámetros!$B$11)-MAX(AB382,1))+MAX(0,MIN(AC382,2)-MAX(AB382,1+AD382)))</f>
        <v>0</v>
      </c>
    </row>
    <row r="383" spans="1:41" x14ac:dyDescent="0.25">
      <c r="A383" s="15"/>
      <c r="B383" s="8"/>
      <c r="C383" s="5" t="str">
        <f>IF(B383="","",IFERROR(INDEX(Trabajadores!$B$5:$B$204,MATCH(B383,Trabajadores!$A$5:$A$204,0)),"Cédula no registrada"))</f>
        <v/>
      </c>
      <c r="D383" s="11"/>
      <c r="E383" s="11"/>
      <c r="F383" s="8"/>
      <c r="G383" s="18" t="str">
        <f>IF(A383="","",IFERROR(INDEX(Trabajadores!$E$5:$E$204,MATCH(B383,Trabajadores!$A$5:$A$204,0))/Parámetros!$B$6,0)+IF(IFERROR(INDEX(Trabajadores!$E$5:$E$204,MATCH(B383,Trabajadores!$A$5:$A$204,0)),"")="",Parámetros!$B$7,0))</f>
        <v/>
      </c>
      <c r="H383" s="5" t="str">
        <f t="shared" si="100"/>
        <v/>
      </c>
      <c r="I383" s="5" t="str">
        <f>IF(A383="","",IF(COUNTIF(Festivos!$A$5:$A$451,A383)&gt;0,"Festivo",IF(WEEKDAY(A383,2)=7,"Domingo",IF(AND(AF383=1,AC383&gt;1),IF(COUNTIF(Festivos!$A$5:$A$451,A383+1)&gt;0,"Festivo","Domingo")&amp;" desde las 00:00",""))))</f>
        <v/>
      </c>
      <c r="J383" s="19" t="str">
        <f t="shared" si="101"/>
        <v/>
      </c>
      <c r="K383" s="19" t="str">
        <f t="shared" si="102"/>
        <v/>
      </c>
      <c r="L383" s="19" t="str">
        <f t="shared" si="103"/>
        <v/>
      </c>
      <c r="M383" s="19" t="str">
        <f t="shared" si="104"/>
        <v/>
      </c>
      <c r="N383" s="19" t="str">
        <f t="shared" si="105"/>
        <v/>
      </c>
      <c r="O383" s="19" t="str">
        <f t="shared" si="106"/>
        <v/>
      </c>
      <c r="P383" s="19" t="str">
        <f t="shared" si="107"/>
        <v/>
      </c>
      <c r="Q383" s="19" t="str">
        <f t="shared" si="108"/>
        <v/>
      </c>
      <c r="R383" s="19" t="str">
        <f t="shared" si="109"/>
        <v/>
      </c>
      <c r="S383" s="17" t="str">
        <f>IF(B383="","",IFERROR(INDEX(Trabajadores!$G$5:$G$204,MATCH(B383,Trabajadores!$A$5:$A$204,0)),""))</f>
        <v/>
      </c>
      <c r="T383" s="17" t="str">
        <f>IF(OR(OR(A383="",D383="",E383=""),S383=""),"",ROUND(S383*(N(L383)*Parámetros!$B$8+N(M383)*(1+Parámetros!$B$9)+N(N383)*(1+Parámetros!$B$10)+N(O383)*(1+AG383)+N(P383)*(1+AG383+Parámetros!$B$8)+N(Q383)*(1+AG383+Parámetros!$B$9)+N(R383)*(1+AG383+Parámetros!$B$10)),0))</f>
        <v/>
      </c>
      <c r="U383" s="5" t="str">
        <f>IF(OR(A383="",D383="",E383=""),"",IF(N(M383)+N(N383)+N(Q383)+N(R383)&gt;Parámetros!$B$12,"Supera el límite de horas extras diarias",IF(C383="Cédula no registrada","Registre la cédula en «Trabajadores»","")))</f>
        <v/>
      </c>
      <c r="X383" s="20">
        <f t="shared" si="110"/>
        <v>0</v>
      </c>
      <c r="Y383" s="20">
        <f t="shared" si="111"/>
        <v>0</v>
      </c>
      <c r="Z383" s="20">
        <f t="shared" si="112"/>
        <v>0</v>
      </c>
      <c r="AA383" s="20">
        <f t="shared" si="113"/>
        <v>0</v>
      </c>
      <c r="AB383" s="20">
        <f t="shared" si="114"/>
        <v>0</v>
      </c>
      <c r="AC383" s="20">
        <f t="shared" si="115"/>
        <v>0</v>
      </c>
      <c r="AD383" s="20">
        <f>IF(A383="",21/24,MOD(VLOOKUP(A383,Parámetros!$A$24:$B$25,2,TRUE()),1))</f>
        <v>0.875</v>
      </c>
      <c r="AE383" s="5">
        <f>IF(A383="",0,IF(OR(WEEKDAY(A383,2)=7,COUNTIF(Festivos!$A$5:$A$451,A383)&gt;0),1,0))</f>
        <v>0</v>
      </c>
      <c r="AF383" s="5">
        <f>IF(A383="",0,IF(OR(WEEKDAY(A383+1,2)=7,COUNTIF(Festivos!$A$5:$A$451,A383+1)&gt;0),1,0))</f>
        <v>0</v>
      </c>
      <c r="AG383" s="9">
        <f>IF(A383="",0,VLOOKUP(A383,Parámetros!$A$18:$B$21,2,TRUE()))</f>
        <v>0</v>
      </c>
      <c r="AH383" s="20">
        <f t="shared" si="116"/>
        <v>0</v>
      </c>
      <c r="AI383" s="20">
        <f>MAX(0,MIN(AB383,Parámetros!$B$11)-MAX(X383,0))+MAX(0,MIN(AB383,1+Parámetros!$B$11)-MAX(X383,AD383))+MAX(0,MIN(AB383,2)-MAX(X383,1+AD383))</f>
        <v>0</v>
      </c>
      <c r="AJ383" s="20">
        <f t="shared" si="117"/>
        <v>0</v>
      </c>
      <c r="AK383" s="20">
        <f>AE383*(MAX(0,MIN(AB383,Parámetros!$B$11)-MAX(X383,0))+MAX(0,MIN(AB383,1)-MAX(X383,AD383)))+AF383*(MAX(0,MIN(AB383,1+Parámetros!$B$11)-MAX(X383,1))+MAX(0,MIN(AB383,2)-MAX(X383,1+AD383)))</f>
        <v>0</v>
      </c>
      <c r="AL383" s="20">
        <f t="shared" si="118"/>
        <v>0</v>
      </c>
      <c r="AM383" s="20">
        <f>MAX(0,MIN(AC383,Parámetros!$B$11)-MAX(AB383,0))+MAX(0,MIN(AC383,1+Parámetros!$B$11)-MAX(AB383,AD383))+MAX(0,MIN(AC383,2)-MAX(AB383,1+AD383))</f>
        <v>0</v>
      </c>
      <c r="AN383" s="20">
        <f t="shared" si="119"/>
        <v>0</v>
      </c>
      <c r="AO383" s="20">
        <f>AE383*(MAX(0,MIN(AC383,Parámetros!$B$11)-MAX(AB383,0))+MAX(0,MIN(AC383,1)-MAX(AB383,AD383)))+AF383*(MAX(0,MIN(AC383,1+Parámetros!$B$11)-MAX(AB383,1))+MAX(0,MIN(AC383,2)-MAX(AB383,1+AD383)))</f>
        <v>0</v>
      </c>
    </row>
    <row r="384" spans="1:41" x14ac:dyDescent="0.25">
      <c r="A384" s="15"/>
      <c r="B384" s="8"/>
      <c r="C384" s="5" t="str">
        <f>IF(B384="","",IFERROR(INDEX(Trabajadores!$B$5:$B$204,MATCH(B384,Trabajadores!$A$5:$A$204,0)),"Cédula no registrada"))</f>
        <v/>
      </c>
      <c r="D384" s="11"/>
      <c r="E384" s="11"/>
      <c r="F384" s="8"/>
      <c r="G384" s="18" t="str">
        <f>IF(A384="","",IFERROR(INDEX(Trabajadores!$E$5:$E$204,MATCH(B384,Trabajadores!$A$5:$A$204,0))/Parámetros!$B$6,0)+IF(IFERROR(INDEX(Trabajadores!$E$5:$E$204,MATCH(B384,Trabajadores!$A$5:$A$204,0)),"")="",Parámetros!$B$7,0))</f>
        <v/>
      </c>
      <c r="H384" s="5" t="str">
        <f t="shared" si="100"/>
        <v/>
      </c>
      <c r="I384" s="5" t="str">
        <f>IF(A384="","",IF(COUNTIF(Festivos!$A$5:$A$451,A384)&gt;0,"Festivo",IF(WEEKDAY(A384,2)=7,"Domingo",IF(AND(AF384=1,AC384&gt;1),IF(COUNTIF(Festivos!$A$5:$A$451,A384+1)&gt;0,"Festivo","Domingo")&amp;" desde las 00:00",""))))</f>
        <v/>
      </c>
      <c r="J384" s="19" t="str">
        <f t="shared" si="101"/>
        <v/>
      </c>
      <c r="K384" s="19" t="str">
        <f t="shared" si="102"/>
        <v/>
      </c>
      <c r="L384" s="19" t="str">
        <f t="shared" si="103"/>
        <v/>
      </c>
      <c r="M384" s="19" t="str">
        <f t="shared" si="104"/>
        <v/>
      </c>
      <c r="N384" s="19" t="str">
        <f t="shared" si="105"/>
        <v/>
      </c>
      <c r="O384" s="19" t="str">
        <f t="shared" si="106"/>
        <v/>
      </c>
      <c r="P384" s="19" t="str">
        <f t="shared" si="107"/>
        <v/>
      </c>
      <c r="Q384" s="19" t="str">
        <f t="shared" si="108"/>
        <v/>
      </c>
      <c r="R384" s="19" t="str">
        <f t="shared" si="109"/>
        <v/>
      </c>
      <c r="S384" s="17" t="str">
        <f>IF(B384="","",IFERROR(INDEX(Trabajadores!$G$5:$G$204,MATCH(B384,Trabajadores!$A$5:$A$204,0)),""))</f>
        <v/>
      </c>
      <c r="T384" s="17" t="str">
        <f>IF(OR(OR(A384="",D384="",E384=""),S384=""),"",ROUND(S384*(N(L384)*Parámetros!$B$8+N(M384)*(1+Parámetros!$B$9)+N(N384)*(1+Parámetros!$B$10)+N(O384)*(1+AG384)+N(P384)*(1+AG384+Parámetros!$B$8)+N(Q384)*(1+AG384+Parámetros!$B$9)+N(R384)*(1+AG384+Parámetros!$B$10)),0))</f>
        <v/>
      </c>
      <c r="U384" s="5" t="str">
        <f>IF(OR(A384="",D384="",E384=""),"",IF(N(M384)+N(N384)+N(Q384)+N(R384)&gt;Parámetros!$B$12,"Supera el límite de horas extras diarias",IF(C384="Cédula no registrada","Registre la cédula en «Trabajadores»","")))</f>
        <v/>
      </c>
      <c r="X384" s="20">
        <f t="shared" si="110"/>
        <v>0</v>
      </c>
      <c r="Y384" s="20">
        <f t="shared" si="111"/>
        <v>0</v>
      </c>
      <c r="Z384" s="20">
        <f t="shared" si="112"/>
        <v>0</v>
      </c>
      <c r="AA384" s="20">
        <f t="shared" si="113"/>
        <v>0</v>
      </c>
      <c r="AB384" s="20">
        <f t="shared" si="114"/>
        <v>0</v>
      </c>
      <c r="AC384" s="20">
        <f t="shared" si="115"/>
        <v>0</v>
      </c>
      <c r="AD384" s="20">
        <f>IF(A384="",21/24,MOD(VLOOKUP(A384,Parámetros!$A$24:$B$25,2,TRUE()),1))</f>
        <v>0.875</v>
      </c>
      <c r="AE384" s="5">
        <f>IF(A384="",0,IF(OR(WEEKDAY(A384,2)=7,COUNTIF(Festivos!$A$5:$A$451,A384)&gt;0),1,0))</f>
        <v>0</v>
      </c>
      <c r="AF384" s="5">
        <f>IF(A384="",0,IF(OR(WEEKDAY(A384+1,2)=7,COUNTIF(Festivos!$A$5:$A$451,A384+1)&gt;0),1,0))</f>
        <v>0</v>
      </c>
      <c r="AG384" s="9">
        <f>IF(A384="",0,VLOOKUP(A384,Parámetros!$A$18:$B$21,2,TRUE()))</f>
        <v>0</v>
      </c>
      <c r="AH384" s="20">
        <f t="shared" si="116"/>
        <v>0</v>
      </c>
      <c r="AI384" s="20">
        <f>MAX(0,MIN(AB384,Parámetros!$B$11)-MAX(X384,0))+MAX(0,MIN(AB384,1+Parámetros!$B$11)-MAX(X384,AD384))+MAX(0,MIN(AB384,2)-MAX(X384,1+AD384))</f>
        <v>0</v>
      </c>
      <c r="AJ384" s="20">
        <f t="shared" si="117"/>
        <v>0</v>
      </c>
      <c r="AK384" s="20">
        <f>AE384*(MAX(0,MIN(AB384,Parámetros!$B$11)-MAX(X384,0))+MAX(0,MIN(AB384,1)-MAX(X384,AD384)))+AF384*(MAX(0,MIN(AB384,1+Parámetros!$B$11)-MAX(X384,1))+MAX(0,MIN(AB384,2)-MAX(X384,1+AD384)))</f>
        <v>0</v>
      </c>
      <c r="AL384" s="20">
        <f t="shared" si="118"/>
        <v>0</v>
      </c>
      <c r="AM384" s="20">
        <f>MAX(0,MIN(AC384,Parámetros!$B$11)-MAX(AB384,0))+MAX(0,MIN(AC384,1+Parámetros!$B$11)-MAX(AB384,AD384))+MAX(0,MIN(AC384,2)-MAX(AB384,1+AD384))</f>
        <v>0</v>
      </c>
      <c r="AN384" s="20">
        <f t="shared" si="119"/>
        <v>0</v>
      </c>
      <c r="AO384" s="20">
        <f>AE384*(MAX(0,MIN(AC384,Parámetros!$B$11)-MAX(AB384,0))+MAX(0,MIN(AC384,1)-MAX(AB384,AD384)))+AF384*(MAX(0,MIN(AC384,1+Parámetros!$B$11)-MAX(AB384,1))+MAX(0,MIN(AC384,2)-MAX(AB384,1+AD384)))</f>
        <v>0</v>
      </c>
    </row>
    <row r="385" spans="1:41" x14ac:dyDescent="0.25">
      <c r="A385" s="15"/>
      <c r="B385" s="8"/>
      <c r="C385" s="5" t="str">
        <f>IF(B385="","",IFERROR(INDEX(Trabajadores!$B$5:$B$204,MATCH(B385,Trabajadores!$A$5:$A$204,0)),"Cédula no registrada"))</f>
        <v/>
      </c>
      <c r="D385" s="11"/>
      <c r="E385" s="11"/>
      <c r="F385" s="8"/>
      <c r="G385" s="18" t="str">
        <f>IF(A385="","",IFERROR(INDEX(Trabajadores!$E$5:$E$204,MATCH(B385,Trabajadores!$A$5:$A$204,0))/Parámetros!$B$6,0)+IF(IFERROR(INDEX(Trabajadores!$E$5:$E$204,MATCH(B385,Trabajadores!$A$5:$A$204,0)),"")="",Parámetros!$B$7,0))</f>
        <v/>
      </c>
      <c r="H385" s="5" t="str">
        <f t="shared" si="100"/>
        <v/>
      </c>
      <c r="I385" s="5" t="str">
        <f>IF(A385="","",IF(COUNTIF(Festivos!$A$5:$A$451,A385)&gt;0,"Festivo",IF(WEEKDAY(A385,2)=7,"Domingo",IF(AND(AF385=1,AC385&gt;1),IF(COUNTIF(Festivos!$A$5:$A$451,A385+1)&gt;0,"Festivo","Domingo")&amp;" desde las 00:00",""))))</f>
        <v/>
      </c>
      <c r="J385" s="19" t="str">
        <f t="shared" si="101"/>
        <v/>
      </c>
      <c r="K385" s="19" t="str">
        <f t="shared" si="102"/>
        <v/>
      </c>
      <c r="L385" s="19" t="str">
        <f t="shared" si="103"/>
        <v/>
      </c>
      <c r="M385" s="19" t="str">
        <f t="shared" si="104"/>
        <v/>
      </c>
      <c r="N385" s="19" t="str">
        <f t="shared" si="105"/>
        <v/>
      </c>
      <c r="O385" s="19" t="str">
        <f t="shared" si="106"/>
        <v/>
      </c>
      <c r="P385" s="19" t="str">
        <f t="shared" si="107"/>
        <v/>
      </c>
      <c r="Q385" s="19" t="str">
        <f t="shared" si="108"/>
        <v/>
      </c>
      <c r="R385" s="19" t="str">
        <f t="shared" si="109"/>
        <v/>
      </c>
      <c r="S385" s="17" t="str">
        <f>IF(B385="","",IFERROR(INDEX(Trabajadores!$G$5:$G$204,MATCH(B385,Trabajadores!$A$5:$A$204,0)),""))</f>
        <v/>
      </c>
      <c r="T385" s="17" t="str">
        <f>IF(OR(OR(A385="",D385="",E385=""),S385=""),"",ROUND(S385*(N(L385)*Parámetros!$B$8+N(M385)*(1+Parámetros!$B$9)+N(N385)*(1+Parámetros!$B$10)+N(O385)*(1+AG385)+N(P385)*(1+AG385+Parámetros!$B$8)+N(Q385)*(1+AG385+Parámetros!$B$9)+N(R385)*(1+AG385+Parámetros!$B$10)),0))</f>
        <v/>
      </c>
      <c r="U385" s="5" t="str">
        <f>IF(OR(A385="",D385="",E385=""),"",IF(N(M385)+N(N385)+N(Q385)+N(R385)&gt;Parámetros!$B$12,"Supera el límite de horas extras diarias",IF(C385="Cédula no registrada","Registre la cédula en «Trabajadores»","")))</f>
        <v/>
      </c>
      <c r="X385" s="20">
        <f t="shared" si="110"/>
        <v>0</v>
      </c>
      <c r="Y385" s="20">
        <f t="shared" si="111"/>
        <v>0</v>
      </c>
      <c r="Z385" s="20">
        <f t="shared" si="112"/>
        <v>0</v>
      </c>
      <c r="AA385" s="20">
        <f t="shared" si="113"/>
        <v>0</v>
      </c>
      <c r="AB385" s="20">
        <f t="shared" si="114"/>
        <v>0</v>
      </c>
      <c r="AC385" s="20">
        <f t="shared" si="115"/>
        <v>0</v>
      </c>
      <c r="AD385" s="20">
        <f>IF(A385="",21/24,MOD(VLOOKUP(A385,Parámetros!$A$24:$B$25,2,TRUE()),1))</f>
        <v>0.875</v>
      </c>
      <c r="AE385" s="5">
        <f>IF(A385="",0,IF(OR(WEEKDAY(A385,2)=7,COUNTIF(Festivos!$A$5:$A$451,A385)&gt;0),1,0))</f>
        <v>0</v>
      </c>
      <c r="AF385" s="5">
        <f>IF(A385="",0,IF(OR(WEEKDAY(A385+1,2)=7,COUNTIF(Festivos!$A$5:$A$451,A385+1)&gt;0),1,0))</f>
        <v>0</v>
      </c>
      <c r="AG385" s="9">
        <f>IF(A385="",0,VLOOKUP(A385,Parámetros!$A$18:$B$21,2,TRUE()))</f>
        <v>0</v>
      </c>
      <c r="AH385" s="20">
        <f t="shared" si="116"/>
        <v>0</v>
      </c>
      <c r="AI385" s="20">
        <f>MAX(0,MIN(AB385,Parámetros!$B$11)-MAX(X385,0))+MAX(0,MIN(AB385,1+Parámetros!$B$11)-MAX(X385,AD385))+MAX(0,MIN(AB385,2)-MAX(X385,1+AD385))</f>
        <v>0</v>
      </c>
      <c r="AJ385" s="20">
        <f t="shared" si="117"/>
        <v>0</v>
      </c>
      <c r="AK385" s="20">
        <f>AE385*(MAX(0,MIN(AB385,Parámetros!$B$11)-MAX(X385,0))+MAX(0,MIN(AB385,1)-MAX(X385,AD385)))+AF385*(MAX(0,MIN(AB385,1+Parámetros!$B$11)-MAX(X385,1))+MAX(0,MIN(AB385,2)-MAX(X385,1+AD385)))</f>
        <v>0</v>
      </c>
      <c r="AL385" s="20">
        <f t="shared" si="118"/>
        <v>0</v>
      </c>
      <c r="AM385" s="20">
        <f>MAX(0,MIN(AC385,Parámetros!$B$11)-MAX(AB385,0))+MAX(0,MIN(AC385,1+Parámetros!$B$11)-MAX(AB385,AD385))+MAX(0,MIN(AC385,2)-MAX(AB385,1+AD385))</f>
        <v>0</v>
      </c>
      <c r="AN385" s="20">
        <f t="shared" si="119"/>
        <v>0</v>
      </c>
      <c r="AO385" s="20">
        <f>AE385*(MAX(0,MIN(AC385,Parámetros!$B$11)-MAX(AB385,0))+MAX(0,MIN(AC385,1)-MAX(AB385,AD385)))+AF385*(MAX(0,MIN(AC385,1+Parámetros!$B$11)-MAX(AB385,1))+MAX(0,MIN(AC385,2)-MAX(AB385,1+AD385)))</f>
        <v>0</v>
      </c>
    </row>
    <row r="386" spans="1:41" x14ac:dyDescent="0.25">
      <c r="A386" s="15"/>
      <c r="B386" s="8"/>
      <c r="C386" s="5" t="str">
        <f>IF(B386="","",IFERROR(INDEX(Trabajadores!$B$5:$B$204,MATCH(B386,Trabajadores!$A$5:$A$204,0)),"Cédula no registrada"))</f>
        <v/>
      </c>
      <c r="D386" s="11"/>
      <c r="E386" s="11"/>
      <c r="F386" s="8"/>
      <c r="G386" s="18" t="str">
        <f>IF(A386="","",IFERROR(INDEX(Trabajadores!$E$5:$E$204,MATCH(B386,Trabajadores!$A$5:$A$204,0))/Parámetros!$B$6,0)+IF(IFERROR(INDEX(Trabajadores!$E$5:$E$204,MATCH(B386,Trabajadores!$A$5:$A$204,0)),"")="",Parámetros!$B$7,0))</f>
        <v/>
      </c>
      <c r="H386" s="5" t="str">
        <f t="shared" si="100"/>
        <v/>
      </c>
      <c r="I386" s="5" t="str">
        <f>IF(A386="","",IF(COUNTIF(Festivos!$A$5:$A$451,A386)&gt;0,"Festivo",IF(WEEKDAY(A386,2)=7,"Domingo",IF(AND(AF386=1,AC386&gt;1),IF(COUNTIF(Festivos!$A$5:$A$451,A386+1)&gt;0,"Festivo","Domingo")&amp;" desde las 00:00",""))))</f>
        <v/>
      </c>
      <c r="J386" s="19" t="str">
        <f t="shared" si="101"/>
        <v/>
      </c>
      <c r="K386" s="19" t="str">
        <f t="shared" si="102"/>
        <v/>
      </c>
      <c r="L386" s="19" t="str">
        <f t="shared" si="103"/>
        <v/>
      </c>
      <c r="M386" s="19" t="str">
        <f t="shared" si="104"/>
        <v/>
      </c>
      <c r="N386" s="19" t="str">
        <f t="shared" si="105"/>
        <v/>
      </c>
      <c r="O386" s="19" t="str">
        <f t="shared" si="106"/>
        <v/>
      </c>
      <c r="P386" s="19" t="str">
        <f t="shared" si="107"/>
        <v/>
      </c>
      <c r="Q386" s="19" t="str">
        <f t="shared" si="108"/>
        <v/>
      </c>
      <c r="R386" s="19" t="str">
        <f t="shared" si="109"/>
        <v/>
      </c>
      <c r="S386" s="17" t="str">
        <f>IF(B386="","",IFERROR(INDEX(Trabajadores!$G$5:$G$204,MATCH(B386,Trabajadores!$A$5:$A$204,0)),""))</f>
        <v/>
      </c>
      <c r="T386" s="17" t="str">
        <f>IF(OR(OR(A386="",D386="",E386=""),S386=""),"",ROUND(S386*(N(L386)*Parámetros!$B$8+N(M386)*(1+Parámetros!$B$9)+N(N386)*(1+Parámetros!$B$10)+N(O386)*(1+AG386)+N(P386)*(1+AG386+Parámetros!$B$8)+N(Q386)*(1+AG386+Parámetros!$B$9)+N(R386)*(1+AG386+Parámetros!$B$10)),0))</f>
        <v/>
      </c>
      <c r="U386" s="5" t="str">
        <f>IF(OR(A386="",D386="",E386=""),"",IF(N(M386)+N(N386)+N(Q386)+N(R386)&gt;Parámetros!$B$12,"Supera el límite de horas extras diarias",IF(C386="Cédula no registrada","Registre la cédula en «Trabajadores»","")))</f>
        <v/>
      </c>
      <c r="X386" s="20">
        <f t="shared" si="110"/>
        <v>0</v>
      </c>
      <c r="Y386" s="20">
        <f t="shared" si="111"/>
        <v>0</v>
      </c>
      <c r="Z386" s="20">
        <f t="shared" si="112"/>
        <v>0</v>
      </c>
      <c r="AA386" s="20">
        <f t="shared" si="113"/>
        <v>0</v>
      </c>
      <c r="AB386" s="20">
        <f t="shared" si="114"/>
        <v>0</v>
      </c>
      <c r="AC386" s="20">
        <f t="shared" si="115"/>
        <v>0</v>
      </c>
      <c r="AD386" s="20">
        <f>IF(A386="",21/24,MOD(VLOOKUP(A386,Parámetros!$A$24:$B$25,2,TRUE()),1))</f>
        <v>0.875</v>
      </c>
      <c r="AE386" s="5">
        <f>IF(A386="",0,IF(OR(WEEKDAY(A386,2)=7,COUNTIF(Festivos!$A$5:$A$451,A386)&gt;0),1,0))</f>
        <v>0</v>
      </c>
      <c r="AF386" s="5">
        <f>IF(A386="",0,IF(OR(WEEKDAY(A386+1,2)=7,COUNTIF(Festivos!$A$5:$A$451,A386+1)&gt;0),1,0))</f>
        <v>0</v>
      </c>
      <c r="AG386" s="9">
        <f>IF(A386="",0,VLOOKUP(A386,Parámetros!$A$18:$B$21,2,TRUE()))</f>
        <v>0</v>
      </c>
      <c r="AH386" s="20">
        <f t="shared" si="116"/>
        <v>0</v>
      </c>
      <c r="AI386" s="20">
        <f>MAX(0,MIN(AB386,Parámetros!$B$11)-MAX(X386,0))+MAX(0,MIN(AB386,1+Parámetros!$B$11)-MAX(X386,AD386))+MAX(0,MIN(AB386,2)-MAX(X386,1+AD386))</f>
        <v>0</v>
      </c>
      <c r="AJ386" s="20">
        <f t="shared" si="117"/>
        <v>0</v>
      </c>
      <c r="AK386" s="20">
        <f>AE386*(MAX(0,MIN(AB386,Parámetros!$B$11)-MAX(X386,0))+MAX(0,MIN(AB386,1)-MAX(X386,AD386)))+AF386*(MAX(0,MIN(AB386,1+Parámetros!$B$11)-MAX(X386,1))+MAX(0,MIN(AB386,2)-MAX(X386,1+AD386)))</f>
        <v>0</v>
      </c>
      <c r="AL386" s="20">
        <f t="shared" si="118"/>
        <v>0</v>
      </c>
      <c r="AM386" s="20">
        <f>MAX(0,MIN(AC386,Parámetros!$B$11)-MAX(AB386,0))+MAX(0,MIN(AC386,1+Parámetros!$B$11)-MAX(AB386,AD386))+MAX(0,MIN(AC386,2)-MAX(AB386,1+AD386))</f>
        <v>0</v>
      </c>
      <c r="AN386" s="20">
        <f t="shared" si="119"/>
        <v>0</v>
      </c>
      <c r="AO386" s="20">
        <f>AE386*(MAX(0,MIN(AC386,Parámetros!$B$11)-MAX(AB386,0))+MAX(0,MIN(AC386,1)-MAX(AB386,AD386)))+AF386*(MAX(0,MIN(AC386,1+Parámetros!$B$11)-MAX(AB386,1))+MAX(0,MIN(AC386,2)-MAX(AB386,1+AD386)))</f>
        <v>0</v>
      </c>
    </row>
    <row r="387" spans="1:41" x14ac:dyDescent="0.25">
      <c r="A387" s="15"/>
      <c r="B387" s="8"/>
      <c r="C387" s="5" t="str">
        <f>IF(B387="","",IFERROR(INDEX(Trabajadores!$B$5:$B$204,MATCH(B387,Trabajadores!$A$5:$A$204,0)),"Cédula no registrada"))</f>
        <v/>
      </c>
      <c r="D387" s="11"/>
      <c r="E387" s="11"/>
      <c r="F387" s="8"/>
      <c r="G387" s="18" t="str">
        <f>IF(A387="","",IFERROR(INDEX(Trabajadores!$E$5:$E$204,MATCH(B387,Trabajadores!$A$5:$A$204,0))/Parámetros!$B$6,0)+IF(IFERROR(INDEX(Trabajadores!$E$5:$E$204,MATCH(B387,Trabajadores!$A$5:$A$204,0)),"")="",Parámetros!$B$7,0))</f>
        <v/>
      </c>
      <c r="H387" s="5" t="str">
        <f t="shared" si="100"/>
        <v/>
      </c>
      <c r="I387" s="5" t="str">
        <f>IF(A387="","",IF(COUNTIF(Festivos!$A$5:$A$451,A387)&gt;0,"Festivo",IF(WEEKDAY(A387,2)=7,"Domingo",IF(AND(AF387=1,AC387&gt;1),IF(COUNTIF(Festivos!$A$5:$A$451,A387+1)&gt;0,"Festivo","Domingo")&amp;" desde las 00:00",""))))</f>
        <v/>
      </c>
      <c r="J387" s="19" t="str">
        <f t="shared" si="101"/>
        <v/>
      </c>
      <c r="K387" s="19" t="str">
        <f t="shared" si="102"/>
        <v/>
      </c>
      <c r="L387" s="19" t="str">
        <f t="shared" si="103"/>
        <v/>
      </c>
      <c r="M387" s="19" t="str">
        <f t="shared" si="104"/>
        <v/>
      </c>
      <c r="N387" s="19" t="str">
        <f t="shared" si="105"/>
        <v/>
      </c>
      <c r="O387" s="19" t="str">
        <f t="shared" si="106"/>
        <v/>
      </c>
      <c r="P387" s="19" t="str">
        <f t="shared" si="107"/>
        <v/>
      </c>
      <c r="Q387" s="19" t="str">
        <f t="shared" si="108"/>
        <v/>
      </c>
      <c r="R387" s="19" t="str">
        <f t="shared" si="109"/>
        <v/>
      </c>
      <c r="S387" s="17" t="str">
        <f>IF(B387="","",IFERROR(INDEX(Trabajadores!$G$5:$G$204,MATCH(B387,Trabajadores!$A$5:$A$204,0)),""))</f>
        <v/>
      </c>
      <c r="T387" s="17" t="str">
        <f>IF(OR(OR(A387="",D387="",E387=""),S387=""),"",ROUND(S387*(N(L387)*Parámetros!$B$8+N(M387)*(1+Parámetros!$B$9)+N(N387)*(1+Parámetros!$B$10)+N(O387)*(1+AG387)+N(P387)*(1+AG387+Parámetros!$B$8)+N(Q387)*(1+AG387+Parámetros!$B$9)+N(R387)*(1+AG387+Parámetros!$B$10)),0))</f>
        <v/>
      </c>
      <c r="U387" s="5" t="str">
        <f>IF(OR(A387="",D387="",E387=""),"",IF(N(M387)+N(N387)+N(Q387)+N(R387)&gt;Parámetros!$B$12,"Supera el límite de horas extras diarias",IF(C387="Cédula no registrada","Registre la cédula en «Trabajadores»","")))</f>
        <v/>
      </c>
      <c r="X387" s="20">
        <f t="shared" si="110"/>
        <v>0</v>
      </c>
      <c r="Y387" s="20">
        <f t="shared" si="111"/>
        <v>0</v>
      </c>
      <c r="Z387" s="20">
        <f t="shared" si="112"/>
        <v>0</v>
      </c>
      <c r="AA387" s="20">
        <f t="shared" si="113"/>
        <v>0</v>
      </c>
      <c r="AB387" s="20">
        <f t="shared" si="114"/>
        <v>0</v>
      </c>
      <c r="AC387" s="20">
        <f t="shared" si="115"/>
        <v>0</v>
      </c>
      <c r="AD387" s="20">
        <f>IF(A387="",21/24,MOD(VLOOKUP(A387,Parámetros!$A$24:$B$25,2,TRUE()),1))</f>
        <v>0.875</v>
      </c>
      <c r="AE387" s="5">
        <f>IF(A387="",0,IF(OR(WEEKDAY(A387,2)=7,COUNTIF(Festivos!$A$5:$A$451,A387)&gt;0),1,0))</f>
        <v>0</v>
      </c>
      <c r="AF387" s="5">
        <f>IF(A387="",0,IF(OR(WEEKDAY(A387+1,2)=7,COUNTIF(Festivos!$A$5:$A$451,A387+1)&gt;0),1,0))</f>
        <v>0</v>
      </c>
      <c r="AG387" s="9">
        <f>IF(A387="",0,VLOOKUP(A387,Parámetros!$A$18:$B$21,2,TRUE()))</f>
        <v>0</v>
      </c>
      <c r="AH387" s="20">
        <f t="shared" si="116"/>
        <v>0</v>
      </c>
      <c r="AI387" s="20">
        <f>MAX(0,MIN(AB387,Parámetros!$B$11)-MAX(X387,0))+MAX(0,MIN(AB387,1+Parámetros!$B$11)-MAX(X387,AD387))+MAX(0,MIN(AB387,2)-MAX(X387,1+AD387))</f>
        <v>0</v>
      </c>
      <c r="AJ387" s="20">
        <f t="shared" si="117"/>
        <v>0</v>
      </c>
      <c r="AK387" s="20">
        <f>AE387*(MAX(0,MIN(AB387,Parámetros!$B$11)-MAX(X387,0))+MAX(0,MIN(AB387,1)-MAX(X387,AD387)))+AF387*(MAX(0,MIN(AB387,1+Parámetros!$B$11)-MAX(X387,1))+MAX(0,MIN(AB387,2)-MAX(X387,1+AD387)))</f>
        <v>0</v>
      </c>
      <c r="AL387" s="20">
        <f t="shared" si="118"/>
        <v>0</v>
      </c>
      <c r="AM387" s="20">
        <f>MAX(0,MIN(AC387,Parámetros!$B$11)-MAX(AB387,0))+MAX(0,MIN(AC387,1+Parámetros!$B$11)-MAX(AB387,AD387))+MAX(0,MIN(AC387,2)-MAX(AB387,1+AD387))</f>
        <v>0</v>
      </c>
      <c r="AN387" s="20">
        <f t="shared" si="119"/>
        <v>0</v>
      </c>
      <c r="AO387" s="20">
        <f>AE387*(MAX(0,MIN(AC387,Parámetros!$B$11)-MAX(AB387,0))+MAX(0,MIN(AC387,1)-MAX(AB387,AD387)))+AF387*(MAX(0,MIN(AC387,1+Parámetros!$B$11)-MAX(AB387,1))+MAX(0,MIN(AC387,2)-MAX(AB387,1+AD387)))</f>
        <v>0</v>
      </c>
    </row>
    <row r="388" spans="1:41" x14ac:dyDescent="0.25">
      <c r="A388" s="15"/>
      <c r="B388" s="8"/>
      <c r="C388" s="5" t="str">
        <f>IF(B388="","",IFERROR(INDEX(Trabajadores!$B$5:$B$204,MATCH(B388,Trabajadores!$A$5:$A$204,0)),"Cédula no registrada"))</f>
        <v/>
      </c>
      <c r="D388" s="11"/>
      <c r="E388" s="11"/>
      <c r="F388" s="8"/>
      <c r="G388" s="18" t="str">
        <f>IF(A388="","",IFERROR(INDEX(Trabajadores!$E$5:$E$204,MATCH(B388,Trabajadores!$A$5:$A$204,0))/Parámetros!$B$6,0)+IF(IFERROR(INDEX(Trabajadores!$E$5:$E$204,MATCH(B388,Trabajadores!$A$5:$A$204,0)),"")="",Parámetros!$B$7,0))</f>
        <v/>
      </c>
      <c r="H388" s="5" t="str">
        <f t="shared" si="100"/>
        <v/>
      </c>
      <c r="I388" s="5" t="str">
        <f>IF(A388="","",IF(COUNTIF(Festivos!$A$5:$A$451,A388)&gt;0,"Festivo",IF(WEEKDAY(A388,2)=7,"Domingo",IF(AND(AF388=1,AC388&gt;1),IF(COUNTIF(Festivos!$A$5:$A$451,A388+1)&gt;0,"Festivo","Domingo")&amp;" desde las 00:00",""))))</f>
        <v/>
      </c>
      <c r="J388" s="19" t="str">
        <f t="shared" si="101"/>
        <v/>
      </c>
      <c r="K388" s="19" t="str">
        <f t="shared" si="102"/>
        <v/>
      </c>
      <c r="L388" s="19" t="str">
        <f t="shared" si="103"/>
        <v/>
      </c>
      <c r="M388" s="19" t="str">
        <f t="shared" si="104"/>
        <v/>
      </c>
      <c r="N388" s="19" t="str">
        <f t="shared" si="105"/>
        <v/>
      </c>
      <c r="O388" s="19" t="str">
        <f t="shared" si="106"/>
        <v/>
      </c>
      <c r="P388" s="19" t="str">
        <f t="shared" si="107"/>
        <v/>
      </c>
      <c r="Q388" s="19" t="str">
        <f t="shared" si="108"/>
        <v/>
      </c>
      <c r="R388" s="19" t="str">
        <f t="shared" si="109"/>
        <v/>
      </c>
      <c r="S388" s="17" t="str">
        <f>IF(B388="","",IFERROR(INDEX(Trabajadores!$G$5:$G$204,MATCH(B388,Trabajadores!$A$5:$A$204,0)),""))</f>
        <v/>
      </c>
      <c r="T388" s="17" t="str">
        <f>IF(OR(OR(A388="",D388="",E388=""),S388=""),"",ROUND(S388*(N(L388)*Parámetros!$B$8+N(M388)*(1+Parámetros!$B$9)+N(N388)*(1+Parámetros!$B$10)+N(O388)*(1+AG388)+N(P388)*(1+AG388+Parámetros!$B$8)+N(Q388)*(1+AG388+Parámetros!$B$9)+N(R388)*(1+AG388+Parámetros!$B$10)),0))</f>
        <v/>
      </c>
      <c r="U388" s="5" t="str">
        <f>IF(OR(A388="",D388="",E388=""),"",IF(N(M388)+N(N388)+N(Q388)+N(R388)&gt;Parámetros!$B$12,"Supera el límite de horas extras diarias",IF(C388="Cédula no registrada","Registre la cédula en «Trabajadores»","")))</f>
        <v/>
      </c>
      <c r="X388" s="20">
        <f t="shared" si="110"/>
        <v>0</v>
      </c>
      <c r="Y388" s="20">
        <f t="shared" si="111"/>
        <v>0</v>
      </c>
      <c r="Z388" s="20">
        <f t="shared" si="112"/>
        <v>0</v>
      </c>
      <c r="AA388" s="20">
        <f t="shared" si="113"/>
        <v>0</v>
      </c>
      <c r="AB388" s="20">
        <f t="shared" si="114"/>
        <v>0</v>
      </c>
      <c r="AC388" s="20">
        <f t="shared" si="115"/>
        <v>0</v>
      </c>
      <c r="AD388" s="20">
        <f>IF(A388="",21/24,MOD(VLOOKUP(A388,Parámetros!$A$24:$B$25,2,TRUE()),1))</f>
        <v>0.875</v>
      </c>
      <c r="AE388" s="5">
        <f>IF(A388="",0,IF(OR(WEEKDAY(A388,2)=7,COUNTIF(Festivos!$A$5:$A$451,A388)&gt;0),1,0))</f>
        <v>0</v>
      </c>
      <c r="AF388" s="5">
        <f>IF(A388="",0,IF(OR(WEEKDAY(A388+1,2)=7,COUNTIF(Festivos!$A$5:$A$451,A388+1)&gt;0),1,0))</f>
        <v>0</v>
      </c>
      <c r="AG388" s="9">
        <f>IF(A388="",0,VLOOKUP(A388,Parámetros!$A$18:$B$21,2,TRUE()))</f>
        <v>0</v>
      </c>
      <c r="AH388" s="20">
        <f t="shared" si="116"/>
        <v>0</v>
      </c>
      <c r="AI388" s="20">
        <f>MAX(0,MIN(AB388,Parámetros!$B$11)-MAX(X388,0))+MAX(0,MIN(AB388,1+Parámetros!$B$11)-MAX(X388,AD388))+MAX(0,MIN(AB388,2)-MAX(X388,1+AD388))</f>
        <v>0</v>
      </c>
      <c r="AJ388" s="20">
        <f t="shared" si="117"/>
        <v>0</v>
      </c>
      <c r="AK388" s="20">
        <f>AE388*(MAX(0,MIN(AB388,Parámetros!$B$11)-MAX(X388,0))+MAX(0,MIN(AB388,1)-MAX(X388,AD388)))+AF388*(MAX(0,MIN(AB388,1+Parámetros!$B$11)-MAX(X388,1))+MAX(0,MIN(AB388,2)-MAX(X388,1+AD388)))</f>
        <v>0</v>
      </c>
      <c r="AL388" s="20">
        <f t="shared" si="118"/>
        <v>0</v>
      </c>
      <c r="AM388" s="20">
        <f>MAX(0,MIN(AC388,Parámetros!$B$11)-MAX(AB388,0))+MAX(0,MIN(AC388,1+Parámetros!$B$11)-MAX(AB388,AD388))+MAX(0,MIN(AC388,2)-MAX(AB388,1+AD388))</f>
        <v>0</v>
      </c>
      <c r="AN388" s="20">
        <f t="shared" si="119"/>
        <v>0</v>
      </c>
      <c r="AO388" s="20">
        <f>AE388*(MAX(0,MIN(AC388,Parámetros!$B$11)-MAX(AB388,0))+MAX(0,MIN(AC388,1)-MAX(AB388,AD388)))+AF388*(MAX(0,MIN(AC388,1+Parámetros!$B$11)-MAX(AB388,1))+MAX(0,MIN(AC388,2)-MAX(AB388,1+AD388)))</f>
        <v>0</v>
      </c>
    </row>
    <row r="389" spans="1:41" x14ac:dyDescent="0.25">
      <c r="A389" s="15"/>
      <c r="B389" s="8"/>
      <c r="C389" s="5" t="str">
        <f>IF(B389="","",IFERROR(INDEX(Trabajadores!$B$5:$B$204,MATCH(B389,Trabajadores!$A$5:$A$204,0)),"Cédula no registrada"))</f>
        <v/>
      </c>
      <c r="D389" s="11"/>
      <c r="E389" s="11"/>
      <c r="F389" s="8"/>
      <c r="G389" s="18" t="str">
        <f>IF(A389="","",IFERROR(INDEX(Trabajadores!$E$5:$E$204,MATCH(B389,Trabajadores!$A$5:$A$204,0))/Parámetros!$B$6,0)+IF(IFERROR(INDEX(Trabajadores!$E$5:$E$204,MATCH(B389,Trabajadores!$A$5:$A$204,0)),"")="",Parámetros!$B$7,0))</f>
        <v/>
      </c>
      <c r="H389" s="5" t="str">
        <f t="shared" ref="H389:H452" si="120">IF(A389="","",CHOOSE(WEEKDAY(A389,2),"Lunes","Martes","Miércoles","Jueves","Viernes","Sábado","Domingo"))</f>
        <v/>
      </c>
      <c r="I389" s="5" t="str">
        <f>IF(A389="","",IF(COUNTIF(Festivos!$A$5:$A$451,A389)&gt;0,"Festivo",IF(WEEKDAY(A389,2)=7,"Domingo",IF(AND(AF389=1,AC389&gt;1),IF(COUNTIF(Festivos!$A$5:$A$451,A389+1)&gt;0,"Festivo","Domingo")&amp;" desde las 00:00",""))))</f>
        <v/>
      </c>
      <c r="J389" s="19" t="str">
        <f t="shared" ref="J389:J452" si="121">IF(OR(A389="",D389="",E389=""),"",ROUND((Z389)*24,2))</f>
        <v/>
      </c>
      <c r="K389" s="19" t="str">
        <f t="shared" ref="K389:K452" si="122">IF(OR(A389="",D389="",E389=""),"",ROUND((AH389-AI389-AJ389+AK389)*24,2))</f>
        <v/>
      </c>
      <c r="L389" s="19" t="str">
        <f t="shared" ref="L389:L452" si="123">IF(OR(A389="",D389="",E389=""),"",ROUND((AI389-AK389)*24,2))</f>
        <v/>
      </c>
      <c r="M389" s="19" t="str">
        <f t="shared" ref="M389:M452" si="124">IF(OR(A389="",D389="",E389=""),"",ROUND((AL389-AM389-AN389+AO389)*24,2))</f>
        <v/>
      </c>
      <c r="N389" s="19" t="str">
        <f t="shared" ref="N389:N452" si="125">IF(OR(A389="",D389="",E389=""),"",ROUND((AM389-AO389)*24,2))</f>
        <v/>
      </c>
      <c r="O389" s="19" t="str">
        <f t="shared" ref="O389:O452" si="126">IF(OR(A389="",D389="",E389=""),"",ROUND((AJ389-AK389)*24,2))</f>
        <v/>
      </c>
      <c r="P389" s="19" t="str">
        <f t="shared" ref="P389:P452" si="127">IF(OR(A389="",D389="",E389=""),"",ROUND((AK389)*24,2))</f>
        <v/>
      </c>
      <c r="Q389" s="19" t="str">
        <f t="shared" ref="Q389:Q452" si="128">IF(OR(A389="",D389="",E389=""),"",ROUND((AN389-AO389)*24,2))</f>
        <v/>
      </c>
      <c r="R389" s="19" t="str">
        <f t="shared" ref="R389:R452" si="129">IF(OR(A389="",D389="",E389=""),"",ROUND((AO389)*24,2))</f>
        <v/>
      </c>
      <c r="S389" s="17" t="str">
        <f>IF(B389="","",IFERROR(INDEX(Trabajadores!$G$5:$G$204,MATCH(B389,Trabajadores!$A$5:$A$204,0)),""))</f>
        <v/>
      </c>
      <c r="T389" s="17" t="str">
        <f>IF(OR(OR(A389="",D389="",E389=""),S389=""),"",ROUND(S389*(N(L389)*Parámetros!$B$8+N(M389)*(1+Parámetros!$B$9)+N(N389)*(1+Parámetros!$B$10)+N(O389)*(1+AG389)+N(P389)*(1+AG389+Parámetros!$B$8)+N(Q389)*(1+AG389+Parámetros!$B$9)+N(R389)*(1+AG389+Parámetros!$B$10)),0))</f>
        <v/>
      </c>
      <c r="U389" s="5" t="str">
        <f>IF(OR(A389="",D389="",E389=""),"",IF(N(M389)+N(N389)+N(Q389)+N(R389)&gt;Parámetros!$B$12,"Supera el límite de horas extras diarias",IF(C389="Cédula no registrada","Registre la cédula en «Trabajadores»","")))</f>
        <v/>
      </c>
      <c r="X389" s="20">
        <f t="shared" ref="X389:X452" si="130">IF(OR(A389="",D389="",E389=""),0,MOD(D389,1))</f>
        <v>0</v>
      </c>
      <c r="Y389" s="20">
        <f t="shared" ref="Y389:Y452" si="131">IF(OR(A389="",D389="",E389=""),0,IF(MOD(E389,1)&gt;X389,MOD(E389,1)-X389,MOD(E389,1)+1-X389))</f>
        <v>0</v>
      </c>
      <c r="Z389" s="20">
        <f t="shared" ref="Z389:Z452" si="132">MAX(0,Y389-N(F389)/1440)</f>
        <v>0</v>
      </c>
      <c r="AA389" s="20">
        <f t="shared" ref="AA389:AA452" si="133">IF(G389="",0,MAX(0,N(G389))/24)</f>
        <v>0</v>
      </c>
      <c r="AB389" s="20">
        <f t="shared" ref="AB389:AB452" si="134">X389+MIN(Z389,AA389)</f>
        <v>0</v>
      </c>
      <c r="AC389" s="20">
        <f t="shared" ref="AC389:AC452" si="135">X389+Z389</f>
        <v>0</v>
      </c>
      <c r="AD389" s="20">
        <f>IF(A389="",21/24,MOD(VLOOKUP(A389,Parámetros!$A$24:$B$25,2,TRUE()),1))</f>
        <v>0.875</v>
      </c>
      <c r="AE389" s="5">
        <f>IF(A389="",0,IF(OR(WEEKDAY(A389,2)=7,COUNTIF(Festivos!$A$5:$A$451,A389)&gt;0),1,0))</f>
        <v>0</v>
      </c>
      <c r="AF389" s="5">
        <f>IF(A389="",0,IF(OR(WEEKDAY(A389+1,2)=7,COUNTIF(Festivos!$A$5:$A$451,A389+1)&gt;0),1,0))</f>
        <v>0</v>
      </c>
      <c r="AG389" s="9">
        <f>IF(A389="",0,VLOOKUP(A389,Parámetros!$A$18:$B$21,2,TRUE()))</f>
        <v>0</v>
      </c>
      <c r="AH389" s="20">
        <f t="shared" ref="AH389:AH452" si="136">AB389-X389</f>
        <v>0</v>
      </c>
      <c r="AI389" s="20">
        <f>MAX(0,MIN(AB389,Parámetros!$B$11)-MAX(X389,0))+MAX(0,MIN(AB389,1+Parámetros!$B$11)-MAX(X389,AD389))+MAX(0,MIN(AB389,2)-MAX(X389,1+AD389))</f>
        <v>0</v>
      </c>
      <c r="AJ389" s="20">
        <f t="shared" ref="AJ389:AJ452" si="137">AE389*MAX(0,MIN(AB389,1)-MAX(X389,0))+AF389*MAX(0,MIN(AB389,2)-MAX(X389,1))</f>
        <v>0</v>
      </c>
      <c r="AK389" s="20">
        <f>AE389*(MAX(0,MIN(AB389,Parámetros!$B$11)-MAX(X389,0))+MAX(0,MIN(AB389,1)-MAX(X389,AD389)))+AF389*(MAX(0,MIN(AB389,1+Parámetros!$B$11)-MAX(X389,1))+MAX(0,MIN(AB389,2)-MAX(X389,1+AD389)))</f>
        <v>0</v>
      </c>
      <c r="AL389" s="20">
        <f t="shared" ref="AL389:AL452" si="138">AC389-AB389</f>
        <v>0</v>
      </c>
      <c r="AM389" s="20">
        <f>MAX(0,MIN(AC389,Parámetros!$B$11)-MAX(AB389,0))+MAX(0,MIN(AC389,1+Parámetros!$B$11)-MAX(AB389,AD389))+MAX(0,MIN(AC389,2)-MAX(AB389,1+AD389))</f>
        <v>0</v>
      </c>
      <c r="AN389" s="20">
        <f t="shared" ref="AN389:AN452" si="139">AE389*MAX(0,MIN(AC389,1)-MAX(AB389,0))+AF389*MAX(0,MIN(AC389,2)-MAX(AB389,1))</f>
        <v>0</v>
      </c>
      <c r="AO389" s="20">
        <f>AE389*(MAX(0,MIN(AC389,Parámetros!$B$11)-MAX(AB389,0))+MAX(0,MIN(AC389,1)-MAX(AB389,AD389)))+AF389*(MAX(0,MIN(AC389,1+Parámetros!$B$11)-MAX(AB389,1))+MAX(0,MIN(AC389,2)-MAX(AB389,1+AD389)))</f>
        <v>0</v>
      </c>
    </row>
    <row r="390" spans="1:41" x14ac:dyDescent="0.25">
      <c r="A390" s="15"/>
      <c r="B390" s="8"/>
      <c r="C390" s="5" t="str">
        <f>IF(B390="","",IFERROR(INDEX(Trabajadores!$B$5:$B$204,MATCH(B390,Trabajadores!$A$5:$A$204,0)),"Cédula no registrada"))</f>
        <v/>
      </c>
      <c r="D390" s="11"/>
      <c r="E390" s="11"/>
      <c r="F390" s="8"/>
      <c r="G390" s="18" t="str">
        <f>IF(A390="","",IFERROR(INDEX(Trabajadores!$E$5:$E$204,MATCH(B390,Trabajadores!$A$5:$A$204,0))/Parámetros!$B$6,0)+IF(IFERROR(INDEX(Trabajadores!$E$5:$E$204,MATCH(B390,Trabajadores!$A$5:$A$204,0)),"")="",Parámetros!$B$7,0))</f>
        <v/>
      </c>
      <c r="H390" s="5" t="str">
        <f t="shared" si="120"/>
        <v/>
      </c>
      <c r="I390" s="5" t="str">
        <f>IF(A390="","",IF(COUNTIF(Festivos!$A$5:$A$451,A390)&gt;0,"Festivo",IF(WEEKDAY(A390,2)=7,"Domingo",IF(AND(AF390=1,AC390&gt;1),IF(COUNTIF(Festivos!$A$5:$A$451,A390+1)&gt;0,"Festivo","Domingo")&amp;" desde las 00:00",""))))</f>
        <v/>
      </c>
      <c r="J390" s="19" t="str">
        <f t="shared" si="121"/>
        <v/>
      </c>
      <c r="K390" s="19" t="str">
        <f t="shared" si="122"/>
        <v/>
      </c>
      <c r="L390" s="19" t="str">
        <f t="shared" si="123"/>
        <v/>
      </c>
      <c r="M390" s="19" t="str">
        <f t="shared" si="124"/>
        <v/>
      </c>
      <c r="N390" s="19" t="str">
        <f t="shared" si="125"/>
        <v/>
      </c>
      <c r="O390" s="19" t="str">
        <f t="shared" si="126"/>
        <v/>
      </c>
      <c r="P390" s="19" t="str">
        <f t="shared" si="127"/>
        <v/>
      </c>
      <c r="Q390" s="19" t="str">
        <f t="shared" si="128"/>
        <v/>
      </c>
      <c r="R390" s="19" t="str">
        <f t="shared" si="129"/>
        <v/>
      </c>
      <c r="S390" s="17" t="str">
        <f>IF(B390="","",IFERROR(INDEX(Trabajadores!$G$5:$G$204,MATCH(B390,Trabajadores!$A$5:$A$204,0)),""))</f>
        <v/>
      </c>
      <c r="T390" s="17" t="str">
        <f>IF(OR(OR(A390="",D390="",E390=""),S390=""),"",ROUND(S390*(N(L390)*Parámetros!$B$8+N(M390)*(1+Parámetros!$B$9)+N(N390)*(1+Parámetros!$B$10)+N(O390)*(1+AG390)+N(P390)*(1+AG390+Parámetros!$B$8)+N(Q390)*(1+AG390+Parámetros!$B$9)+N(R390)*(1+AG390+Parámetros!$B$10)),0))</f>
        <v/>
      </c>
      <c r="U390" s="5" t="str">
        <f>IF(OR(A390="",D390="",E390=""),"",IF(N(M390)+N(N390)+N(Q390)+N(R390)&gt;Parámetros!$B$12,"Supera el límite de horas extras diarias",IF(C390="Cédula no registrada","Registre la cédula en «Trabajadores»","")))</f>
        <v/>
      </c>
      <c r="X390" s="20">
        <f t="shared" si="130"/>
        <v>0</v>
      </c>
      <c r="Y390" s="20">
        <f t="shared" si="131"/>
        <v>0</v>
      </c>
      <c r="Z390" s="20">
        <f t="shared" si="132"/>
        <v>0</v>
      </c>
      <c r="AA390" s="20">
        <f t="shared" si="133"/>
        <v>0</v>
      </c>
      <c r="AB390" s="20">
        <f t="shared" si="134"/>
        <v>0</v>
      </c>
      <c r="AC390" s="20">
        <f t="shared" si="135"/>
        <v>0</v>
      </c>
      <c r="AD390" s="20">
        <f>IF(A390="",21/24,MOD(VLOOKUP(A390,Parámetros!$A$24:$B$25,2,TRUE()),1))</f>
        <v>0.875</v>
      </c>
      <c r="AE390" s="5">
        <f>IF(A390="",0,IF(OR(WEEKDAY(A390,2)=7,COUNTIF(Festivos!$A$5:$A$451,A390)&gt;0),1,0))</f>
        <v>0</v>
      </c>
      <c r="AF390" s="5">
        <f>IF(A390="",0,IF(OR(WEEKDAY(A390+1,2)=7,COUNTIF(Festivos!$A$5:$A$451,A390+1)&gt;0),1,0))</f>
        <v>0</v>
      </c>
      <c r="AG390" s="9">
        <f>IF(A390="",0,VLOOKUP(A390,Parámetros!$A$18:$B$21,2,TRUE()))</f>
        <v>0</v>
      </c>
      <c r="AH390" s="20">
        <f t="shared" si="136"/>
        <v>0</v>
      </c>
      <c r="AI390" s="20">
        <f>MAX(0,MIN(AB390,Parámetros!$B$11)-MAX(X390,0))+MAX(0,MIN(AB390,1+Parámetros!$B$11)-MAX(X390,AD390))+MAX(0,MIN(AB390,2)-MAX(X390,1+AD390))</f>
        <v>0</v>
      </c>
      <c r="AJ390" s="20">
        <f t="shared" si="137"/>
        <v>0</v>
      </c>
      <c r="AK390" s="20">
        <f>AE390*(MAX(0,MIN(AB390,Parámetros!$B$11)-MAX(X390,0))+MAX(0,MIN(AB390,1)-MAX(X390,AD390)))+AF390*(MAX(0,MIN(AB390,1+Parámetros!$B$11)-MAX(X390,1))+MAX(0,MIN(AB390,2)-MAX(X390,1+AD390)))</f>
        <v>0</v>
      </c>
      <c r="AL390" s="20">
        <f t="shared" si="138"/>
        <v>0</v>
      </c>
      <c r="AM390" s="20">
        <f>MAX(0,MIN(AC390,Parámetros!$B$11)-MAX(AB390,0))+MAX(0,MIN(AC390,1+Parámetros!$B$11)-MAX(AB390,AD390))+MAX(0,MIN(AC390,2)-MAX(AB390,1+AD390))</f>
        <v>0</v>
      </c>
      <c r="AN390" s="20">
        <f t="shared" si="139"/>
        <v>0</v>
      </c>
      <c r="AO390" s="20">
        <f>AE390*(MAX(0,MIN(AC390,Parámetros!$B$11)-MAX(AB390,0))+MAX(0,MIN(AC390,1)-MAX(AB390,AD390)))+AF390*(MAX(0,MIN(AC390,1+Parámetros!$B$11)-MAX(AB390,1))+MAX(0,MIN(AC390,2)-MAX(AB390,1+AD390)))</f>
        <v>0</v>
      </c>
    </row>
    <row r="391" spans="1:41" x14ac:dyDescent="0.25">
      <c r="A391" s="15"/>
      <c r="B391" s="8"/>
      <c r="C391" s="5" t="str">
        <f>IF(B391="","",IFERROR(INDEX(Trabajadores!$B$5:$B$204,MATCH(B391,Trabajadores!$A$5:$A$204,0)),"Cédula no registrada"))</f>
        <v/>
      </c>
      <c r="D391" s="11"/>
      <c r="E391" s="11"/>
      <c r="F391" s="8"/>
      <c r="G391" s="18" t="str">
        <f>IF(A391="","",IFERROR(INDEX(Trabajadores!$E$5:$E$204,MATCH(B391,Trabajadores!$A$5:$A$204,0))/Parámetros!$B$6,0)+IF(IFERROR(INDEX(Trabajadores!$E$5:$E$204,MATCH(B391,Trabajadores!$A$5:$A$204,0)),"")="",Parámetros!$B$7,0))</f>
        <v/>
      </c>
      <c r="H391" s="5" t="str">
        <f t="shared" si="120"/>
        <v/>
      </c>
      <c r="I391" s="5" t="str">
        <f>IF(A391="","",IF(COUNTIF(Festivos!$A$5:$A$451,A391)&gt;0,"Festivo",IF(WEEKDAY(A391,2)=7,"Domingo",IF(AND(AF391=1,AC391&gt;1),IF(COUNTIF(Festivos!$A$5:$A$451,A391+1)&gt;0,"Festivo","Domingo")&amp;" desde las 00:00",""))))</f>
        <v/>
      </c>
      <c r="J391" s="19" t="str">
        <f t="shared" si="121"/>
        <v/>
      </c>
      <c r="K391" s="19" t="str">
        <f t="shared" si="122"/>
        <v/>
      </c>
      <c r="L391" s="19" t="str">
        <f t="shared" si="123"/>
        <v/>
      </c>
      <c r="M391" s="19" t="str">
        <f t="shared" si="124"/>
        <v/>
      </c>
      <c r="N391" s="19" t="str">
        <f t="shared" si="125"/>
        <v/>
      </c>
      <c r="O391" s="19" t="str">
        <f t="shared" si="126"/>
        <v/>
      </c>
      <c r="P391" s="19" t="str">
        <f t="shared" si="127"/>
        <v/>
      </c>
      <c r="Q391" s="19" t="str">
        <f t="shared" si="128"/>
        <v/>
      </c>
      <c r="R391" s="19" t="str">
        <f t="shared" si="129"/>
        <v/>
      </c>
      <c r="S391" s="17" t="str">
        <f>IF(B391="","",IFERROR(INDEX(Trabajadores!$G$5:$G$204,MATCH(B391,Trabajadores!$A$5:$A$204,0)),""))</f>
        <v/>
      </c>
      <c r="T391" s="17" t="str">
        <f>IF(OR(OR(A391="",D391="",E391=""),S391=""),"",ROUND(S391*(N(L391)*Parámetros!$B$8+N(M391)*(1+Parámetros!$B$9)+N(N391)*(1+Parámetros!$B$10)+N(O391)*(1+AG391)+N(P391)*(1+AG391+Parámetros!$B$8)+N(Q391)*(1+AG391+Parámetros!$B$9)+N(R391)*(1+AG391+Parámetros!$B$10)),0))</f>
        <v/>
      </c>
      <c r="U391" s="5" t="str">
        <f>IF(OR(A391="",D391="",E391=""),"",IF(N(M391)+N(N391)+N(Q391)+N(R391)&gt;Parámetros!$B$12,"Supera el límite de horas extras diarias",IF(C391="Cédula no registrada","Registre la cédula en «Trabajadores»","")))</f>
        <v/>
      </c>
      <c r="X391" s="20">
        <f t="shared" si="130"/>
        <v>0</v>
      </c>
      <c r="Y391" s="20">
        <f t="shared" si="131"/>
        <v>0</v>
      </c>
      <c r="Z391" s="20">
        <f t="shared" si="132"/>
        <v>0</v>
      </c>
      <c r="AA391" s="20">
        <f t="shared" si="133"/>
        <v>0</v>
      </c>
      <c r="AB391" s="20">
        <f t="shared" si="134"/>
        <v>0</v>
      </c>
      <c r="AC391" s="20">
        <f t="shared" si="135"/>
        <v>0</v>
      </c>
      <c r="AD391" s="20">
        <f>IF(A391="",21/24,MOD(VLOOKUP(A391,Parámetros!$A$24:$B$25,2,TRUE()),1))</f>
        <v>0.875</v>
      </c>
      <c r="AE391" s="5">
        <f>IF(A391="",0,IF(OR(WEEKDAY(A391,2)=7,COUNTIF(Festivos!$A$5:$A$451,A391)&gt;0),1,0))</f>
        <v>0</v>
      </c>
      <c r="AF391" s="5">
        <f>IF(A391="",0,IF(OR(WEEKDAY(A391+1,2)=7,COUNTIF(Festivos!$A$5:$A$451,A391+1)&gt;0),1,0))</f>
        <v>0</v>
      </c>
      <c r="AG391" s="9">
        <f>IF(A391="",0,VLOOKUP(A391,Parámetros!$A$18:$B$21,2,TRUE()))</f>
        <v>0</v>
      </c>
      <c r="AH391" s="20">
        <f t="shared" si="136"/>
        <v>0</v>
      </c>
      <c r="AI391" s="20">
        <f>MAX(0,MIN(AB391,Parámetros!$B$11)-MAX(X391,0))+MAX(0,MIN(AB391,1+Parámetros!$B$11)-MAX(X391,AD391))+MAX(0,MIN(AB391,2)-MAX(X391,1+AD391))</f>
        <v>0</v>
      </c>
      <c r="AJ391" s="20">
        <f t="shared" si="137"/>
        <v>0</v>
      </c>
      <c r="AK391" s="20">
        <f>AE391*(MAX(0,MIN(AB391,Parámetros!$B$11)-MAX(X391,0))+MAX(0,MIN(AB391,1)-MAX(X391,AD391)))+AF391*(MAX(0,MIN(AB391,1+Parámetros!$B$11)-MAX(X391,1))+MAX(0,MIN(AB391,2)-MAX(X391,1+AD391)))</f>
        <v>0</v>
      </c>
      <c r="AL391" s="20">
        <f t="shared" si="138"/>
        <v>0</v>
      </c>
      <c r="AM391" s="20">
        <f>MAX(0,MIN(AC391,Parámetros!$B$11)-MAX(AB391,0))+MAX(0,MIN(AC391,1+Parámetros!$B$11)-MAX(AB391,AD391))+MAX(0,MIN(AC391,2)-MAX(AB391,1+AD391))</f>
        <v>0</v>
      </c>
      <c r="AN391" s="20">
        <f t="shared" si="139"/>
        <v>0</v>
      </c>
      <c r="AO391" s="20">
        <f>AE391*(MAX(0,MIN(AC391,Parámetros!$B$11)-MAX(AB391,0))+MAX(0,MIN(AC391,1)-MAX(AB391,AD391)))+AF391*(MAX(0,MIN(AC391,1+Parámetros!$B$11)-MAX(AB391,1))+MAX(0,MIN(AC391,2)-MAX(AB391,1+AD391)))</f>
        <v>0</v>
      </c>
    </row>
    <row r="392" spans="1:41" x14ac:dyDescent="0.25">
      <c r="A392" s="15"/>
      <c r="B392" s="8"/>
      <c r="C392" s="5" t="str">
        <f>IF(B392="","",IFERROR(INDEX(Trabajadores!$B$5:$B$204,MATCH(B392,Trabajadores!$A$5:$A$204,0)),"Cédula no registrada"))</f>
        <v/>
      </c>
      <c r="D392" s="11"/>
      <c r="E392" s="11"/>
      <c r="F392" s="8"/>
      <c r="G392" s="18" t="str">
        <f>IF(A392="","",IFERROR(INDEX(Trabajadores!$E$5:$E$204,MATCH(B392,Trabajadores!$A$5:$A$204,0))/Parámetros!$B$6,0)+IF(IFERROR(INDEX(Trabajadores!$E$5:$E$204,MATCH(B392,Trabajadores!$A$5:$A$204,0)),"")="",Parámetros!$B$7,0))</f>
        <v/>
      </c>
      <c r="H392" s="5" t="str">
        <f t="shared" si="120"/>
        <v/>
      </c>
      <c r="I392" s="5" t="str">
        <f>IF(A392="","",IF(COUNTIF(Festivos!$A$5:$A$451,A392)&gt;0,"Festivo",IF(WEEKDAY(A392,2)=7,"Domingo",IF(AND(AF392=1,AC392&gt;1),IF(COUNTIF(Festivos!$A$5:$A$451,A392+1)&gt;0,"Festivo","Domingo")&amp;" desde las 00:00",""))))</f>
        <v/>
      </c>
      <c r="J392" s="19" t="str">
        <f t="shared" si="121"/>
        <v/>
      </c>
      <c r="K392" s="19" t="str">
        <f t="shared" si="122"/>
        <v/>
      </c>
      <c r="L392" s="19" t="str">
        <f t="shared" si="123"/>
        <v/>
      </c>
      <c r="M392" s="19" t="str">
        <f t="shared" si="124"/>
        <v/>
      </c>
      <c r="N392" s="19" t="str">
        <f t="shared" si="125"/>
        <v/>
      </c>
      <c r="O392" s="19" t="str">
        <f t="shared" si="126"/>
        <v/>
      </c>
      <c r="P392" s="19" t="str">
        <f t="shared" si="127"/>
        <v/>
      </c>
      <c r="Q392" s="19" t="str">
        <f t="shared" si="128"/>
        <v/>
      </c>
      <c r="R392" s="19" t="str">
        <f t="shared" si="129"/>
        <v/>
      </c>
      <c r="S392" s="17" t="str">
        <f>IF(B392="","",IFERROR(INDEX(Trabajadores!$G$5:$G$204,MATCH(B392,Trabajadores!$A$5:$A$204,0)),""))</f>
        <v/>
      </c>
      <c r="T392" s="17" t="str">
        <f>IF(OR(OR(A392="",D392="",E392=""),S392=""),"",ROUND(S392*(N(L392)*Parámetros!$B$8+N(M392)*(1+Parámetros!$B$9)+N(N392)*(1+Parámetros!$B$10)+N(O392)*(1+AG392)+N(P392)*(1+AG392+Parámetros!$B$8)+N(Q392)*(1+AG392+Parámetros!$B$9)+N(R392)*(1+AG392+Parámetros!$B$10)),0))</f>
        <v/>
      </c>
      <c r="U392" s="5" t="str">
        <f>IF(OR(A392="",D392="",E392=""),"",IF(N(M392)+N(N392)+N(Q392)+N(R392)&gt;Parámetros!$B$12,"Supera el límite de horas extras diarias",IF(C392="Cédula no registrada","Registre la cédula en «Trabajadores»","")))</f>
        <v/>
      </c>
      <c r="X392" s="20">
        <f t="shared" si="130"/>
        <v>0</v>
      </c>
      <c r="Y392" s="20">
        <f t="shared" si="131"/>
        <v>0</v>
      </c>
      <c r="Z392" s="20">
        <f t="shared" si="132"/>
        <v>0</v>
      </c>
      <c r="AA392" s="20">
        <f t="shared" si="133"/>
        <v>0</v>
      </c>
      <c r="AB392" s="20">
        <f t="shared" si="134"/>
        <v>0</v>
      </c>
      <c r="AC392" s="20">
        <f t="shared" si="135"/>
        <v>0</v>
      </c>
      <c r="AD392" s="20">
        <f>IF(A392="",21/24,MOD(VLOOKUP(A392,Parámetros!$A$24:$B$25,2,TRUE()),1))</f>
        <v>0.875</v>
      </c>
      <c r="AE392" s="5">
        <f>IF(A392="",0,IF(OR(WEEKDAY(A392,2)=7,COUNTIF(Festivos!$A$5:$A$451,A392)&gt;0),1,0))</f>
        <v>0</v>
      </c>
      <c r="AF392" s="5">
        <f>IF(A392="",0,IF(OR(WEEKDAY(A392+1,2)=7,COUNTIF(Festivos!$A$5:$A$451,A392+1)&gt;0),1,0))</f>
        <v>0</v>
      </c>
      <c r="AG392" s="9">
        <f>IF(A392="",0,VLOOKUP(A392,Parámetros!$A$18:$B$21,2,TRUE()))</f>
        <v>0</v>
      </c>
      <c r="AH392" s="20">
        <f t="shared" si="136"/>
        <v>0</v>
      </c>
      <c r="AI392" s="20">
        <f>MAX(0,MIN(AB392,Parámetros!$B$11)-MAX(X392,0))+MAX(0,MIN(AB392,1+Parámetros!$B$11)-MAX(X392,AD392))+MAX(0,MIN(AB392,2)-MAX(X392,1+AD392))</f>
        <v>0</v>
      </c>
      <c r="AJ392" s="20">
        <f t="shared" si="137"/>
        <v>0</v>
      </c>
      <c r="AK392" s="20">
        <f>AE392*(MAX(0,MIN(AB392,Parámetros!$B$11)-MAX(X392,0))+MAX(0,MIN(AB392,1)-MAX(X392,AD392)))+AF392*(MAX(0,MIN(AB392,1+Parámetros!$B$11)-MAX(X392,1))+MAX(0,MIN(AB392,2)-MAX(X392,1+AD392)))</f>
        <v>0</v>
      </c>
      <c r="AL392" s="20">
        <f t="shared" si="138"/>
        <v>0</v>
      </c>
      <c r="AM392" s="20">
        <f>MAX(0,MIN(AC392,Parámetros!$B$11)-MAX(AB392,0))+MAX(0,MIN(AC392,1+Parámetros!$B$11)-MAX(AB392,AD392))+MAX(0,MIN(AC392,2)-MAX(AB392,1+AD392))</f>
        <v>0</v>
      </c>
      <c r="AN392" s="20">
        <f t="shared" si="139"/>
        <v>0</v>
      </c>
      <c r="AO392" s="20">
        <f>AE392*(MAX(0,MIN(AC392,Parámetros!$B$11)-MAX(AB392,0))+MAX(0,MIN(AC392,1)-MAX(AB392,AD392)))+AF392*(MAX(0,MIN(AC392,1+Parámetros!$B$11)-MAX(AB392,1))+MAX(0,MIN(AC392,2)-MAX(AB392,1+AD392)))</f>
        <v>0</v>
      </c>
    </row>
    <row r="393" spans="1:41" x14ac:dyDescent="0.25">
      <c r="A393" s="15"/>
      <c r="B393" s="8"/>
      <c r="C393" s="5" t="str">
        <f>IF(B393="","",IFERROR(INDEX(Trabajadores!$B$5:$B$204,MATCH(B393,Trabajadores!$A$5:$A$204,0)),"Cédula no registrada"))</f>
        <v/>
      </c>
      <c r="D393" s="11"/>
      <c r="E393" s="11"/>
      <c r="F393" s="8"/>
      <c r="G393" s="18" t="str">
        <f>IF(A393="","",IFERROR(INDEX(Trabajadores!$E$5:$E$204,MATCH(B393,Trabajadores!$A$5:$A$204,0))/Parámetros!$B$6,0)+IF(IFERROR(INDEX(Trabajadores!$E$5:$E$204,MATCH(B393,Trabajadores!$A$5:$A$204,0)),"")="",Parámetros!$B$7,0))</f>
        <v/>
      </c>
      <c r="H393" s="5" t="str">
        <f t="shared" si="120"/>
        <v/>
      </c>
      <c r="I393" s="5" t="str">
        <f>IF(A393="","",IF(COUNTIF(Festivos!$A$5:$A$451,A393)&gt;0,"Festivo",IF(WEEKDAY(A393,2)=7,"Domingo",IF(AND(AF393=1,AC393&gt;1),IF(COUNTIF(Festivos!$A$5:$A$451,A393+1)&gt;0,"Festivo","Domingo")&amp;" desde las 00:00",""))))</f>
        <v/>
      </c>
      <c r="J393" s="19" t="str">
        <f t="shared" si="121"/>
        <v/>
      </c>
      <c r="K393" s="19" t="str">
        <f t="shared" si="122"/>
        <v/>
      </c>
      <c r="L393" s="19" t="str">
        <f t="shared" si="123"/>
        <v/>
      </c>
      <c r="M393" s="19" t="str">
        <f t="shared" si="124"/>
        <v/>
      </c>
      <c r="N393" s="19" t="str">
        <f t="shared" si="125"/>
        <v/>
      </c>
      <c r="O393" s="19" t="str">
        <f t="shared" si="126"/>
        <v/>
      </c>
      <c r="P393" s="19" t="str">
        <f t="shared" si="127"/>
        <v/>
      </c>
      <c r="Q393" s="19" t="str">
        <f t="shared" si="128"/>
        <v/>
      </c>
      <c r="R393" s="19" t="str">
        <f t="shared" si="129"/>
        <v/>
      </c>
      <c r="S393" s="17" t="str">
        <f>IF(B393="","",IFERROR(INDEX(Trabajadores!$G$5:$G$204,MATCH(B393,Trabajadores!$A$5:$A$204,0)),""))</f>
        <v/>
      </c>
      <c r="T393" s="17" t="str">
        <f>IF(OR(OR(A393="",D393="",E393=""),S393=""),"",ROUND(S393*(N(L393)*Parámetros!$B$8+N(M393)*(1+Parámetros!$B$9)+N(N393)*(1+Parámetros!$B$10)+N(O393)*(1+AG393)+N(P393)*(1+AG393+Parámetros!$B$8)+N(Q393)*(1+AG393+Parámetros!$B$9)+N(R393)*(1+AG393+Parámetros!$B$10)),0))</f>
        <v/>
      </c>
      <c r="U393" s="5" t="str">
        <f>IF(OR(A393="",D393="",E393=""),"",IF(N(M393)+N(N393)+N(Q393)+N(R393)&gt;Parámetros!$B$12,"Supera el límite de horas extras diarias",IF(C393="Cédula no registrada","Registre la cédula en «Trabajadores»","")))</f>
        <v/>
      </c>
      <c r="X393" s="20">
        <f t="shared" si="130"/>
        <v>0</v>
      </c>
      <c r="Y393" s="20">
        <f t="shared" si="131"/>
        <v>0</v>
      </c>
      <c r="Z393" s="20">
        <f t="shared" si="132"/>
        <v>0</v>
      </c>
      <c r="AA393" s="20">
        <f t="shared" si="133"/>
        <v>0</v>
      </c>
      <c r="AB393" s="20">
        <f t="shared" si="134"/>
        <v>0</v>
      </c>
      <c r="AC393" s="20">
        <f t="shared" si="135"/>
        <v>0</v>
      </c>
      <c r="AD393" s="20">
        <f>IF(A393="",21/24,MOD(VLOOKUP(A393,Parámetros!$A$24:$B$25,2,TRUE()),1))</f>
        <v>0.875</v>
      </c>
      <c r="AE393" s="5">
        <f>IF(A393="",0,IF(OR(WEEKDAY(A393,2)=7,COUNTIF(Festivos!$A$5:$A$451,A393)&gt;0),1,0))</f>
        <v>0</v>
      </c>
      <c r="AF393" s="5">
        <f>IF(A393="",0,IF(OR(WEEKDAY(A393+1,2)=7,COUNTIF(Festivos!$A$5:$A$451,A393+1)&gt;0),1,0))</f>
        <v>0</v>
      </c>
      <c r="AG393" s="9">
        <f>IF(A393="",0,VLOOKUP(A393,Parámetros!$A$18:$B$21,2,TRUE()))</f>
        <v>0</v>
      </c>
      <c r="AH393" s="20">
        <f t="shared" si="136"/>
        <v>0</v>
      </c>
      <c r="AI393" s="20">
        <f>MAX(0,MIN(AB393,Parámetros!$B$11)-MAX(X393,0))+MAX(0,MIN(AB393,1+Parámetros!$B$11)-MAX(X393,AD393))+MAX(0,MIN(AB393,2)-MAX(X393,1+AD393))</f>
        <v>0</v>
      </c>
      <c r="AJ393" s="20">
        <f t="shared" si="137"/>
        <v>0</v>
      </c>
      <c r="AK393" s="20">
        <f>AE393*(MAX(0,MIN(AB393,Parámetros!$B$11)-MAX(X393,0))+MAX(0,MIN(AB393,1)-MAX(X393,AD393)))+AF393*(MAX(0,MIN(AB393,1+Parámetros!$B$11)-MAX(X393,1))+MAX(0,MIN(AB393,2)-MAX(X393,1+AD393)))</f>
        <v>0</v>
      </c>
      <c r="AL393" s="20">
        <f t="shared" si="138"/>
        <v>0</v>
      </c>
      <c r="AM393" s="20">
        <f>MAX(0,MIN(AC393,Parámetros!$B$11)-MAX(AB393,0))+MAX(0,MIN(AC393,1+Parámetros!$B$11)-MAX(AB393,AD393))+MAX(0,MIN(AC393,2)-MAX(AB393,1+AD393))</f>
        <v>0</v>
      </c>
      <c r="AN393" s="20">
        <f t="shared" si="139"/>
        <v>0</v>
      </c>
      <c r="AO393" s="20">
        <f>AE393*(MAX(0,MIN(AC393,Parámetros!$B$11)-MAX(AB393,0))+MAX(0,MIN(AC393,1)-MAX(AB393,AD393)))+AF393*(MAX(0,MIN(AC393,1+Parámetros!$B$11)-MAX(AB393,1))+MAX(0,MIN(AC393,2)-MAX(AB393,1+AD393)))</f>
        <v>0</v>
      </c>
    </row>
    <row r="394" spans="1:41" x14ac:dyDescent="0.25">
      <c r="A394" s="15"/>
      <c r="B394" s="8"/>
      <c r="C394" s="5" t="str">
        <f>IF(B394="","",IFERROR(INDEX(Trabajadores!$B$5:$B$204,MATCH(B394,Trabajadores!$A$5:$A$204,0)),"Cédula no registrada"))</f>
        <v/>
      </c>
      <c r="D394" s="11"/>
      <c r="E394" s="11"/>
      <c r="F394" s="8"/>
      <c r="G394" s="18" t="str">
        <f>IF(A394="","",IFERROR(INDEX(Trabajadores!$E$5:$E$204,MATCH(B394,Trabajadores!$A$5:$A$204,0))/Parámetros!$B$6,0)+IF(IFERROR(INDEX(Trabajadores!$E$5:$E$204,MATCH(B394,Trabajadores!$A$5:$A$204,0)),"")="",Parámetros!$B$7,0))</f>
        <v/>
      </c>
      <c r="H394" s="5" t="str">
        <f t="shared" si="120"/>
        <v/>
      </c>
      <c r="I394" s="5" t="str">
        <f>IF(A394="","",IF(COUNTIF(Festivos!$A$5:$A$451,A394)&gt;0,"Festivo",IF(WEEKDAY(A394,2)=7,"Domingo",IF(AND(AF394=1,AC394&gt;1),IF(COUNTIF(Festivos!$A$5:$A$451,A394+1)&gt;0,"Festivo","Domingo")&amp;" desde las 00:00",""))))</f>
        <v/>
      </c>
      <c r="J394" s="19" t="str">
        <f t="shared" si="121"/>
        <v/>
      </c>
      <c r="K394" s="19" t="str">
        <f t="shared" si="122"/>
        <v/>
      </c>
      <c r="L394" s="19" t="str">
        <f t="shared" si="123"/>
        <v/>
      </c>
      <c r="M394" s="19" t="str">
        <f t="shared" si="124"/>
        <v/>
      </c>
      <c r="N394" s="19" t="str">
        <f t="shared" si="125"/>
        <v/>
      </c>
      <c r="O394" s="19" t="str">
        <f t="shared" si="126"/>
        <v/>
      </c>
      <c r="P394" s="19" t="str">
        <f t="shared" si="127"/>
        <v/>
      </c>
      <c r="Q394" s="19" t="str">
        <f t="shared" si="128"/>
        <v/>
      </c>
      <c r="R394" s="19" t="str">
        <f t="shared" si="129"/>
        <v/>
      </c>
      <c r="S394" s="17" t="str">
        <f>IF(B394="","",IFERROR(INDEX(Trabajadores!$G$5:$G$204,MATCH(B394,Trabajadores!$A$5:$A$204,0)),""))</f>
        <v/>
      </c>
      <c r="T394" s="17" t="str">
        <f>IF(OR(OR(A394="",D394="",E394=""),S394=""),"",ROUND(S394*(N(L394)*Parámetros!$B$8+N(M394)*(1+Parámetros!$B$9)+N(N394)*(1+Parámetros!$B$10)+N(O394)*(1+AG394)+N(P394)*(1+AG394+Parámetros!$B$8)+N(Q394)*(1+AG394+Parámetros!$B$9)+N(R394)*(1+AG394+Parámetros!$B$10)),0))</f>
        <v/>
      </c>
      <c r="U394" s="5" t="str">
        <f>IF(OR(A394="",D394="",E394=""),"",IF(N(M394)+N(N394)+N(Q394)+N(R394)&gt;Parámetros!$B$12,"Supera el límite de horas extras diarias",IF(C394="Cédula no registrada","Registre la cédula en «Trabajadores»","")))</f>
        <v/>
      </c>
      <c r="X394" s="20">
        <f t="shared" si="130"/>
        <v>0</v>
      </c>
      <c r="Y394" s="20">
        <f t="shared" si="131"/>
        <v>0</v>
      </c>
      <c r="Z394" s="20">
        <f t="shared" si="132"/>
        <v>0</v>
      </c>
      <c r="AA394" s="20">
        <f t="shared" si="133"/>
        <v>0</v>
      </c>
      <c r="AB394" s="20">
        <f t="shared" si="134"/>
        <v>0</v>
      </c>
      <c r="AC394" s="20">
        <f t="shared" si="135"/>
        <v>0</v>
      </c>
      <c r="AD394" s="20">
        <f>IF(A394="",21/24,MOD(VLOOKUP(A394,Parámetros!$A$24:$B$25,2,TRUE()),1))</f>
        <v>0.875</v>
      </c>
      <c r="AE394" s="5">
        <f>IF(A394="",0,IF(OR(WEEKDAY(A394,2)=7,COUNTIF(Festivos!$A$5:$A$451,A394)&gt;0),1,0))</f>
        <v>0</v>
      </c>
      <c r="AF394" s="5">
        <f>IF(A394="",0,IF(OR(WEEKDAY(A394+1,2)=7,COUNTIF(Festivos!$A$5:$A$451,A394+1)&gt;0),1,0))</f>
        <v>0</v>
      </c>
      <c r="AG394" s="9">
        <f>IF(A394="",0,VLOOKUP(A394,Parámetros!$A$18:$B$21,2,TRUE()))</f>
        <v>0</v>
      </c>
      <c r="AH394" s="20">
        <f t="shared" si="136"/>
        <v>0</v>
      </c>
      <c r="AI394" s="20">
        <f>MAX(0,MIN(AB394,Parámetros!$B$11)-MAX(X394,0))+MAX(0,MIN(AB394,1+Parámetros!$B$11)-MAX(X394,AD394))+MAX(0,MIN(AB394,2)-MAX(X394,1+AD394))</f>
        <v>0</v>
      </c>
      <c r="AJ394" s="20">
        <f t="shared" si="137"/>
        <v>0</v>
      </c>
      <c r="AK394" s="20">
        <f>AE394*(MAX(0,MIN(AB394,Parámetros!$B$11)-MAX(X394,0))+MAX(0,MIN(AB394,1)-MAX(X394,AD394)))+AF394*(MAX(0,MIN(AB394,1+Parámetros!$B$11)-MAX(X394,1))+MAX(0,MIN(AB394,2)-MAX(X394,1+AD394)))</f>
        <v>0</v>
      </c>
      <c r="AL394" s="20">
        <f t="shared" si="138"/>
        <v>0</v>
      </c>
      <c r="AM394" s="20">
        <f>MAX(0,MIN(AC394,Parámetros!$B$11)-MAX(AB394,0))+MAX(0,MIN(AC394,1+Parámetros!$B$11)-MAX(AB394,AD394))+MAX(0,MIN(AC394,2)-MAX(AB394,1+AD394))</f>
        <v>0</v>
      </c>
      <c r="AN394" s="20">
        <f t="shared" si="139"/>
        <v>0</v>
      </c>
      <c r="AO394" s="20">
        <f>AE394*(MAX(0,MIN(AC394,Parámetros!$B$11)-MAX(AB394,0))+MAX(0,MIN(AC394,1)-MAX(AB394,AD394)))+AF394*(MAX(0,MIN(AC394,1+Parámetros!$B$11)-MAX(AB394,1))+MAX(0,MIN(AC394,2)-MAX(AB394,1+AD394)))</f>
        <v>0</v>
      </c>
    </row>
    <row r="395" spans="1:41" x14ac:dyDescent="0.25">
      <c r="A395" s="15"/>
      <c r="B395" s="8"/>
      <c r="C395" s="5" t="str">
        <f>IF(B395="","",IFERROR(INDEX(Trabajadores!$B$5:$B$204,MATCH(B395,Trabajadores!$A$5:$A$204,0)),"Cédula no registrada"))</f>
        <v/>
      </c>
      <c r="D395" s="11"/>
      <c r="E395" s="11"/>
      <c r="F395" s="8"/>
      <c r="G395" s="18" t="str">
        <f>IF(A395="","",IFERROR(INDEX(Trabajadores!$E$5:$E$204,MATCH(B395,Trabajadores!$A$5:$A$204,0))/Parámetros!$B$6,0)+IF(IFERROR(INDEX(Trabajadores!$E$5:$E$204,MATCH(B395,Trabajadores!$A$5:$A$204,0)),"")="",Parámetros!$B$7,0))</f>
        <v/>
      </c>
      <c r="H395" s="5" t="str">
        <f t="shared" si="120"/>
        <v/>
      </c>
      <c r="I395" s="5" t="str">
        <f>IF(A395="","",IF(COUNTIF(Festivos!$A$5:$A$451,A395)&gt;0,"Festivo",IF(WEEKDAY(A395,2)=7,"Domingo",IF(AND(AF395=1,AC395&gt;1),IF(COUNTIF(Festivos!$A$5:$A$451,A395+1)&gt;0,"Festivo","Domingo")&amp;" desde las 00:00",""))))</f>
        <v/>
      </c>
      <c r="J395" s="19" t="str">
        <f t="shared" si="121"/>
        <v/>
      </c>
      <c r="K395" s="19" t="str">
        <f t="shared" si="122"/>
        <v/>
      </c>
      <c r="L395" s="19" t="str">
        <f t="shared" si="123"/>
        <v/>
      </c>
      <c r="M395" s="19" t="str">
        <f t="shared" si="124"/>
        <v/>
      </c>
      <c r="N395" s="19" t="str">
        <f t="shared" si="125"/>
        <v/>
      </c>
      <c r="O395" s="19" t="str">
        <f t="shared" si="126"/>
        <v/>
      </c>
      <c r="P395" s="19" t="str">
        <f t="shared" si="127"/>
        <v/>
      </c>
      <c r="Q395" s="19" t="str">
        <f t="shared" si="128"/>
        <v/>
      </c>
      <c r="R395" s="19" t="str">
        <f t="shared" si="129"/>
        <v/>
      </c>
      <c r="S395" s="17" t="str">
        <f>IF(B395="","",IFERROR(INDEX(Trabajadores!$G$5:$G$204,MATCH(B395,Trabajadores!$A$5:$A$204,0)),""))</f>
        <v/>
      </c>
      <c r="T395" s="17" t="str">
        <f>IF(OR(OR(A395="",D395="",E395=""),S395=""),"",ROUND(S395*(N(L395)*Parámetros!$B$8+N(M395)*(1+Parámetros!$B$9)+N(N395)*(1+Parámetros!$B$10)+N(O395)*(1+AG395)+N(P395)*(1+AG395+Parámetros!$B$8)+N(Q395)*(1+AG395+Parámetros!$B$9)+N(R395)*(1+AG395+Parámetros!$B$10)),0))</f>
        <v/>
      </c>
      <c r="U395" s="5" t="str">
        <f>IF(OR(A395="",D395="",E395=""),"",IF(N(M395)+N(N395)+N(Q395)+N(R395)&gt;Parámetros!$B$12,"Supera el límite de horas extras diarias",IF(C395="Cédula no registrada","Registre la cédula en «Trabajadores»","")))</f>
        <v/>
      </c>
      <c r="X395" s="20">
        <f t="shared" si="130"/>
        <v>0</v>
      </c>
      <c r="Y395" s="20">
        <f t="shared" si="131"/>
        <v>0</v>
      </c>
      <c r="Z395" s="20">
        <f t="shared" si="132"/>
        <v>0</v>
      </c>
      <c r="AA395" s="20">
        <f t="shared" si="133"/>
        <v>0</v>
      </c>
      <c r="AB395" s="20">
        <f t="shared" si="134"/>
        <v>0</v>
      </c>
      <c r="AC395" s="20">
        <f t="shared" si="135"/>
        <v>0</v>
      </c>
      <c r="AD395" s="20">
        <f>IF(A395="",21/24,MOD(VLOOKUP(A395,Parámetros!$A$24:$B$25,2,TRUE()),1))</f>
        <v>0.875</v>
      </c>
      <c r="AE395" s="5">
        <f>IF(A395="",0,IF(OR(WEEKDAY(A395,2)=7,COUNTIF(Festivos!$A$5:$A$451,A395)&gt;0),1,0))</f>
        <v>0</v>
      </c>
      <c r="AF395" s="5">
        <f>IF(A395="",0,IF(OR(WEEKDAY(A395+1,2)=7,COUNTIF(Festivos!$A$5:$A$451,A395+1)&gt;0),1,0))</f>
        <v>0</v>
      </c>
      <c r="AG395" s="9">
        <f>IF(A395="",0,VLOOKUP(A395,Parámetros!$A$18:$B$21,2,TRUE()))</f>
        <v>0</v>
      </c>
      <c r="AH395" s="20">
        <f t="shared" si="136"/>
        <v>0</v>
      </c>
      <c r="AI395" s="20">
        <f>MAX(0,MIN(AB395,Parámetros!$B$11)-MAX(X395,0))+MAX(0,MIN(AB395,1+Parámetros!$B$11)-MAX(X395,AD395))+MAX(0,MIN(AB395,2)-MAX(X395,1+AD395))</f>
        <v>0</v>
      </c>
      <c r="AJ395" s="20">
        <f t="shared" si="137"/>
        <v>0</v>
      </c>
      <c r="AK395" s="20">
        <f>AE395*(MAX(0,MIN(AB395,Parámetros!$B$11)-MAX(X395,0))+MAX(0,MIN(AB395,1)-MAX(X395,AD395)))+AF395*(MAX(0,MIN(AB395,1+Parámetros!$B$11)-MAX(X395,1))+MAX(0,MIN(AB395,2)-MAX(X395,1+AD395)))</f>
        <v>0</v>
      </c>
      <c r="AL395" s="20">
        <f t="shared" si="138"/>
        <v>0</v>
      </c>
      <c r="AM395" s="20">
        <f>MAX(0,MIN(AC395,Parámetros!$B$11)-MAX(AB395,0))+MAX(0,MIN(AC395,1+Parámetros!$B$11)-MAX(AB395,AD395))+MAX(0,MIN(AC395,2)-MAX(AB395,1+AD395))</f>
        <v>0</v>
      </c>
      <c r="AN395" s="20">
        <f t="shared" si="139"/>
        <v>0</v>
      </c>
      <c r="AO395" s="20">
        <f>AE395*(MAX(0,MIN(AC395,Parámetros!$B$11)-MAX(AB395,0))+MAX(0,MIN(AC395,1)-MAX(AB395,AD395)))+AF395*(MAX(0,MIN(AC395,1+Parámetros!$B$11)-MAX(AB395,1))+MAX(0,MIN(AC395,2)-MAX(AB395,1+AD395)))</f>
        <v>0</v>
      </c>
    </row>
    <row r="396" spans="1:41" x14ac:dyDescent="0.25">
      <c r="A396" s="15"/>
      <c r="B396" s="8"/>
      <c r="C396" s="5" t="str">
        <f>IF(B396="","",IFERROR(INDEX(Trabajadores!$B$5:$B$204,MATCH(B396,Trabajadores!$A$5:$A$204,0)),"Cédula no registrada"))</f>
        <v/>
      </c>
      <c r="D396" s="11"/>
      <c r="E396" s="11"/>
      <c r="F396" s="8"/>
      <c r="G396" s="18" t="str">
        <f>IF(A396="","",IFERROR(INDEX(Trabajadores!$E$5:$E$204,MATCH(B396,Trabajadores!$A$5:$A$204,0))/Parámetros!$B$6,0)+IF(IFERROR(INDEX(Trabajadores!$E$5:$E$204,MATCH(B396,Trabajadores!$A$5:$A$204,0)),"")="",Parámetros!$B$7,0))</f>
        <v/>
      </c>
      <c r="H396" s="5" t="str">
        <f t="shared" si="120"/>
        <v/>
      </c>
      <c r="I396" s="5" t="str">
        <f>IF(A396="","",IF(COUNTIF(Festivos!$A$5:$A$451,A396)&gt;0,"Festivo",IF(WEEKDAY(A396,2)=7,"Domingo",IF(AND(AF396=1,AC396&gt;1),IF(COUNTIF(Festivos!$A$5:$A$451,A396+1)&gt;0,"Festivo","Domingo")&amp;" desde las 00:00",""))))</f>
        <v/>
      </c>
      <c r="J396" s="19" t="str">
        <f t="shared" si="121"/>
        <v/>
      </c>
      <c r="K396" s="19" t="str">
        <f t="shared" si="122"/>
        <v/>
      </c>
      <c r="L396" s="19" t="str">
        <f t="shared" si="123"/>
        <v/>
      </c>
      <c r="M396" s="19" t="str">
        <f t="shared" si="124"/>
        <v/>
      </c>
      <c r="N396" s="19" t="str">
        <f t="shared" si="125"/>
        <v/>
      </c>
      <c r="O396" s="19" t="str">
        <f t="shared" si="126"/>
        <v/>
      </c>
      <c r="P396" s="19" t="str">
        <f t="shared" si="127"/>
        <v/>
      </c>
      <c r="Q396" s="19" t="str">
        <f t="shared" si="128"/>
        <v/>
      </c>
      <c r="R396" s="19" t="str">
        <f t="shared" si="129"/>
        <v/>
      </c>
      <c r="S396" s="17" t="str">
        <f>IF(B396="","",IFERROR(INDEX(Trabajadores!$G$5:$G$204,MATCH(B396,Trabajadores!$A$5:$A$204,0)),""))</f>
        <v/>
      </c>
      <c r="T396" s="17" t="str">
        <f>IF(OR(OR(A396="",D396="",E396=""),S396=""),"",ROUND(S396*(N(L396)*Parámetros!$B$8+N(M396)*(1+Parámetros!$B$9)+N(N396)*(1+Parámetros!$B$10)+N(O396)*(1+AG396)+N(P396)*(1+AG396+Parámetros!$B$8)+N(Q396)*(1+AG396+Parámetros!$B$9)+N(R396)*(1+AG396+Parámetros!$B$10)),0))</f>
        <v/>
      </c>
      <c r="U396" s="5" t="str">
        <f>IF(OR(A396="",D396="",E396=""),"",IF(N(M396)+N(N396)+N(Q396)+N(R396)&gt;Parámetros!$B$12,"Supera el límite de horas extras diarias",IF(C396="Cédula no registrada","Registre la cédula en «Trabajadores»","")))</f>
        <v/>
      </c>
      <c r="X396" s="20">
        <f t="shared" si="130"/>
        <v>0</v>
      </c>
      <c r="Y396" s="20">
        <f t="shared" si="131"/>
        <v>0</v>
      </c>
      <c r="Z396" s="20">
        <f t="shared" si="132"/>
        <v>0</v>
      </c>
      <c r="AA396" s="20">
        <f t="shared" si="133"/>
        <v>0</v>
      </c>
      <c r="AB396" s="20">
        <f t="shared" si="134"/>
        <v>0</v>
      </c>
      <c r="AC396" s="20">
        <f t="shared" si="135"/>
        <v>0</v>
      </c>
      <c r="AD396" s="20">
        <f>IF(A396="",21/24,MOD(VLOOKUP(A396,Parámetros!$A$24:$B$25,2,TRUE()),1))</f>
        <v>0.875</v>
      </c>
      <c r="AE396" s="5">
        <f>IF(A396="",0,IF(OR(WEEKDAY(A396,2)=7,COUNTIF(Festivos!$A$5:$A$451,A396)&gt;0),1,0))</f>
        <v>0</v>
      </c>
      <c r="AF396" s="5">
        <f>IF(A396="",0,IF(OR(WEEKDAY(A396+1,2)=7,COUNTIF(Festivos!$A$5:$A$451,A396+1)&gt;0),1,0))</f>
        <v>0</v>
      </c>
      <c r="AG396" s="9">
        <f>IF(A396="",0,VLOOKUP(A396,Parámetros!$A$18:$B$21,2,TRUE()))</f>
        <v>0</v>
      </c>
      <c r="AH396" s="20">
        <f t="shared" si="136"/>
        <v>0</v>
      </c>
      <c r="AI396" s="20">
        <f>MAX(0,MIN(AB396,Parámetros!$B$11)-MAX(X396,0))+MAX(0,MIN(AB396,1+Parámetros!$B$11)-MAX(X396,AD396))+MAX(0,MIN(AB396,2)-MAX(X396,1+AD396))</f>
        <v>0</v>
      </c>
      <c r="AJ396" s="20">
        <f t="shared" si="137"/>
        <v>0</v>
      </c>
      <c r="AK396" s="20">
        <f>AE396*(MAX(0,MIN(AB396,Parámetros!$B$11)-MAX(X396,0))+MAX(0,MIN(AB396,1)-MAX(X396,AD396)))+AF396*(MAX(0,MIN(AB396,1+Parámetros!$B$11)-MAX(X396,1))+MAX(0,MIN(AB396,2)-MAX(X396,1+AD396)))</f>
        <v>0</v>
      </c>
      <c r="AL396" s="20">
        <f t="shared" si="138"/>
        <v>0</v>
      </c>
      <c r="AM396" s="20">
        <f>MAX(0,MIN(AC396,Parámetros!$B$11)-MAX(AB396,0))+MAX(0,MIN(AC396,1+Parámetros!$B$11)-MAX(AB396,AD396))+MAX(0,MIN(AC396,2)-MAX(AB396,1+AD396))</f>
        <v>0</v>
      </c>
      <c r="AN396" s="20">
        <f t="shared" si="139"/>
        <v>0</v>
      </c>
      <c r="AO396" s="20">
        <f>AE396*(MAX(0,MIN(AC396,Parámetros!$B$11)-MAX(AB396,0))+MAX(0,MIN(AC396,1)-MAX(AB396,AD396)))+AF396*(MAX(0,MIN(AC396,1+Parámetros!$B$11)-MAX(AB396,1))+MAX(0,MIN(AC396,2)-MAX(AB396,1+AD396)))</f>
        <v>0</v>
      </c>
    </row>
    <row r="397" spans="1:41" x14ac:dyDescent="0.25">
      <c r="A397" s="15"/>
      <c r="B397" s="8"/>
      <c r="C397" s="5" t="str">
        <f>IF(B397="","",IFERROR(INDEX(Trabajadores!$B$5:$B$204,MATCH(B397,Trabajadores!$A$5:$A$204,0)),"Cédula no registrada"))</f>
        <v/>
      </c>
      <c r="D397" s="11"/>
      <c r="E397" s="11"/>
      <c r="F397" s="8"/>
      <c r="G397" s="18" t="str">
        <f>IF(A397="","",IFERROR(INDEX(Trabajadores!$E$5:$E$204,MATCH(B397,Trabajadores!$A$5:$A$204,0))/Parámetros!$B$6,0)+IF(IFERROR(INDEX(Trabajadores!$E$5:$E$204,MATCH(B397,Trabajadores!$A$5:$A$204,0)),"")="",Parámetros!$B$7,0))</f>
        <v/>
      </c>
      <c r="H397" s="5" t="str">
        <f t="shared" si="120"/>
        <v/>
      </c>
      <c r="I397" s="5" t="str">
        <f>IF(A397="","",IF(COUNTIF(Festivos!$A$5:$A$451,A397)&gt;0,"Festivo",IF(WEEKDAY(A397,2)=7,"Domingo",IF(AND(AF397=1,AC397&gt;1),IF(COUNTIF(Festivos!$A$5:$A$451,A397+1)&gt;0,"Festivo","Domingo")&amp;" desde las 00:00",""))))</f>
        <v/>
      </c>
      <c r="J397" s="19" t="str">
        <f t="shared" si="121"/>
        <v/>
      </c>
      <c r="K397" s="19" t="str">
        <f t="shared" si="122"/>
        <v/>
      </c>
      <c r="L397" s="19" t="str">
        <f t="shared" si="123"/>
        <v/>
      </c>
      <c r="M397" s="19" t="str">
        <f t="shared" si="124"/>
        <v/>
      </c>
      <c r="N397" s="19" t="str">
        <f t="shared" si="125"/>
        <v/>
      </c>
      <c r="O397" s="19" t="str">
        <f t="shared" si="126"/>
        <v/>
      </c>
      <c r="P397" s="19" t="str">
        <f t="shared" si="127"/>
        <v/>
      </c>
      <c r="Q397" s="19" t="str">
        <f t="shared" si="128"/>
        <v/>
      </c>
      <c r="R397" s="19" t="str">
        <f t="shared" si="129"/>
        <v/>
      </c>
      <c r="S397" s="17" t="str">
        <f>IF(B397="","",IFERROR(INDEX(Trabajadores!$G$5:$G$204,MATCH(B397,Trabajadores!$A$5:$A$204,0)),""))</f>
        <v/>
      </c>
      <c r="T397" s="17" t="str">
        <f>IF(OR(OR(A397="",D397="",E397=""),S397=""),"",ROUND(S397*(N(L397)*Parámetros!$B$8+N(M397)*(1+Parámetros!$B$9)+N(N397)*(1+Parámetros!$B$10)+N(O397)*(1+AG397)+N(P397)*(1+AG397+Parámetros!$B$8)+N(Q397)*(1+AG397+Parámetros!$B$9)+N(R397)*(1+AG397+Parámetros!$B$10)),0))</f>
        <v/>
      </c>
      <c r="U397" s="5" t="str">
        <f>IF(OR(A397="",D397="",E397=""),"",IF(N(M397)+N(N397)+N(Q397)+N(R397)&gt;Parámetros!$B$12,"Supera el límite de horas extras diarias",IF(C397="Cédula no registrada","Registre la cédula en «Trabajadores»","")))</f>
        <v/>
      </c>
      <c r="X397" s="20">
        <f t="shared" si="130"/>
        <v>0</v>
      </c>
      <c r="Y397" s="20">
        <f t="shared" si="131"/>
        <v>0</v>
      </c>
      <c r="Z397" s="20">
        <f t="shared" si="132"/>
        <v>0</v>
      </c>
      <c r="AA397" s="20">
        <f t="shared" si="133"/>
        <v>0</v>
      </c>
      <c r="AB397" s="20">
        <f t="shared" si="134"/>
        <v>0</v>
      </c>
      <c r="AC397" s="20">
        <f t="shared" si="135"/>
        <v>0</v>
      </c>
      <c r="AD397" s="20">
        <f>IF(A397="",21/24,MOD(VLOOKUP(A397,Parámetros!$A$24:$B$25,2,TRUE()),1))</f>
        <v>0.875</v>
      </c>
      <c r="AE397" s="5">
        <f>IF(A397="",0,IF(OR(WEEKDAY(A397,2)=7,COUNTIF(Festivos!$A$5:$A$451,A397)&gt;0),1,0))</f>
        <v>0</v>
      </c>
      <c r="AF397" s="5">
        <f>IF(A397="",0,IF(OR(WEEKDAY(A397+1,2)=7,COUNTIF(Festivos!$A$5:$A$451,A397+1)&gt;0),1,0))</f>
        <v>0</v>
      </c>
      <c r="AG397" s="9">
        <f>IF(A397="",0,VLOOKUP(A397,Parámetros!$A$18:$B$21,2,TRUE()))</f>
        <v>0</v>
      </c>
      <c r="AH397" s="20">
        <f t="shared" si="136"/>
        <v>0</v>
      </c>
      <c r="AI397" s="20">
        <f>MAX(0,MIN(AB397,Parámetros!$B$11)-MAX(X397,0))+MAX(0,MIN(AB397,1+Parámetros!$B$11)-MAX(X397,AD397))+MAX(0,MIN(AB397,2)-MAX(X397,1+AD397))</f>
        <v>0</v>
      </c>
      <c r="AJ397" s="20">
        <f t="shared" si="137"/>
        <v>0</v>
      </c>
      <c r="AK397" s="20">
        <f>AE397*(MAX(0,MIN(AB397,Parámetros!$B$11)-MAX(X397,0))+MAX(0,MIN(AB397,1)-MAX(X397,AD397)))+AF397*(MAX(0,MIN(AB397,1+Parámetros!$B$11)-MAX(X397,1))+MAX(0,MIN(AB397,2)-MAX(X397,1+AD397)))</f>
        <v>0</v>
      </c>
      <c r="AL397" s="20">
        <f t="shared" si="138"/>
        <v>0</v>
      </c>
      <c r="AM397" s="20">
        <f>MAX(0,MIN(AC397,Parámetros!$B$11)-MAX(AB397,0))+MAX(0,MIN(AC397,1+Parámetros!$B$11)-MAX(AB397,AD397))+MAX(0,MIN(AC397,2)-MAX(AB397,1+AD397))</f>
        <v>0</v>
      </c>
      <c r="AN397" s="20">
        <f t="shared" si="139"/>
        <v>0</v>
      </c>
      <c r="AO397" s="20">
        <f>AE397*(MAX(0,MIN(AC397,Parámetros!$B$11)-MAX(AB397,0))+MAX(0,MIN(AC397,1)-MAX(AB397,AD397)))+AF397*(MAX(0,MIN(AC397,1+Parámetros!$B$11)-MAX(AB397,1))+MAX(0,MIN(AC397,2)-MAX(AB397,1+AD397)))</f>
        <v>0</v>
      </c>
    </row>
    <row r="398" spans="1:41" x14ac:dyDescent="0.25">
      <c r="A398" s="15"/>
      <c r="B398" s="8"/>
      <c r="C398" s="5" t="str">
        <f>IF(B398="","",IFERROR(INDEX(Trabajadores!$B$5:$B$204,MATCH(B398,Trabajadores!$A$5:$A$204,0)),"Cédula no registrada"))</f>
        <v/>
      </c>
      <c r="D398" s="11"/>
      <c r="E398" s="11"/>
      <c r="F398" s="8"/>
      <c r="G398" s="18" t="str">
        <f>IF(A398="","",IFERROR(INDEX(Trabajadores!$E$5:$E$204,MATCH(B398,Trabajadores!$A$5:$A$204,0))/Parámetros!$B$6,0)+IF(IFERROR(INDEX(Trabajadores!$E$5:$E$204,MATCH(B398,Trabajadores!$A$5:$A$204,0)),"")="",Parámetros!$B$7,0))</f>
        <v/>
      </c>
      <c r="H398" s="5" t="str">
        <f t="shared" si="120"/>
        <v/>
      </c>
      <c r="I398" s="5" t="str">
        <f>IF(A398="","",IF(COUNTIF(Festivos!$A$5:$A$451,A398)&gt;0,"Festivo",IF(WEEKDAY(A398,2)=7,"Domingo",IF(AND(AF398=1,AC398&gt;1),IF(COUNTIF(Festivos!$A$5:$A$451,A398+1)&gt;0,"Festivo","Domingo")&amp;" desde las 00:00",""))))</f>
        <v/>
      </c>
      <c r="J398" s="19" t="str">
        <f t="shared" si="121"/>
        <v/>
      </c>
      <c r="K398" s="19" t="str">
        <f t="shared" si="122"/>
        <v/>
      </c>
      <c r="L398" s="19" t="str">
        <f t="shared" si="123"/>
        <v/>
      </c>
      <c r="M398" s="19" t="str">
        <f t="shared" si="124"/>
        <v/>
      </c>
      <c r="N398" s="19" t="str">
        <f t="shared" si="125"/>
        <v/>
      </c>
      <c r="O398" s="19" t="str">
        <f t="shared" si="126"/>
        <v/>
      </c>
      <c r="P398" s="19" t="str">
        <f t="shared" si="127"/>
        <v/>
      </c>
      <c r="Q398" s="19" t="str">
        <f t="shared" si="128"/>
        <v/>
      </c>
      <c r="R398" s="19" t="str">
        <f t="shared" si="129"/>
        <v/>
      </c>
      <c r="S398" s="17" t="str">
        <f>IF(B398="","",IFERROR(INDEX(Trabajadores!$G$5:$G$204,MATCH(B398,Trabajadores!$A$5:$A$204,0)),""))</f>
        <v/>
      </c>
      <c r="T398" s="17" t="str">
        <f>IF(OR(OR(A398="",D398="",E398=""),S398=""),"",ROUND(S398*(N(L398)*Parámetros!$B$8+N(M398)*(1+Parámetros!$B$9)+N(N398)*(1+Parámetros!$B$10)+N(O398)*(1+AG398)+N(P398)*(1+AG398+Parámetros!$B$8)+N(Q398)*(1+AG398+Parámetros!$B$9)+N(R398)*(1+AG398+Parámetros!$B$10)),0))</f>
        <v/>
      </c>
      <c r="U398" s="5" t="str">
        <f>IF(OR(A398="",D398="",E398=""),"",IF(N(M398)+N(N398)+N(Q398)+N(R398)&gt;Parámetros!$B$12,"Supera el límite de horas extras diarias",IF(C398="Cédula no registrada","Registre la cédula en «Trabajadores»","")))</f>
        <v/>
      </c>
      <c r="X398" s="20">
        <f t="shared" si="130"/>
        <v>0</v>
      </c>
      <c r="Y398" s="20">
        <f t="shared" si="131"/>
        <v>0</v>
      </c>
      <c r="Z398" s="20">
        <f t="shared" si="132"/>
        <v>0</v>
      </c>
      <c r="AA398" s="20">
        <f t="shared" si="133"/>
        <v>0</v>
      </c>
      <c r="AB398" s="20">
        <f t="shared" si="134"/>
        <v>0</v>
      </c>
      <c r="AC398" s="20">
        <f t="shared" si="135"/>
        <v>0</v>
      </c>
      <c r="AD398" s="20">
        <f>IF(A398="",21/24,MOD(VLOOKUP(A398,Parámetros!$A$24:$B$25,2,TRUE()),1))</f>
        <v>0.875</v>
      </c>
      <c r="AE398" s="5">
        <f>IF(A398="",0,IF(OR(WEEKDAY(A398,2)=7,COUNTIF(Festivos!$A$5:$A$451,A398)&gt;0),1,0))</f>
        <v>0</v>
      </c>
      <c r="AF398" s="5">
        <f>IF(A398="",0,IF(OR(WEEKDAY(A398+1,2)=7,COUNTIF(Festivos!$A$5:$A$451,A398+1)&gt;0),1,0))</f>
        <v>0</v>
      </c>
      <c r="AG398" s="9">
        <f>IF(A398="",0,VLOOKUP(A398,Parámetros!$A$18:$B$21,2,TRUE()))</f>
        <v>0</v>
      </c>
      <c r="AH398" s="20">
        <f t="shared" si="136"/>
        <v>0</v>
      </c>
      <c r="AI398" s="20">
        <f>MAX(0,MIN(AB398,Parámetros!$B$11)-MAX(X398,0))+MAX(0,MIN(AB398,1+Parámetros!$B$11)-MAX(X398,AD398))+MAX(0,MIN(AB398,2)-MAX(X398,1+AD398))</f>
        <v>0</v>
      </c>
      <c r="AJ398" s="20">
        <f t="shared" si="137"/>
        <v>0</v>
      </c>
      <c r="AK398" s="20">
        <f>AE398*(MAX(0,MIN(AB398,Parámetros!$B$11)-MAX(X398,0))+MAX(0,MIN(AB398,1)-MAX(X398,AD398)))+AF398*(MAX(0,MIN(AB398,1+Parámetros!$B$11)-MAX(X398,1))+MAX(0,MIN(AB398,2)-MAX(X398,1+AD398)))</f>
        <v>0</v>
      </c>
      <c r="AL398" s="20">
        <f t="shared" si="138"/>
        <v>0</v>
      </c>
      <c r="AM398" s="20">
        <f>MAX(0,MIN(AC398,Parámetros!$B$11)-MAX(AB398,0))+MAX(0,MIN(AC398,1+Parámetros!$B$11)-MAX(AB398,AD398))+MAX(0,MIN(AC398,2)-MAX(AB398,1+AD398))</f>
        <v>0</v>
      </c>
      <c r="AN398" s="20">
        <f t="shared" si="139"/>
        <v>0</v>
      </c>
      <c r="AO398" s="20">
        <f>AE398*(MAX(0,MIN(AC398,Parámetros!$B$11)-MAX(AB398,0))+MAX(0,MIN(AC398,1)-MAX(AB398,AD398)))+AF398*(MAX(0,MIN(AC398,1+Parámetros!$B$11)-MAX(AB398,1))+MAX(0,MIN(AC398,2)-MAX(AB398,1+AD398)))</f>
        <v>0</v>
      </c>
    </row>
    <row r="399" spans="1:41" x14ac:dyDescent="0.25">
      <c r="A399" s="15"/>
      <c r="B399" s="8"/>
      <c r="C399" s="5" t="str">
        <f>IF(B399="","",IFERROR(INDEX(Trabajadores!$B$5:$B$204,MATCH(B399,Trabajadores!$A$5:$A$204,0)),"Cédula no registrada"))</f>
        <v/>
      </c>
      <c r="D399" s="11"/>
      <c r="E399" s="11"/>
      <c r="F399" s="8"/>
      <c r="G399" s="18" t="str">
        <f>IF(A399="","",IFERROR(INDEX(Trabajadores!$E$5:$E$204,MATCH(B399,Trabajadores!$A$5:$A$204,0))/Parámetros!$B$6,0)+IF(IFERROR(INDEX(Trabajadores!$E$5:$E$204,MATCH(B399,Trabajadores!$A$5:$A$204,0)),"")="",Parámetros!$B$7,0))</f>
        <v/>
      </c>
      <c r="H399" s="5" t="str">
        <f t="shared" si="120"/>
        <v/>
      </c>
      <c r="I399" s="5" t="str">
        <f>IF(A399="","",IF(COUNTIF(Festivos!$A$5:$A$451,A399)&gt;0,"Festivo",IF(WEEKDAY(A399,2)=7,"Domingo",IF(AND(AF399=1,AC399&gt;1),IF(COUNTIF(Festivos!$A$5:$A$451,A399+1)&gt;0,"Festivo","Domingo")&amp;" desde las 00:00",""))))</f>
        <v/>
      </c>
      <c r="J399" s="19" t="str">
        <f t="shared" si="121"/>
        <v/>
      </c>
      <c r="K399" s="19" t="str">
        <f t="shared" si="122"/>
        <v/>
      </c>
      <c r="L399" s="19" t="str">
        <f t="shared" si="123"/>
        <v/>
      </c>
      <c r="M399" s="19" t="str">
        <f t="shared" si="124"/>
        <v/>
      </c>
      <c r="N399" s="19" t="str">
        <f t="shared" si="125"/>
        <v/>
      </c>
      <c r="O399" s="19" t="str">
        <f t="shared" si="126"/>
        <v/>
      </c>
      <c r="P399" s="19" t="str">
        <f t="shared" si="127"/>
        <v/>
      </c>
      <c r="Q399" s="19" t="str">
        <f t="shared" si="128"/>
        <v/>
      </c>
      <c r="R399" s="19" t="str">
        <f t="shared" si="129"/>
        <v/>
      </c>
      <c r="S399" s="17" t="str">
        <f>IF(B399="","",IFERROR(INDEX(Trabajadores!$G$5:$G$204,MATCH(B399,Trabajadores!$A$5:$A$204,0)),""))</f>
        <v/>
      </c>
      <c r="T399" s="17" t="str">
        <f>IF(OR(OR(A399="",D399="",E399=""),S399=""),"",ROUND(S399*(N(L399)*Parámetros!$B$8+N(M399)*(1+Parámetros!$B$9)+N(N399)*(1+Parámetros!$B$10)+N(O399)*(1+AG399)+N(P399)*(1+AG399+Parámetros!$B$8)+N(Q399)*(1+AG399+Parámetros!$B$9)+N(R399)*(1+AG399+Parámetros!$B$10)),0))</f>
        <v/>
      </c>
      <c r="U399" s="5" t="str">
        <f>IF(OR(A399="",D399="",E399=""),"",IF(N(M399)+N(N399)+N(Q399)+N(R399)&gt;Parámetros!$B$12,"Supera el límite de horas extras diarias",IF(C399="Cédula no registrada","Registre la cédula en «Trabajadores»","")))</f>
        <v/>
      </c>
      <c r="X399" s="20">
        <f t="shared" si="130"/>
        <v>0</v>
      </c>
      <c r="Y399" s="20">
        <f t="shared" si="131"/>
        <v>0</v>
      </c>
      <c r="Z399" s="20">
        <f t="shared" si="132"/>
        <v>0</v>
      </c>
      <c r="AA399" s="20">
        <f t="shared" si="133"/>
        <v>0</v>
      </c>
      <c r="AB399" s="20">
        <f t="shared" si="134"/>
        <v>0</v>
      </c>
      <c r="AC399" s="20">
        <f t="shared" si="135"/>
        <v>0</v>
      </c>
      <c r="AD399" s="20">
        <f>IF(A399="",21/24,MOD(VLOOKUP(A399,Parámetros!$A$24:$B$25,2,TRUE()),1))</f>
        <v>0.875</v>
      </c>
      <c r="AE399" s="5">
        <f>IF(A399="",0,IF(OR(WEEKDAY(A399,2)=7,COUNTIF(Festivos!$A$5:$A$451,A399)&gt;0),1,0))</f>
        <v>0</v>
      </c>
      <c r="AF399" s="5">
        <f>IF(A399="",0,IF(OR(WEEKDAY(A399+1,2)=7,COUNTIF(Festivos!$A$5:$A$451,A399+1)&gt;0),1,0))</f>
        <v>0</v>
      </c>
      <c r="AG399" s="9">
        <f>IF(A399="",0,VLOOKUP(A399,Parámetros!$A$18:$B$21,2,TRUE()))</f>
        <v>0</v>
      </c>
      <c r="AH399" s="20">
        <f t="shared" si="136"/>
        <v>0</v>
      </c>
      <c r="AI399" s="20">
        <f>MAX(0,MIN(AB399,Parámetros!$B$11)-MAX(X399,0))+MAX(0,MIN(AB399,1+Parámetros!$B$11)-MAX(X399,AD399))+MAX(0,MIN(AB399,2)-MAX(X399,1+AD399))</f>
        <v>0</v>
      </c>
      <c r="AJ399" s="20">
        <f t="shared" si="137"/>
        <v>0</v>
      </c>
      <c r="AK399" s="20">
        <f>AE399*(MAX(0,MIN(AB399,Parámetros!$B$11)-MAX(X399,0))+MAX(0,MIN(AB399,1)-MAX(X399,AD399)))+AF399*(MAX(0,MIN(AB399,1+Parámetros!$B$11)-MAX(X399,1))+MAX(0,MIN(AB399,2)-MAX(X399,1+AD399)))</f>
        <v>0</v>
      </c>
      <c r="AL399" s="20">
        <f t="shared" si="138"/>
        <v>0</v>
      </c>
      <c r="AM399" s="20">
        <f>MAX(0,MIN(AC399,Parámetros!$B$11)-MAX(AB399,0))+MAX(0,MIN(AC399,1+Parámetros!$B$11)-MAX(AB399,AD399))+MAX(0,MIN(AC399,2)-MAX(AB399,1+AD399))</f>
        <v>0</v>
      </c>
      <c r="AN399" s="20">
        <f t="shared" si="139"/>
        <v>0</v>
      </c>
      <c r="AO399" s="20">
        <f>AE399*(MAX(0,MIN(AC399,Parámetros!$B$11)-MAX(AB399,0))+MAX(0,MIN(AC399,1)-MAX(AB399,AD399)))+AF399*(MAX(0,MIN(AC399,1+Parámetros!$B$11)-MAX(AB399,1))+MAX(0,MIN(AC399,2)-MAX(AB399,1+AD399)))</f>
        <v>0</v>
      </c>
    </row>
    <row r="400" spans="1:41" x14ac:dyDescent="0.25">
      <c r="A400" s="15"/>
      <c r="B400" s="8"/>
      <c r="C400" s="5" t="str">
        <f>IF(B400="","",IFERROR(INDEX(Trabajadores!$B$5:$B$204,MATCH(B400,Trabajadores!$A$5:$A$204,0)),"Cédula no registrada"))</f>
        <v/>
      </c>
      <c r="D400" s="11"/>
      <c r="E400" s="11"/>
      <c r="F400" s="8"/>
      <c r="G400" s="18" t="str">
        <f>IF(A400="","",IFERROR(INDEX(Trabajadores!$E$5:$E$204,MATCH(B400,Trabajadores!$A$5:$A$204,0))/Parámetros!$B$6,0)+IF(IFERROR(INDEX(Trabajadores!$E$5:$E$204,MATCH(B400,Trabajadores!$A$5:$A$204,0)),"")="",Parámetros!$B$7,0))</f>
        <v/>
      </c>
      <c r="H400" s="5" t="str">
        <f t="shared" si="120"/>
        <v/>
      </c>
      <c r="I400" s="5" t="str">
        <f>IF(A400="","",IF(COUNTIF(Festivos!$A$5:$A$451,A400)&gt;0,"Festivo",IF(WEEKDAY(A400,2)=7,"Domingo",IF(AND(AF400=1,AC400&gt;1),IF(COUNTIF(Festivos!$A$5:$A$451,A400+1)&gt;0,"Festivo","Domingo")&amp;" desde las 00:00",""))))</f>
        <v/>
      </c>
      <c r="J400" s="19" t="str">
        <f t="shared" si="121"/>
        <v/>
      </c>
      <c r="K400" s="19" t="str">
        <f t="shared" si="122"/>
        <v/>
      </c>
      <c r="L400" s="19" t="str">
        <f t="shared" si="123"/>
        <v/>
      </c>
      <c r="M400" s="19" t="str">
        <f t="shared" si="124"/>
        <v/>
      </c>
      <c r="N400" s="19" t="str">
        <f t="shared" si="125"/>
        <v/>
      </c>
      <c r="O400" s="19" t="str">
        <f t="shared" si="126"/>
        <v/>
      </c>
      <c r="P400" s="19" t="str">
        <f t="shared" si="127"/>
        <v/>
      </c>
      <c r="Q400" s="19" t="str">
        <f t="shared" si="128"/>
        <v/>
      </c>
      <c r="R400" s="19" t="str">
        <f t="shared" si="129"/>
        <v/>
      </c>
      <c r="S400" s="17" t="str">
        <f>IF(B400="","",IFERROR(INDEX(Trabajadores!$G$5:$G$204,MATCH(B400,Trabajadores!$A$5:$A$204,0)),""))</f>
        <v/>
      </c>
      <c r="T400" s="17" t="str">
        <f>IF(OR(OR(A400="",D400="",E400=""),S400=""),"",ROUND(S400*(N(L400)*Parámetros!$B$8+N(M400)*(1+Parámetros!$B$9)+N(N400)*(1+Parámetros!$B$10)+N(O400)*(1+AG400)+N(P400)*(1+AG400+Parámetros!$B$8)+N(Q400)*(1+AG400+Parámetros!$B$9)+N(R400)*(1+AG400+Parámetros!$B$10)),0))</f>
        <v/>
      </c>
      <c r="U400" s="5" t="str">
        <f>IF(OR(A400="",D400="",E400=""),"",IF(N(M400)+N(N400)+N(Q400)+N(R400)&gt;Parámetros!$B$12,"Supera el límite de horas extras diarias",IF(C400="Cédula no registrada","Registre la cédula en «Trabajadores»","")))</f>
        <v/>
      </c>
      <c r="X400" s="20">
        <f t="shared" si="130"/>
        <v>0</v>
      </c>
      <c r="Y400" s="20">
        <f t="shared" si="131"/>
        <v>0</v>
      </c>
      <c r="Z400" s="20">
        <f t="shared" si="132"/>
        <v>0</v>
      </c>
      <c r="AA400" s="20">
        <f t="shared" si="133"/>
        <v>0</v>
      </c>
      <c r="AB400" s="20">
        <f t="shared" si="134"/>
        <v>0</v>
      </c>
      <c r="AC400" s="20">
        <f t="shared" si="135"/>
        <v>0</v>
      </c>
      <c r="AD400" s="20">
        <f>IF(A400="",21/24,MOD(VLOOKUP(A400,Parámetros!$A$24:$B$25,2,TRUE()),1))</f>
        <v>0.875</v>
      </c>
      <c r="AE400" s="5">
        <f>IF(A400="",0,IF(OR(WEEKDAY(A400,2)=7,COUNTIF(Festivos!$A$5:$A$451,A400)&gt;0),1,0))</f>
        <v>0</v>
      </c>
      <c r="AF400" s="5">
        <f>IF(A400="",0,IF(OR(WEEKDAY(A400+1,2)=7,COUNTIF(Festivos!$A$5:$A$451,A400+1)&gt;0),1,0))</f>
        <v>0</v>
      </c>
      <c r="AG400" s="9">
        <f>IF(A400="",0,VLOOKUP(A400,Parámetros!$A$18:$B$21,2,TRUE()))</f>
        <v>0</v>
      </c>
      <c r="AH400" s="20">
        <f t="shared" si="136"/>
        <v>0</v>
      </c>
      <c r="AI400" s="20">
        <f>MAX(0,MIN(AB400,Parámetros!$B$11)-MAX(X400,0))+MAX(0,MIN(AB400,1+Parámetros!$B$11)-MAX(X400,AD400))+MAX(0,MIN(AB400,2)-MAX(X400,1+AD400))</f>
        <v>0</v>
      </c>
      <c r="AJ400" s="20">
        <f t="shared" si="137"/>
        <v>0</v>
      </c>
      <c r="AK400" s="20">
        <f>AE400*(MAX(0,MIN(AB400,Parámetros!$B$11)-MAX(X400,0))+MAX(0,MIN(AB400,1)-MAX(X400,AD400)))+AF400*(MAX(0,MIN(AB400,1+Parámetros!$B$11)-MAX(X400,1))+MAX(0,MIN(AB400,2)-MAX(X400,1+AD400)))</f>
        <v>0</v>
      </c>
      <c r="AL400" s="20">
        <f t="shared" si="138"/>
        <v>0</v>
      </c>
      <c r="AM400" s="20">
        <f>MAX(0,MIN(AC400,Parámetros!$B$11)-MAX(AB400,0))+MAX(0,MIN(AC400,1+Parámetros!$B$11)-MAX(AB400,AD400))+MAX(0,MIN(AC400,2)-MAX(AB400,1+AD400))</f>
        <v>0</v>
      </c>
      <c r="AN400" s="20">
        <f t="shared" si="139"/>
        <v>0</v>
      </c>
      <c r="AO400" s="20">
        <f>AE400*(MAX(0,MIN(AC400,Parámetros!$B$11)-MAX(AB400,0))+MAX(0,MIN(AC400,1)-MAX(AB400,AD400)))+AF400*(MAX(0,MIN(AC400,1+Parámetros!$B$11)-MAX(AB400,1))+MAX(0,MIN(AC400,2)-MAX(AB400,1+AD400)))</f>
        <v>0</v>
      </c>
    </row>
    <row r="401" spans="1:41" x14ac:dyDescent="0.25">
      <c r="A401" s="15"/>
      <c r="B401" s="8"/>
      <c r="C401" s="5" t="str">
        <f>IF(B401="","",IFERROR(INDEX(Trabajadores!$B$5:$B$204,MATCH(B401,Trabajadores!$A$5:$A$204,0)),"Cédula no registrada"))</f>
        <v/>
      </c>
      <c r="D401" s="11"/>
      <c r="E401" s="11"/>
      <c r="F401" s="8"/>
      <c r="G401" s="18" t="str">
        <f>IF(A401="","",IFERROR(INDEX(Trabajadores!$E$5:$E$204,MATCH(B401,Trabajadores!$A$5:$A$204,0))/Parámetros!$B$6,0)+IF(IFERROR(INDEX(Trabajadores!$E$5:$E$204,MATCH(B401,Trabajadores!$A$5:$A$204,0)),"")="",Parámetros!$B$7,0))</f>
        <v/>
      </c>
      <c r="H401" s="5" t="str">
        <f t="shared" si="120"/>
        <v/>
      </c>
      <c r="I401" s="5" t="str">
        <f>IF(A401="","",IF(COUNTIF(Festivos!$A$5:$A$451,A401)&gt;0,"Festivo",IF(WEEKDAY(A401,2)=7,"Domingo",IF(AND(AF401=1,AC401&gt;1),IF(COUNTIF(Festivos!$A$5:$A$451,A401+1)&gt;0,"Festivo","Domingo")&amp;" desde las 00:00",""))))</f>
        <v/>
      </c>
      <c r="J401" s="19" t="str">
        <f t="shared" si="121"/>
        <v/>
      </c>
      <c r="K401" s="19" t="str">
        <f t="shared" si="122"/>
        <v/>
      </c>
      <c r="L401" s="19" t="str">
        <f t="shared" si="123"/>
        <v/>
      </c>
      <c r="M401" s="19" t="str">
        <f t="shared" si="124"/>
        <v/>
      </c>
      <c r="N401" s="19" t="str">
        <f t="shared" si="125"/>
        <v/>
      </c>
      <c r="O401" s="19" t="str">
        <f t="shared" si="126"/>
        <v/>
      </c>
      <c r="P401" s="19" t="str">
        <f t="shared" si="127"/>
        <v/>
      </c>
      <c r="Q401" s="19" t="str">
        <f t="shared" si="128"/>
        <v/>
      </c>
      <c r="R401" s="19" t="str">
        <f t="shared" si="129"/>
        <v/>
      </c>
      <c r="S401" s="17" t="str">
        <f>IF(B401="","",IFERROR(INDEX(Trabajadores!$G$5:$G$204,MATCH(B401,Trabajadores!$A$5:$A$204,0)),""))</f>
        <v/>
      </c>
      <c r="T401" s="17" t="str">
        <f>IF(OR(OR(A401="",D401="",E401=""),S401=""),"",ROUND(S401*(N(L401)*Parámetros!$B$8+N(M401)*(1+Parámetros!$B$9)+N(N401)*(1+Parámetros!$B$10)+N(O401)*(1+AG401)+N(P401)*(1+AG401+Parámetros!$B$8)+N(Q401)*(1+AG401+Parámetros!$B$9)+N(R401)*(1+AG401+Parámetros!$B$10)),0))</f>
        <v/>
      </c>
      <c r="U401" s="5" t="str">
        <f>IF(OR(A401="",D401="",E401=""),"",IF(N(M401)+N(N401)+N(Q401)+N(R401)&gt;Parámetros!$B$12,"Supera el límite de horas extras diarias",IF(C401="Cédula no registrada","Registre la cédula en «Trabajadores»","")))</f>
        <v/>
      </c>
      <c r="X401" s="20">
        <f t="shared" si="130"/>
        <v>0</v>
      </c>
      <c r="Y401" s="20">
        <f t="shared" si="131"/>
        <v>0</v>
      </c>
      <c r="Z401" s="20">
        <f t="shared" si="132"/>
        <v>0</v>
      </c>
      <c r="AA401" s="20">
        <f t="shared" si="133"/>
        <v>0</v>
      </c>
      <c r="AB401" s="20">
        <f t="shared" si="134"/>
        <v>0</v>
      </c>
      <c r="AC401" s="20">
        <f t="shared" si="135"/>
        <v>0</v>
      </c>
      <c r="AD401" s="20">
        <f>IF(A401="",21/24,MOD(VLOOKUP(A401,Parámetros!$A$24:$B$25,2,TRUE()),1))</f>
        <v>0.875</v>
      </c>
      <c r="AE401" s="5">
        <f>IF(A401="",0,IF(OR(WEEKDAY(A401,2)=7,COUNTIF(Festivos!$A$5:$A$451,A401)&gt;0),1,0))</f>
        <v>0</v>
      </c>
      <c r="AF401" s="5">
        <f>IF(A401="",0,IF(OR(WEEKDAY(A401+1,2)=7,COUNTIF(Festivos!$A$5:$A$451,A401+1)&gt;0),1,0))</f>
        <v>0</v>
      </c>
      <c r="AG401" s="9">
        <f>IF(A401="",0,VLOOKUP(A401,Parámetros!$A$18:$B$21,2,TRUE()))</f>
        <v>0</v>
      </c>
      <c r="AH401" s="20">
        <f t="shared" si="136"/>
        <v>0</v>
      </c>
      <c r="AI401" s="20">
        <f>MAX(0,MIN(AB401,Parámetros!$B$11)-MAX(X401,0))+MAX(0,MIN(AB401,1+Parámetros!$B$11)-MAX(X401,AD401))+MAX(0,MIN(AB401,2)-MAX(X401,1+AD401))</f>
        <v>0</v>
      </c>
      <c r="AJ401" s="20">
        <f t="shared" si="137"/>
        <v>0</v>
      </c>
      <c r="AK401" s="20">
        <f>AE401*(MAX(0,MIN(AB401,Parámetros!$B$11)-MAX(X401,0))+MAX(0,MIN(AB401,1)-MAX(X401,AD401)))+AF401*(MAX(0,MIN(AB401,1+Parámetros!$B$11)-MAX(X401,1))+MAX(0,MIN(AB401,2)-MAX(X401,1+AD401)))</f>
        <v>0</v>
      </c>
      <c r="AL401" s="20">
        <f t="shared" si="138"/>
        <v>0</v>
      </c>
      <c r="AM401" s="20">
        <f>MAX(0,MIN(AC401,Parámetros!$B$11)-MAX(AB401,0))+MAX(0,MIN(AC401,1+Parámetros!$B$11)-MAX(AB401,AD401))+MAX(0,MIN(AC401,2)-MAX(AB401,1+AD401))</f>
        <v>0</v>
      </c>
      <c r="AN401" s="20">
        <f t="shared" si="139"/>
        <v>0</v>
      </c>
      <c r="AO401" s="20">
        <f>AE401*(MAX(0,MIN(AC401,Parámetros!$B$11)-MAX(AB401,0))+MAX(0,MIN(AC401,1)-MAX(AB401,AD401)))+AF401*(MAX(0,MIN(AC401,1+Parámetros!$B$11)-MAX(AB401,1))+MAX(0,MIN(AC401,2)-MAX(AB401,1+AD401)))</f>
        <v>0</v>
      </c>
    </row>
    <row r="402" spans="1:41" x14ac:dyDescent="0.25">
      <c r="A402" s="15"/>
      <c r="B402" s="8"/>
      <c r="C402" s="5" t="str">
        <f>IF(B402="","",IFERROR(INDEX(Trabajadores!$B$5:$B$204,MATCH(B402,Trabajadores!$A$5:$A$204,0)),"Cédula no registrada"))</f>
        <v/>
      </c>
      <c r="D402" s="11"/>
      <c r="E402" s="11"/>
      <c r="F402" s="8"/>
      <c r="G402" s="18" t="str">
        <f>IF(A402="","",IFERROR(INDEX(Trabajadores!$E$5:$E$204,MATCH(B402,Trabajadores!$A$5:$A$204,0))/Parámetros!$B$6,0)+IF(IFERROR(INDEX(Trabajadores!$E$5:$E$204,MATCH(B402,Trabajadores!$A$5:$A$204,0)),"")="",Parámetros!$B$7,0))</f>
        <v/>
      </c>
      <c r="H402" s="5" t="str">
        <f t="shared" si="120"/>
        <v/>
      </c>
      <c r="I402" s="5" t="str">
        <f>IF(A402="","",IF(COUNTIF(Festivos!$A$5:$A$451,A402)&gt;0,"Festivo",IF(WEEKDAY(A402,2)=7,"Domingo",IF(AND(AF402=1,AC402&gt;1),IF(COUNTIF(Festivos!$A$5:$A$451,A402+1)&gt;0,"Festivo","Domingo")&amp;" desde las 00:00",""))))</f>
        <v/>
      </c>
      <c r="J402" s="19" t="str">
        <f t="shared" si="121"/>
        <v/>
      </c>
      <c r="K402" s="19" t="str">
        <f t="shared" si="122"/>
        <v/>
      </c>
      <c r="L402" s="19" t="str">
        <f t="shared" si="123"/>
        <v/>
      </c>
      <c r="M402" s="19" t="str">
        <f t="shared" si="124"/>
        <v/>
      </c>
      <c r="N402" s="19" t="str">
        <f t="shared" si="125"/>
        <v/>
      </c>
      <c r="O402" s="19" t="str">
        <f t="shared" si="126"/>
        <v/>
      </c>
      <c r="P402" s="19" t="str">
        <f t="shared" si="127"/>
        <v/>
      </c>
      <c r="Q402" s="19" t="str">
        <f t="shared" si="128"/>
        <v/>
      </c>
      <c r="R402" s="19" t="str">
        <f t="shared" si="129"/>
        <v/>
      </c>
      <c r="S402" s="17" t="str">
        <f>IF(B402="","",IFERROR(INDEX(Trabajadores!$G$5:$G$204,MATCH(B402,Trabajadores!$A$5:$A$204,0)),""))</f>
        <v/>
      </c>
      <c r="T402" s="17" t="str">
        <f>IF(OR(OR(A402="",D402="",E402=""),S402=""),"",ROUND(S402*(N(L402)*Parámetros!$B$8+N(M402)*(1+Parámetros!$B$9)+N(N402)*(1+Parámetros!$B$10)+N(O402)*(1+AG402)+N(P402)*(1+AG402+Parámetros!$B$8)+N(Q402)*(1+AG402+Parámetros!$B$9)+N(R402)*(1+AG402+Parámetros!$B$10)),0))</f>
        <v/>
      </c>
      <c r="U402" s="5" t="str">
        <f>IF(OR(A402="",D402="",E402=""),"",IF(N(M402)+N(N402)+N(Q402)+N(R402)&gt;Parámetros!$B$12,"Supera el límite de horas extras diarias",IF(C402="Cédula no registrada","Registre la cédula en «Trabajadores»","")))</f>
        <v/>
      </c>
      <c r="X402" s="20">
        <f t="shared" si="130"/>
        <v>0</v>
      </c>
      <c r="Y402" s="20">
        <f t="shared" si="131"/>
        <v>0</v>
      </c>
      <c r="Z402" s="20">
        <f t="shared" si="132"/>
        <v>0</v>
      </c>
      <c r="AA402" s="20">
        <f t="shared" si="133"/>
        <v>0</v>
      </c>
      <c r="AB402" s="20">
        <f t="shared" si="134"/>
        <v>0</v>
      </c>
      <c r="AC402" s="20">
        <f t="shared" si="135"/>
        <v>0</v>
      </c>
      <c r="AD402" s="20">
        <f>IF(A402="",21/24,MOD(VLOOKUP(A402,Parámetros!$A$24:$B$25,2,TRUE()),1))</f>
        <v>0.875</v>
      </c>
      <c r="AE402" s="5">
        <f>IF(A402="",0,IF(OR(WEEKDAY(A402,2)=7,COUNTIF(Festivos!$A$5:$A$451,A402)&gt;0),1,0))</f>
        <v>0</v>
      </c>
      <c r="AF402" s="5">
        <f>IF(A402="",0,IF(OR(WEEKDAY(A402+1,2)=7,COUNTIF(Festivos!$A$5:$A$451,A402+1)&gt;0),1,0))</f>
        <v>0</v>
      </c>
      <c r="AG402" s="9">
        <f>IF(A402="",0,VLOOKUP(A402,Parámetros!$A$18:$B$21,2,TRUE()))</f>
        <v>0</v>
      </c>
      <c r="AH402" s="20">
        <f t="shared" si="136"/>
        <v>0</v>
      </c>
      <c r="AI402" s="20">
        <f>MAX(0,MIN(AB402,Parámetros!$B$11)-MAX(X402,0))+MAX(0,MIN(AB402,1+Parámetros!$B$11)-MAX(X402,AD402))+MAX(0,MIN(AB402,2)-MAX(X402,1+AD402))</f>
        <v>0</v>
      </c>
      <c r="AJ402" s="20">
        <f t="shared" si="137"/>
        <v>0</v>
      </c>
      <c r="AK402" s="20">
        <f>AE402*(MAX(0,MIN(AB402,Parámetros!$B$11)-MAX(X402,0))+MAX(0,MIN(AB402,1)-MAX(X402,AD402)))+AF402*(MAX(0,MIN(AB402,1+Parámetros!$B$11)-MAX(X402,1))+MAX(0,MIN(AB402,2)-MAX(X402,1+AD402)))</f>
        <v>0</v>
      </c>
      <c r="AL402" s="20">
        <f t="shared" si="138"/>
        <v>0</v>
      </c>
      <c r="AM402" s="20">
        <f>MAX(0,MIN(AC402,Parámetros!$B$11)-MAX(AB402,0))+MAX(0,MIN(AC402,1+Parámetros!$B$11)-MAX(AB402,AD402))+MAX(0,MIN(AC402,2)-MAX(AB402,1+AD402))</f>
        <v>0</v>
      </c>
      <c r="AN402" s="20">
        <f t="shared" si="139"/>
        <v>0</v>
      </c>
      <c r="AO402" s="20">
        <f>AE402*(MAX(0,MIN(AC402,Parámetros!$B$11)-MAX(AB402,0))+MAX(0,MIN(AC402,1)-MAX(AB402,AD402)))+AF402*(MAX(0,MIN(AC402,1+Parámetros!$B$11)-MAX(AB402,1))+MAX(0,MIN(AC402,2)-MAX(AB402,1+AD402)))</f>
        <v>0</v>
      </c>
    </row>
    <row r="403" spans="1:41" x14ac:dyDescent="0.25">
      <c r="A403" s="15"/>
      <c r="B403" s="8"/>
      <c r="C403" s="5" t="str">
        <f>IF(B403="","",IFERROR(INDEX(Trabajadores!$B$5:$B$204,MATCH(B403,Trabajadores!$A$5:$A$204,0)),"Cédula no registrada"))</f>
        <v/>
      </c>
      <c r="D403" s="11"/>
      <c r="E403" s="11"/>
      <c r="F403" s="8"/>
      <c r="G403" s="18" t="str">
        <f>IF(A403="","",IFERROR(INDEX(Trabajadores!$E$5:$E$204,MATCH(B403,Trabajadores!$A$5:$A$204,0))/Parámetros!$B$6,0)+IF(IFERROR(INDEX(Trabajadores!$E$5:$E$204,MATCH(B403,Trabajadores!$A$5:$A$204,0)),"")="",Parámetros!$B$7,0))</f>
        <v/>
      </c>
      <c r="H403" s="5" t="str">
        <f t="shared" si="120"/>
        <v/>
      </c>
      <c r="I403" s="5" t="str">
        <f>IF(A403="","",IF(COUNTIF(Festivos!$A$5:$A$451,A403)&gt;0,"Festivo",IF(WEEKDAY(A403,2)=7,"Domingo",IF(AND(AF403=1,AC403&gt;1),IF(COUNTIF(Festivos!$A$5:$A$451,A403+1)&gt;0,"Festivo","Domingo")&amp;" desde las 00:00",""))))</f>
        <v/>
      </c>
      <c r="J403" s="19" t="str">
        <f t="shared" si="121"/>
        <v/>
      </c>
      <c r="K403" s="19" t="str">
        <f t="shared" si="122"/>
        <v/>
      </c>
      <c r="L403" s="19" t="str">
        <f t="shared" si="123"/>
        <v/>
      </c>
      <c r="M403" s="19" t="str">
        <f t="shared" si="124"/>
        <v/>
      </c>
      <c r="N403" s="19" t="str">
        <f t="shared" si="125"/>
        <v/>
      </c>
      <c r="O403" s="19" t="str">
        <f t="shared" si="126"/>
        <v/>
      </c>
      <c r="P403" s="19" t="str">
        <f t="shared" si="127"/>
        <v/>
      </c>
      <c r="Q403" s="19" t="str">
        <f t="shared" si="128"/>
        <v/>
      </c>
      <c r="R403" s="19" t="str">
        <f t="shared" si="129"/>
        <v/>
      </c>
      <c r="S403" s="17" t="str">
        <f>IF(B403="","",IFERROR(INDEX(Trabajadores!$G$5:$G$204,MATCH(B403,Trabajadores!$A$5:$A$204,0)),""))</f>
        <v/>
      </c>
      <c r="T403" s="17" t="str">
        <f>IF(OR(OR(A403="",D403="",E403=""),S403=""),"",ROUND(S403*(N(L403)*Parámetros!$B$8+N(M403)*(1+Parámetros!$B$9)+N(N403)*(1+Parámetros!$B$10)+N(O403)*(1+AG403)+N(P403)*(1+AG403+Parámetros!$B$8)+N(Q403)*(1+AG403+Parámetros!$B$9)+N(R403)*(1+AG403+Parámetros!$B$10)),0))</f>
        <v/>
      </c>
      <c r="U403" s="5" t="str">
        <f>IF(OR(A403="",D403="",E403=""),"",IF(N(M403)+N(N403)+N(Q403)+N(R403)&gt;Parámetros!$B$12,"Supera el límite de horas extras diarias",IF(C403="Cédula no registrada","Registre la cédula en «Trabajadores»","")))</f>
        <v/>
      </c>
      <c r="X403" s="20">
        <f t="shared" si="130"/>
        <v>0</v>
      </c>
      <c r="Y403" s="20">
        <f t="shared" si="131"/>
        <v>0</v>
      </c>
      <c r="Z403" s="20">
        <f t="shared" si="132"/>
        <v>0</v>
      </c>
      <c r="AA403" s="20">
        <f t="shared" si="133"/>
        <v>0</v>
      </c>
      <c r="AB403" s="20">
        <f t="shared" si="134"/>
        <v>0</v>
      </c>
      <c r="AC403" s="20">
        <f t="shared" si="135"/>
        <v>0</v>
      </c>
      <c r="AD403" s="20">
        <f>IF(A403="",21/24,MOD(VLOOKUP(A403,Parámetros!$A$24:$B$25,2,TRUE()),1))</f>
        <v>0.875</v>
      </c>
      <c r="AE403" s="5">
        <f>IF(A403="",0,IF(OR(WEEKDAY(A403,2)=7,COUNTIF(Festivos!$A$5:$A$451,A403)&gt;0),1,0))</f>
        <v>0</v>
      </c>
      <c r="AF403" s="5">
        <f>IF(A403="",0,IF(OR(WEEKDAY(A403+1,2)=7,COUNTIF(Festivos!$A$5:$A$451,A403+1)&gt;0),1,0))</f>
        <v>0</v>
      </c>
      <c r="AG403" s="9">
        <f>IF(A403="",0,VLOOKUP(A403,Parámetros!$A$18:$B$21,2,TRUE()))</f>
        <v>0</v>
      </c>
      <c r="AH403" s="20">
        <f t="shared" si="136"/>
        <v>0</v>
      </c>
      <c r="AI403" s="20">
        <f>MAX(0,MIN(AB403,Parámetros!$B$11)-MAX(X403,0))+MAX(0,MIN(AB403,1+Parámetros!$B$11)-MAX(X403,AD403))+MAX(0,MIN(AB403,2)-MAX(X403,1+AD403))</f>
        <v>0</v>
      </c>
      <c r="AJ403" s="20">
        <f t="shared" si="137"/>
        <v>0</v>
      </c>
      <c r="AK403" s="20">
        <f>AE403*(MAX(0,MIN(AB403,Parámetros!$B$11)-MAX(X403,0))+MAX(0,MIN(AB403,1)-MAX(X403,AD403)))+AF403*(MAX(0,MIN(AB403,1+Parámetros!$B$11)-MAX(X403,1))+MAX(0,MIN(AB403,2)-MAX(X403,1+AD403)))</f>
        <v>0</v>
      </c>
      <c r="AL403" s="20">
        <f t="shared" si="138"/>
        <v>0</v>
      </c>
      <c r="AM403" s="20">
        <f>MAX(0,MIN(AC403,Parámetros!$B$11)-MAX(AB403,0))+MAX(0,MIN(AC403,1+Parámetros!$B$11)-MAX(AB403,AD403))+MAX(0,MIN(AC403,2)-MAX(AB403,1+AD403))</f>
        <v>0</v>
      </c>
      <c r="AN403" s="20">
        <f t="shared" si="139"/>
        <v>0</v>
      </c>
      <c r="AO403" s="20">
        <f>AE403*(MAX(0,MIN(AC403,Parámetros!$B$11)-MAX(AB403,0))+MAX(0,MIN(AC403,1)-MAX(AB403,AD403)))+AF403*(MAX(0,MIN(AC403,1+Parámetros!$B$11)-MAX(AB403,1))+MAX(0,MIN(AC403,2)-MAX(AB403,1+AD403)))</f>
        <v>0</v>
      </c>
    </row>
    <row r="404" spans="1:41" x14ac:dyDescent="0.25">
      <c r="A404" s="15"/>
      <c r="B404" s="8"/>
      <c r="C404" s="5" t="str">
        <f>IF(B404="","",IFERROR(INDEX(Trabajadores!$B$5:$B$204,MATCH(B404,Trabajadores!$A$5:$A$204,0)),"Cédula no registrada"))</f>
        <v/>
      </c>
      <c r="D404" s="11"/>
      <c r="E404" s="11"/>
      <c r="F404" s="8"/>
      <c r="G404" s="18" t="str">
        <f>IF(A404="","",IFERROR(INDEX(Trabajadores!$E$5:$E$204,MATCH(B404,Trabajadores!$A$5:$A$204,0))/Parámetros!$B$6,0)+IF(IFERROR(INDEX(Trabajadores!$E$5:$E$204,MATCH(B404,Trabajadores!$A$5:$A$204,0)),"")="",Parámetros!$B$7,0))</f>
        <v/>
      </c>
      <c r="H404" s="5" t="str">
        <f t="shared" si="120"/>
        <v/>
      </c>
      <c r="I404" s="5" t="str">
        <f>IF(A404="","",IF(COUNTIF(Festivos!$A$5:$A$451,A404)&gt;0,"Festivo",IF(WEEKDAY(A404,2)=7,"Domingo",IF(AND(AF404=1,AC404&gt;1),IF(COUNTIF(Festivos!$A$5:$A$451,A404+1)&gt;0,"Festivo","Domingo")&amp;" desde las 00:00",""))))</f>
        <v/>
      </c>
      <c r="J404" s="19" t="str">
        <f t="shared" si="121"/>
        <v/>
      </c>
      <c r="K404" s="19" t="str">
        <f t="shared" si="122"/>
        <v/>
      </c>
      <c r="L404" s="19" t="str">
        <f t="shared" si="123"/>
        <v/>
      </c>
      <c r="M404" s="19" t="str">
        <f t="shared" si="124"/>
        <v/>
      </c>
      <c r="N404" s="19" t="str">
        <f t="shared" si="125"/>
        <v/>
      </c>
      <c r="O404" s="19" t="str">
        <f t="shared" si="126"/>
        <v/>
      </c>
      <c r="P404" s="19" t="str">
        <f t="shared" si="127"/>
        <v/>
      </c>
      <c r="Q404" s="19" t="str">
        <f t="shared" si="128"/>
        <v/>
      </c>
      <c r="R404" s="19" t="str">
        <f t="shared" si="129"/>
        <v/>
      </c>
      <c r="S404" s="17" t="str">
        <f>IF(B404="","",IFERROR(INDEX(Trabajadores!$G$5:$G$204,MATCH(B404,Trabajadores!$A$5:$A$204,0)),""))</f>
        <v/>
      </c>
      <c r="T404" s="17" t="str">
        <f>IF(OR(OR(A404="",D404="",E404=""),S404=""),"",ROUND(S404*(N(L404)*Parámetros!$B$8+N(M404)*(1+Parámetros!$B$9)+N(N404)*(1+Parámetros!$B$10)+N(O404)*(1+AG404)+N(P404)*(1+AG404+Parámetros!$B$8)+N(Q404)*(1+AG404+Parámetros!$B$9)+N(R404)*(1+AG404+Parámetros!$B$10)),0))</f>
        <v/>
      </c>
      <c r="U404" s="5" t="str">
        <f>IF(OR(A404="",D404="",E404=""),"",IF(N(M404)+N(N404)+N(Q404)+N(R404)&gt;Parámetros!$B$12,"Supera el límite de horas extras diarias",IF(C404="Cédula no registrada","Registre la cédula en «Trabajadores»","")))</f>
        <v/>
      </c>
      <c r="X404" s="20">
        <f t="shared" si="130"/>
        <v>0</v>
      </c>
      <c r="Y404" s="20">
        <f t="shared" si="131"/>
        <v>0</v>
      </c>
      <c r="Z404" s="20">
        <f t="shared" si="132"/>
        <v>0</v>
      </c>
      <c r="AA404" s="20">
        <f t="shared" si="133"/>
        <v>0</v>
      </c>
      <c r="AB404" s="20">
        <f t="shared" si="134"/>
        <v>0</v>
      </c>
      <c r="AC404" s="20">
        <f t="shared" si="135"/>
        <v>0</v>
      </c>
      <c r="AD404" s="20">
        <f>IF(A404="",21/24,MOD(VLOOKUP(A404,Parámetros!$A$24:$B$25,2,TRUE()),1))</f>
        <v>0.875</v>
      </c>
      <c r="AE404" s="5">
        <f>IF(A404="",0,IF(OR(WEEKDAY(A404,2)=7,COUNTIF(Festivos!$A$5:$A$451,A404)&gt;0),1,0))</f>
        <v>0</v>
      </c>
      <c r="AF404" s="5">
        <f>IF(A404="",0,IF(OR(WEEKDAY(A404+1,2)=7,COUNTIF(Festivos!$A$5:$A$451,A404+1)&gt;0),1,0))</f>
        <v>0</v>
      </c>
      <c r="AG404" s="9">
        <f>IF(A404="",0,VLOOKUP(A404,Parámetros!$A$18:$B$21,2,TRUE()))</f>
        <v>0</v>
      </c>
      <c r="AH404" s="20">
        <f t="shared" si="136"/>
        <v>0</v>
      </c>
      <c r="AI404" s="20">
        <f>MAX(0,MIN(AB404,Parámetros!$B$11)-MAX(X404,0))+MAX(0,MIN(AB404,1+Parámetros!$B$11)-MAX(X404,AD404))+MAX(0,MIN(AB404,2)-MAX(X404,1+AD404))</f>
        <v>0</v>
      </c>
      <c r="AJ404" s="20">
        <f t="shared" si="137"/>
        <v>0</v>
      </c>
      <c r="AK404" s="20">
        <f>AE404*(MAX(0,MIN(AB404,Parámetros!$B$11)-MAX(X404,0))+MAX(0,MIN(AB404,1)-MAX(X404,AD404)))+AF404*(MAX(0,MIN(AB404,1+Parámetros!$B$11)-MAX(X404,1))+MAX(0,MIN(AB404,2)-MAX(X404,1+AD404)))</f>
        <v>0</v>
      </c>
      <c r="AL404" s="20">
        <f t="shared" si="138"/>
        <v>0</v>
      </c>
      <c r="AM404" s="20">
        <f>MAX(0,MIN(AC404,Parámetros!$B$11)-MAX(AB404,0))+MAX(0,MIN(AC404,1+Parámetros!$B$11)-MAX(AB404,AD404))+MAX(0,MIN(AC404,2)-MAX(AB404,1+AD404))</f>
        <v>0</v>
      </c>
      <c r="AN404" s="20">
        <f t="shared" si="139"/>
        <v>0</v>
      </c>
      <c r="AO404" s="20">
        <f>AE404*(MAX(0,MIN(AC404,Parámetros!$B$11)-MAX(AB404,0))+MAX(0,MIN(AC404,1)-MAX(AB404,AD404)))+AF404*(MAX(0,MIN(AC404,1+Parámetros!$B$11)-MAX(AB404,1))+MAX(0,MIN(AC404,2)-MAX(AB404,1+AD404)))</f>
        <v>0</v>
      </c>
    </row>
    <row r="405" spans="1:41" x14ac:dyDescent="0.25">
      <c r="A405" s="15"/>
      <c r="B405" s="8"/>
      <c r="C405" s="5" t="str">
        <f>IF(B405="","",IFERROR(INDEX(Trabajadores!$B$5:$B$204,MATCH(B405,Trabajadores!$A$5:$A$204,0)),"Cédula no registrada"))</f>
        <v/>
      </c>
      <c r="D405" s="11"/>
      <c r="E405" s="11"/>
      <c r="F405" s="8"/>
      <c r="G405" s="18" t="str">
        <f>IF(A405="","",IFERROR(INDEX(Trabajadores!$E$5:$E$204,MATCH(B405,Trabajadores!$A$5:$A$204,0))/Parámetros!$B$6,0)+IF(IFERROR(INDEX(Trabajadores!$E$5:$E$204,MATCH(B405,Trabajadores!$A$5:$A$204,0)),"")="",Parámetros!$B$7,0))</f>
        <v/>
      </c>
      <c r="H405" s="5" t="str">
        <f t="shared" si="120"/>
        <v/>
      </c>
      <c r="I405" s="5" t="str">
        <f>IF(A405="","",IF(COUNTIF(Festivos!$A$5:$A$451,A405)&gt;0,"Festivo",IF(WEEKDAY(A405,2)=7,"Domingo",IF(AND(AF405=1,AC405&gt;1),IF(COUNTIF(Festivos!$A$5:$A$451,A405+1)&gt;0,"Festivo","Domingo")&amp;" desde las 00:00",""))))</f>
        <v/>
      </c>
      <c r="J405" s="19" t="str">
        <f t="shared" si="121"/>
        <v/>
      </c>
      <c r="K405" s="19" t="str">
        <f t="shared" si="122"/>
        <v/>
      </c>
      <c r="L405" s="19" t="str">
        <f t="shared" si="123"/>
        <v/>
      </c>
      <c r="M405" s="19" t="str">
        <f t="shared" si="124"/>
        <v/>
      </c>
      <c r="N405" s="19" t="str">
        <f t="shared" si="125"/>
        <v/>
      </c>
      <c r="O405" s="19" t="str">
        <f t="shared" si="126"/>
        <v/>
      </c>
      <c r="P405" s="19" t="str">
        <f t="shared" si="127"/>
        <v/>
      </c>
      <c r="Q405" s="19" t="str">
        <f t="shared" si="128"/>
        <v/>
      </c>
      <c r="R405" s="19" t="str">
        <f t="shared" si="129"/>
        <v/>
      </c>
      <c r="S405" s="17" t="str">
        <f>IF(B405="","",IFERROR(INDEX(Trabajadores!$G$5:$G$204,MATCH(B405,Trabajadores!$A$5:$A$204,0)),""))</f>
        <v/>
      </c>
      <c r="T405" s="17" t="str">
        <f>IF(OR(OR(A405="",D405="",E405=""),S405=""),"",ROUND(S405*(N(L405)*Parámetros!$B$8+N(M405)*(1+Parámetros!$B$9)+N(N405)*(1+Parámetros!$B$10)+N(O405)*(1+AG405)+N(P405)*(1+AG405+Parámetros!$B$8)+N(Q405)*(1+AG405+Parámetros!$B$9)+N(R405)*(1+AG405+Parámetros!$B$10)),0))</f>
        <v/>
      </c>
      <c r="U405" s="5" t="str">
        <f>IF(OR(A405="",D405="",E405=""),"",IF(N(M405)+N(N405)+N(Q405)+N(R405)&gt;Parámetros!$B$12,"Supera el límite de horas extras diarias",IF(C405="Cédula no registrada","Registre la cédula en «Trabajadores»","")))</f>
        <v/>
      </c>
      <c r="X405" s="20">
        <f t="shared" si="130"/>
        <v>0</v>
      </c>
      <c r="Y405" s="20">
        <f t="shared" si="131"/>
        <v>0</v>
      </c>
      <c r="Z405" s="20">
        <f t="shared" si="132"/>
        <v>0</v>
      </c>
      <c r="AA405" s="20">
        <f t="shared" si="133"/>
        <v>0</v>
      </c>
      <c r="AB405" s="20">
        <f t="shared" si="134"/>
        <v>0</v>
      </c>
      <c r="AC405" s="20">
        <f t="shared" si="135"/>
        <v>0</v>
      </c>
      <c r="AD405" s="20">
        <f>IF(A405="",21/24,MOD(VLOOKUP(A405,Parámetros!$A$24:$B$25,2,TRUE()),1))</f>
        <v>0.875</v>
      </c>
      <c r="AE405" s="5">
        <f>IF(A405="",0,IF(OR(WEEKDAY(A405,2)=7,COUNTIF(Festivos!$A$5:$A$451,A405)&gt;0),1,0))</f>
        <v>0</v>
      </c>
      <c r="AF405" s="5">
        <f>IF(A405="",0,IF(OR(WEEKDAY(A405+1,2)=7,COUNTIF(Festivos!$A$5:$A$451,A405+1)&gt;0),1,0))</f>
        <v>0</v>
      </c>
      <c r="AG405" s="9">
        <f>IF(A405="",0,VLOOKUP(A405,Parámetros!$A$18:$B$21,2,TRUE()))</f>
        <v>0</v>
      </c>
      <c r="AH405" s="20">
        <f t="shared" si="136"/>
        <v>0</v>
      </c>
      <c r="AI405" s="20">
        <f>MAX(0,MIN(AB405,Parámetros!$B$11)-MAX(X405,0))+MAX(0,MIN(AB405,1+Parámetros!$B$11)-MAX(X405,AD405))+MAX(0,MIN(AB405,2)-MAX(X405,1+AD405))</f>
        <v>0</v>
      </c>
      <c r="AJ405" s="20">
        <f t="shared" si="137"/>
        <v>0</v>
      </c>
      <c r="AK405" s="20">
        <f>AE405*(MAX(0,MIN(AB405,Parámetros!$B$11)-MAX(X405,0))+MAX(0,MIN(AB405,1)-MAX(X405,AD405)))+AF405*(MAX(0,MIN(AB405,1+Parámetros!$B$11)-MAX(X405,1))+MAX(0,MIN(AB405,2)-MAX(X405,1+AD405)))</f>
        <v>0</v>
      </c>
      <c r="AL405" s="20">
        <f t="shared" si="138"/>
        <v>0</v>
      </c>
      <c r="AM405" s="20">
        <f>MAX(0,MIN(AC405,Parámetros!$B$11)-MAX(AB405,0))+MAX(0,MIN(AC405,1+Parámetros!$B$11)-MAX(AB405,AD405))+MAX(0,MIN(AC405,2)-MAX(AB405,1+AD405))</f>
        <v>0</v>
      </c>
      <c r="AN405" s="20">
        <f t="shared" si="139"/>
        <v>0</v>
      </c>
      <c r="AO405" s="20">
        <f>AE405*(MAX(0,MIN(AC405,Parámetros!$B$11)-MAX(AB405,0))+MAX(0,MIN(AC405,1)-MAX(AB405,AD405)))+AF405*(MAX(0,MIN(AC405,1+Parámetros!$B$11)-MAX(AB405,1))+MAX(0,MIN(AC405,2)-MAX(AB405,1+AD405)))</f>
        <v>0</v>
      </c>
    </row>
    <row r="406" spans="1:41" x14ac:dyDescent="0.25">
      <c r="A406" s="15"/>
      <c r="B406" s="8"/>
      <c r="C406" s="5" t="str">
        <f>IF(B406="","",IFERROR(INDEX(Trabajadores!$B$5:$B$204,MATCH(B406,Trabajadores!$A$5:$A$204,0)),"Cédula no registrada"))</f>
        <v/>
      </c>
      <c r="D406" s="11"/>
      <c r="E406" s="11"/>
      <c r="F406" s="8"/>
      <c r="G406" s="18" t="str">
        <f>IF(A406="","",IFERROR(INDEX(Trabajadores!$E$5:$E$204,MATCH(B406,Trabajadores!$A$5:$A$204,0))/Parámetros!$B$6,0)+IF(IFERROR(INDEX(Trabajadores!$E$5:$E$204,MATCH(B406,Trabajadores!$A$5:$A$204,0)),"")="",Parámetros!$B$7,0))</f>
        <v/>
      </c>
      <c r="H406" s="5" t="str">
        <f t="shared" si="120"/>
        <v/>
      </c>
      <c r="I406" s="5" t="str">
        <f>IF(A406="","",IF(COUNTIF(Festivos!$A$5:$A$451,A406)&gt;0,"Festivo",IF(WEEKDAY(A406,2)=7,"Domingo",IF(AND(AF406=1,AC406&gt;1),IF(COUNTIF(Festivos!$A$5:$A$451,A406+1)&gt;0,"Festivo","Domingo")&amp;" desde las 00:00",""))))</f>
        <v/>
      </c>
      <c r="J406" s="19" t="str">
        <f t="shared" si="121"/>
        <v/>
      </c>
      <c r="K406" s="19" t="str">
        <f t="shared" si="122"/>
        <v/>
      </c>
      <c r="L406" s="19" t="str">
        <f t="shared" si="123"/>
        <v/>
      </c>
      <c r="M406" s="19" t="str">
        <f t="shared" si="124"/>
        <v/>
      </c>
      <c r="N406" s="19" t="str">
        <f t="shared" si="125"/>
        <v/>
      </c>
      <c r="O406" s="19" t="str">
        <f t="shared" si="126"/>
        <v/>
      </c>
      <c r="P406" s="19" t="str">
        <f t="shared" si="127"/>
        <v/>
      </c>
      <c r="Q406" s="19" t="str">
        <f t="shared" si="128"/>
        <v/>
      </c>
      <c r="R406" s="19" t="str">
        <f t="shared" si="129"/>
        <v/>
      </c>
      <c r="S406" s="17" t="str">
        <f>IF(B406="","",IFERROR(INDEX(Trabajadores!$G$5:$G$204,MATCH(B406,Trabajadores!$A$5:$A$204,0)),""))</f>
        <v/>
      </c>
      <c r="T406" s="17" t="str">
        <f>IF(OR(OR(A406="",D406="",E406=""),S406=""),"",ROUND(S406*(N(L406)*Parámetros!$B$8+N(M406)*(1+Parámetros!$B$9)+N(N406)*(1+Parámetros!$B$10)+N(O406)*(1+AG406)+N(P406)*(1+AG406+Parámetros!$B$8)+N(Q406)*(1+AG406+Parámetros!$B$9)+N(R406)*(1+AG406+Parámetros!$B$10)),0))</f>
        <v/>
      </c>
      <c r="U406" s="5" t="str">
        <f>IF(OR(A406="",D406="",E406=""),"",IF(N(M406)+N(N406)+N(Q406)+N(R406)&gt;Parámetros!$B$12,"Supera el límite de horas extras diarias",IF(C406="Cédula no registrada","Registre la cédula en «Trabajadores»","")))</f>
        <v/>
      </c>
      <c r="X406" s="20">
        <f t="shared" si="130"/>
        <v>0</v>
      </c>
      <c r="Y406" s="20">
        <f t="shared" si="131"/>
        <v>0</v>
      </c>
      <c r="Z406" s="20">
        <f t="shared" si="132"/>
        <v>0</v>
      </c>
      <c r="AA406" s="20">
        <f t="shared" si="133"/>
        <v>0</v>
      </c>
      <c r="AB406" s="20">
        <f t="shared" si="134"/>
        <v>0</v>
      </c>
      <c r="AC406" s="20">
        <f t="shared" si="135"/>
        <v>0</v>
      </c>
      <c r="AD406" s="20">
        <f>IF(A406="",21/24,MOD(VLOOKUP(A406,Parámetros!$A$24:$B$25,2,TRUE()),1))</f>
        <v>0.875</v>
      </c>
      <c r="AE406" s="5">
        <f>IF(A406="",0,IF(OR(WEEKDAY(A406,2)=7,COUNTIF(Festivos!$A$5:$A$451,A406)&gt;0),1,0))</f>
        <v>0</v>
      </c>
      <c r="AF406" s="5">
        <f>IF(A406="",0,IF(OR(WEEKDAY(A406+1,2)=7,COUNTIF(Festivos!$A$5:$A$451,A406+1)&gt;0),1,0))</f>
        <v>0</v>
      </c>
      <c r="AG406" s="9">
        <f>IF(A406="",0,VLOOKUP(A406,Parámetros!$A$18:$B$21,2,TRUE()))</f>
        <v>0</v>
      </c>
      <c r="AH406" s="20">
        <f t="shared" si="136"/>
        <v>0</v>
      </c>
      <c r="AI406" s="20">
        <f>MAX(0,MIN(AB406,Parámetros!$B$11)-MAX(X406,0))+MAX(0,MIN(AB406,1+Parámetros!$B$11)-MAX(X406,AD406))+MAX(0,MIN(AB406,2)-MAX(X406,1+AD406))</f>
        <v>0</v>
      </c>
      <c r="AJ406" s="20">
        <f t="shared" si="137"/>
        <v>0</v>
      </c>
      <c r="AK406" s="20">
        <f>AE406*(MAX(0,MIN(AB406,Parámetros!$B$11)-MAX(X406,0))+MAX(0,MIN(AB406,1)-MAX(X406,AD406)))+AF406*(MAX(0,MIN(AB406,1+Parámetros!$B$11)-MAX(X406,1))+MAX(0,MIN(AB406,2)-MAX(X406,1+AD406)))</f>
        <v>0</v>
      </c>
      <c r="AL406" s="20">
        <f t="shared" si="138"/>
        <v>0</v>
      </c>
      <c r="AM406" s="20">
        <f>MAX(0,MIN(AC406,Parámetros!$B$11)-MAX(AB406,0))+MAX(0,MIN(AC406,1+Parámetros!$B$11)-MAX(AB406,AD406))+MAX(0,MIN(AC406,2)-MAX(AB406,1+AD406))</f>
        <v>0</v>
      </c>
      <c r="AN406" s="20">
        <f t="shared" si="139"/>
        <v>0</v>
      </c>
      <c r="AO406" s="20">
        <f>AE406*(MAX(0,MIN(AC406,Parámetros!$B$11)-MAX(AB406,0))+MAX(0,MIN(AC406,1)-MAX(AB406,AD406)))+AF406*(MAX(0,MIN(AC406,1+Parámetros!$B$11)-MAX(AB406,1))+MAX(0,MIN(AC406,2)-MAX(AB406,1+AD406)))</f>
        <v>0</v>
      </c>
    </row>
    <row r="407" spans="1:41" x14ac:dyDescent="0.25">
      <c r="A407" s="15"/>
      <c r="B407" s="8"/>
      <c r="C407" s="5" t="str">
        <f>IF(B407="","",IFERROR(INDEX(Trabajadores!$B$5:$B$204,MATCH(B407,Trabajadores!$A$5:$A$204,0)),"Cédula no registrada"))</f>
        <v/>
      </c>
      <c r="D407" s="11"/>
      <c r="E407" s="11"/>
      <c r="F407" s="8"/>
      <c r="G407" s="18" t="str">
        <f>IF(A407="","",IFERROR(INDEX(Trabajadores!$E$5:$E$204,MATCH(B407,Trabajadores!$A$5:$A$204,0))/Parámetros!$B$6,0)+IF(IFERROR(INDEX(Trabajadores!$E$5:$E$204,MATCH(B407,Trabajadores!$A$5:$A$204,0)),"")="",Parámetros!$B$7,0))</f>
        <v/>
      </c>
      <c r="H407" s="5" t="str">
        <f t="shared" si="120"/>
        <v/>
      </c>
      <c r="I407" s="5" t="str">
        <f>IF(A407="","",IF(COUNTIF(Festivos!$A$5:$A$451,A407)&gt;0,"Festivo",IF(WEEKDAY(A407,2)=7,"Domingo",IF(AND(AF407=1,AC407&gt;1),IF(COUNTIF(Festivos!$A$5:$A$451,A407+1)&gt;0,"Festivo","Domingo")&amp;" desde las 00:00",""))))</f>
        <v/>
      </c>
      <c r="J407" s="19" t="str">
        <f t="shared" si="121"/>
        <v/>
      </c>
      <c r="K407" s="19" t="str">
        <f t="shared" si="122"/>
        <v/>
      </c>
      <c r="L407" s="19" t="str">
        <f t="shared" si="123"/>
        <v/>
      </c>
      <c r="M407" s="19" t="str">
        <f t="shared" si="124"/>
        <v/>
      </c>
      <c r="N407" s="19" t="str">
        <f t="shared" si="125"/>
        <v/>
      </c>
      <c r="O407" s="19" t="str">
        <f t="shared" si="126"/>
        <v/>
      </c>
      <c r="P407" s="19" t="str">
        <f t="shared" si="127"/>
        <v/>
      </c>
      <c r="Q407" s="19" t="str">
        <f t="shared" si="128"/>
        <v/>
      </c>
      <c r="R407" s="19" t="str">
        <f t="shared" si="129"/>
        <v/>
      </c>
      <c r="S407" s="17" t="str">
        <f>IF(B407="","",IFERROR(INDEX(Trabajadores!$G$5:$G$204,MATCH(B407,Trabajadores!$A$5:$A$204,0)),""))</f>
        <v/>
      </c>
      <c r="T407" s="17" t="str">
        <f>IF(OR(OR(A407="",D407="",E407=""),S407=""),"",ROUND(S407*(N(L407)*Parámetros!$B$8+N(M407)*(1+Parámetros!$B$9)+N(N407)*(1+Parámetros!$B$10)+N(O407)*(1+AG407)+N(P407)*(1+AG407+Parámetros!$B$8)+N(Q407)*(1+AG407+Parámetros!$B$9)+N(R407)*(1+AG407+Parámetros!$B$10)),0))</f>
        <v/>
      </c>
      <c r="U407" s="5" t="str">
        <f>IF(OR(A407="",D407="",E407=""),"",IF(N(M407)+N(N407)+N(Q407)+N(R407)&gt;Parámetros!$B$12,"Supera el límite de horas extras diarias",IF(C407="Cédula no registrada","Registre la cédula en «Trabajadores»","")))</f>
        <v/>
      </c>
      <c r="X407" s="20">
        <f t="shared" si="130"/>
        <v>0</v>
      </c>
      <c r="Y407" s="20">
        <f t="shared" si="131"/>
        <v>0</v>
      </c>
      <c r="Z407" s="20">
        <f t="shared" si="132"/>
        <v>0</v>
      </c>
      <c r="AA407" s="20">
        <f t="shared" si="133"/>
        <v>0</v>
      </c>
      <c r="AB407" s="20">
        <f t="shared" si="134"/>
        <v>0</v>
      </c>
      <c r="AC407" s="20">
        <f t="shared" si="135"/>
        <v>0</v>
      </c>
      <c r="AD407" s="20">
        <f>IF(A407="",21/24,MOD(VLOOKUP(A407,Parámetros!$A$24:$B$25,2,TRUE()),1))</f>
        <v>0.875</v>
      </c>
      <c r="AE407" s="5">
        <f>IF(A407="",0,IF(OR(WEEKDAY(A407,2)=7,COUNTIF(Festivos!$A$5:$A$451,A407)&gt;0),1,0))</f>
        <v>0</v>
      </c>
      <c r="AF407" s="5">
        <f>IF(A407="",0,IF(OR(WEEKDAY(A407+1,2)=7,COUNTIF(Festivos!$A$5:$A$451,A407+1)&gt;0),1,0))</f>
        <v>0</v>
      </c>
      <c r="AG407" s="9">
        <f>IF(A407="",0,VLOOKUP(A407,Parámetros!$A$18:$B$21,2,TRUE()))</f>
        <v>0</v>
      </c>
      <c r="AH407" s="20">
        <f t="shared" si="136"/>
        <v>0</v>
      </c>
      <c r="AI407" s="20">
        <f>MAX(0,MIN(AB407,Parámetros!$B$11)-MAX(X407,0))+MAX(0,MIN(AB407,1+Parámetros!$B$11)-MAX(X407,AD407))+MAX(0,MIN(AB407,2)-MAX(X407,1+AD407))</f>
        <v>0</v>
      </c>
      <c r="AJ407" s="20">
        <f t="shared" si="137"/>
        <v>0</v>
      </c>
      <c r="AK407" s="20">
        <f>AE407*(MAX(0,MIN(AB407,Parámetros!$B$11)-MAX(X407,0))+MAX(0,MIN(AB407,1)-MAX(X407,AD407)))+AF407*(MAX(0,MIN(AB407,1+Parámetros!$B$11)-MAX(X407,1))+MAX(0,MIN(AB407,2)-MAX(X407,1+AD407)))</f>
        <v>0</v>
      </c>
      <c r="AL407" s="20">
        <f t="shared" si="138"/>
        <v>0</v>
      </c>
      <c r="AM407" s="20">
        <f>MAX(0,MIN(AC407,Parámetros!$B$11)-MAX(AB407,0))+MAX(0,MIN(AC407,1+Parámetros!$B$11)-MAX(AB407,AD407))+MAX(0,MIN(AC407,2)-MAX(AB407,1+AD407))</f>
        <v>0</v>
      </c>
      <c r="AN407" s="20">
        <f t="shared" si="139"/>
        <v>0</v>
      </c>
      <c r="AO407" s="20">
        <f>AE407*(MAX(0,MIN(AC407,Parámetros!$B$11)-MAX(AB407,0))+MAX(0,MIN(AC407,1)-MAX(AB407,AD407)))+AF407*(MAX(0,MIN(AC407,1+Parámetros!$B$11)-MAX(AB407,1))+MAX(0,MIN(AC407,2)-MAX(AB407,1+AD407)))</f>
        <v>0</v>
      </c>
    </row>
    <row r="408" spans="1:41" x14ac:dyDescent="0.25">
      <c r="A408" s="15"/>
      <c r="B408" s="8"/>
      <c r="C408" s="5" t="str">
        <f>IF(B408="","",IFERROR(INDEX(Trabajadores!$B$5:$B$204,MATCH(B408,Trabajadores!$A$5:$A$204,0)),"Cédula no registrada"))</f>
        <v/>
      </c>
      <c r="D408" s="11"/>
      <c r="E408" s="11"/>
      <c r="F408" s="8"/>
      <c r="G408" s="18" t="str">
        <f>IF(A408="","",IFERROR(INDEX(Trabajadores!$E$5:$E$204,MATCH(B408,Trabajadores!$A$5:$A$204,0))/Parámetros!$B$6,0)+IF(IFERROR(INDEX(Trabajadores!$E$5:$E$204,MATCH(B408,Trabajadores!$A$5:$A$204,0)),"")="",Parámetros!$B$7,0))</f>
        <v/>
      </c>
      <c r="H408" s="5" t="str">
        <f t="shared" si="120"/>
        <v/>
      </c>
      <c r="I408" s="5" t="str">
        <f>IF(A408="","",IF(COUNTIF(Festivos!$A$5:$A$451,A408)&gt;0,"Festivo",IF(WEEKDAY(A408,2)=7,"Domingo",IF(AND(AF408=1,AC408&gt;1),IF(COUNTIF(Festivos!$A$5:$A$451,A408+1)&gt;0,"Festivo","Domingo")&amp;" desde las 00:00",""))))</f>
        <v/>
      </c>
      <c r="J408" s="19" t="str">
        <f t="shared" si="121"/>
        <v/>
      </c>
      <c r="K408" s="19" t="str">
        <f t="shared" si="122"/>
        <v/>
      </c>
      <c r="L408" s="19" t="str">
        <f t="shared" si="123"/>
        <v/>
      </c>
      <c r="M408" s="19" t="str">
        <f t="shared" si="124"/>
        <v/>
      </c>
      <c r="N408" s="19" t="str">
        <f t="shared" si="125"/>
        <v/>
      </c>
      <c r="O408" s="19" t="str">
        <f t="shared" si="126"/>
        <v/>
      </c>
      <c r="P408" s="19" t="str">
        <f t="shared" si="127"/>
        <v/>
      </c>
      <c r="Q408" s="19" t="str">
        <f t="shared" si="128"/>
        <v/>
      </c>
      <c r="R408" s="19" t="str">
        <f t="shared" si="129"/>
        <v/>
      </c>
      <c r="S408" s="17" t="str">
        <f>IF(B408="","",IFERROR(INDEX(Trabajadores!$G$5:$G$204,MATCH(B408,Trabajadores!$A$5:$A$204,0)),""))</f>
        <v/>
      </c>
      <c r="T408" s="17" t="str">
        <f>IF(OR(OR(A408="",D408="",E408=""),S408=""),"",ROUND(S408*(N(L408)*Parámetros!$B$8+N(M408)*(1+Parámetros!$B$9)+N(N408)*(1+Parámetros!$B$10)+N(O408)*(1+AG408)+N(P408)*(1+AG408+Parámetros!$B$8)+N(Q408)*(1+AG408+Parámetros!$B$9)+N(R408)*(1+AG408+Parámetros!$B$10)),0))</f>
        <v/>
      </c>
      <c r="U408" s="5" t="str">
        <f>IF(OR(A408="",D408="",E408=""),"",IF(N(M408)+N(N408)+N(Q408)+N(R408)&gt;Parámetros!$B$12,"Supera el límite de horas extras diarias",IF(C408="Cédula no registrada","Registre la cédula en «Trabajadores»","")))</f>
        <v/>
      </c>
      <c r="X408" s="20">
        <f t="shared" si="130"/>
        <v>0</v>
      </c>
      <c r="Y408" s="20">
        <f t="shared" si="131"/>
        <v>0</v>
      </c>
      <c r="Z408" s="20">
        <f t="shared" si="132"/>
        <v>0</v>
      </c>
      <c r="AA408" s="20">
        <f t="shared" si="133"/>
        <v>0</v>
      </c>
      <c r="AB408" s="20">
        <f t="shared" si="134"/>
        <v>0</v>
      </c>
      <c r="AC408" s="20">
        <f t="shared" si="135"/>
        <v>0</v>
      </c>
      <c r="AD408" s="20">
        <f>IF(A408="",21/24,MOD(VLOOKUP(A408,Parámetros!$A$24:$B$25,2,TRUE()),1))</f>
        <v>0.875</v>
      </c>
      <c r="AE408" s="5">
        <f>IF(A408="",0,IF(OR(WEEKDAY(A408,2)=7,COUNTIF(Festivos!$A$5:$A$451,A408)&gt;0),1,0))</f>
        <v>0</v>
      </c>
      <c r="AF408" s="5">
        <f>IF(A408="",0,IF(OR(WEEKDAY(A408+1,2)=7,COUNTIF(Festivos!$A$5:$A$451,A408+1)&gt;0),1,0))</f>
        <v>0</v>
      </c>
      <c r="AG408" s="9">
        <f>IF(A408="",0,VLOOKUP(A408,Parámetros!$A$18:$B$21,2,TRUE()))</f>
        <v>0</v>
      </c>
      <c r="AH408" s="20">
        <f t="shared" si="136"/>
        <v>0</v>
      </c>
      <c r="AI408" s="20">
        <f>MAX(0,MIN(AB408,Parámetros!$B$11)-MAX(X408,0))+MAX(0,MIN(AB408,1+Parámetros!$B$11)-MAX(X408,AD408))+MAX(0,MIN(AB408,2)-MAX(X408,1+AD408))</f>
        <v>0</v>
      </c>
      <c r="AJ408" s="20">
        <f t="shared" si="137"/>
        <v>0</v>
      </c>
      <c r="AK408" s="20">
        <f>AE408*(MAX(0,MIN(AB408,Parámetros!$B$11)-MAX(X408,0))+MAX(0,MIN(AB408,1)-MAX(X408,AD408)))+AF408*(MAX(0,MIN(AB408,1+Parámetros!$B$11)-MAX(X408,1))+MAX(0,MIN(AB408,2)-MAX(X408,1+AD408)))</f>
        <v>0</v>
      </c>
      <c r="AL408" s="20">
        <f t="shared" si="138"/>
        <v>0</v>
      </c>
      <c r="AM408" s="20">
        <f>MAX(0,MIN(AC408,Parámetros!$B$11)-MAX(AB408,0))+MAX(0,MIN(AC408,1+Parámetros!$B$11)-MAX(AB408,AD408))+MAX(0,MIN(AC408,2)-MAX(AB408,1+AD408))</f>
        <v>0</v>
      </c>
      <c r="AN408" s="20">
        <f t="shared" si="139"/>
        <v>0</v>
      </c>
      <c r="AO408" s="20">
        <f>AE408*(MAX(0,MIN(AC408,Parámetros!$B$11)-MAX(AB408,0))+MAX(0,MIN(AC408,1)-MAX(AB408,AD408)))+AF408*(MAX(0,MIN(AC408,1+Parámetros!$B$11)-MAX(AB408,1))+MAX(0,MIN(AC408,2)-MAX(AB408,1+AD408)))</f>
        <v>0</v>
      </c>
    </row>
    <row r="409" spans="1:41" x14ac:dyDescent="0.25">
      <c r="A409" s="15"/>
      <c r="B409" s="8"/>
      <c r="C409" s="5" t="str">
        <f>IF(B409="","",IFERROR(INDEX(Trabajadores!$B$5:$B$204,MATCH(B409,Trabajadores!$A$5:$A$204,0)),"Cédula no registrada"))</f>
        <v/>
      </c>
      <c r="D409" s="11"/>
      <c r="E409" s="11"/>
      <c r="F409" s="8"/>
      <c r="G409" s="18" t="str">
        <f>IF(A409="","",IFERROR(INDEX(Trabajadores!$E$5:$E$204,MATCH(B409,Trabajadores!$A$5:$A$204,0))/Parámetros!$B$6,0)+IF(IFERROR(INDEX(Trabajadores!$E$5:$E$204,MATCH(B409,Trabajadores!$A$5:$A$204,0)),"")="",Parámetros!$B$7,0))</f>
        <v/>
      </c>
      <c r="H409" s="5" t="str">
        <f t="shared" si="120"/>
        <v/>
      </c>
      <c r="I409" s="5" t="str">
        <f>IF(A409="","",IF(COUNTIF(Festivos!$A$5:$A$451,A409)&gt;0,"Festivo",IF(WEEKDAY(A409,2)=7,"Domingo",IF(AND(AF409=1,AC409&gt;1),IF(COUNTIF(Festivos!$A$5:$A$451,A409+1)&gt;0,"Festivo","Domingo")&amp;" desde las 00:00",""))))</f>
        <v/>
      </c>
      <c r="J409" s="19" t="str">
        <f t="shared" si="121"/>
        <v/>
      </c>
      <c r="K409" s="19" t="str">
        <f t="shared" si="122"/>
        <v/>
      </c>
      <c r="L409" s="19" t="str">
        <f t="shared" si="123"/>
        <v/>
      </c>
      <c r="M409" s="19" t="str">
        <f t="shared" si="124"/>
        <v/>
      </c>
      <c r="N409" s="19" t="str">
        <f t="shared" si="125"/>
        <v/>
      </c>
      <c r="O409" s="19" t="str">
        <f t="shared" si="126"/>
        <v/>
      </c>
      <c r="P409" s="19" t="str">
        <f t="shared" si="127"/>
        <v/>
      </c>
      <c r="Q409" s="19" t="str">
        <f t="shared" si="128"/>
        <v/>
      </c>
      <c r="R409" s="19" t="str">
        <f t="shared" si="129"/>
        <v/>
      </c>
      <c r="S409" s="17" t="str">
        <f>IF(B409="","",IFERROR(INDEX(Trabajadores!$G$5:$G$204,MATCH(B409,Trabajadores!$A$5:$A$204,0)),""))</f>
        <v/>
      </c>
      <c r="T409" s="17" t="str">
        <f>IF(OR(OR(A409="",D409="",E409=""),S409=""),"",ROUND(S409*(N(L409)*Parámetros!$B$8+N(M409)*(1+Parámetros!$B$9)+N(N409)*(1+Parámetros!$B$10)+N(O409)*(1+AG409)+N(P409)*(1+AG409+Parámetros!$B$8)+N(Q409)*(1+AG409+Parámetros!$B$9)+N(R409)*(1+AG409+Parámetros!$B$10)),0))</f>
        <v/>
      </c>
      <c r="U409" s="5" t="str">
        <f>IF(OR(A409="",D409="",E409=""),"",IF(N(M409)+N(N409)+N(Q409)+N(R409)&gt;Parámetros!$B$12,"Supera el límite de horas extras diarias",IF(C409="Cédula no registrada","Registre la cédula en «Trabajadores»","")))</f>
        <v/>
      </c>
      <c r="X409" s="20">
        <f t="shared" si="130"/>
        <v>0</v>
      </c>
      <c r="Y409" s="20">
        <f t="shared" si="131"/>
        <v>0</v>
      </c>
      <c r="Z409" s="20">
        <f t="shared" si="132"/>
        <v>0</v>
      </c>
      <c r="AA409" s="20">
        <f t="shared" si="133"/>
        <v>0</v>
      </c>
      <c r="AB409" s="20">
        <f t="shared" si="134"/>
        <v>0</v>
      </c>
      <c r="AC409" s="20">
        <f t="shared" si="135"/>
        <v>0</v>
      </c>
      <c r="AD409" s="20">
        <f>IF(A409="",21/24,MOD(VLOOKUP(A409,Parámetros!$A$24:$B$25,2,TRUE()),1))</f>
        <v>0.875</v>
      </c>
      <c r="AE409" s="5">
        <f>IF(A409="",0,IF(OR(WEEKDAY(A409,2)=7,COUNTIF(Festivos!$A$5:$A$451,A409)&gt;0),1,0))</f>
        <v>0</v>
      </c>
      <c r="AF409" s="5">
        <f>IF(A409="",0,IF(OR(WEEKDAY(A409+1,2)=7,COUNTIF(Festivos!$A$5:$A$451,A409+1)&gt;0),1,0))</f>
        <v>0</v>
      </c>
      <c r="AG409" s="9">
        <f>IF(A409="",0,VLOOKUP(A409,Parámetros!$A$18:$B$21,2,TRUE()))</f>
        <v>0</v>
      </c>
      <c r="AH409" s="20">
        <f t="shared" si="136"/>
        <v>0</v>
      </c>
      <c r="AI409" s="20">
        <f>MAX(0,MIN(AB409,Parámetros!$B$11)-MAX(X409,0))+MAX(0,MIN(AB409,1+Parámetros!$B$11)-MAX(X409,AD409))+MAX(0,MIN(AB409,2)-MAX(X409,1+AD409))</f>
        <v>0</v>
      </c>
      <c r="AJ409" s="20">
        <f t="shared" si="137"/>
        <v>0</v>
      </c>
      <c r="AK409" s="20">
        <f>AE409*(MAX(0,MIN(AB409,Parámetros!$B$11)-MAX(X409,0))+MAX(0,MIN(AB409,1)-MAX(X409,AD409)))+AF409*(MAX(0,MIN(AB409,1+Parámetros!$B$11)-MAX(X409,1))+MAX(0,MIN(AB409,2)-MAX(X409,1+AD409)))</f>
        <v>0</v>
      </c>
      <c r="AL409" s="20">
        <f t="shared" si="138"/>
        <v>0</v>
      </c>
      <c r="AM409" s="20">
        <f>MAX(0,MIN(AC409,Parámetros!$B$11)-MAX(AB409,0))+MAX(0,MIN(AC409,1+Parámetros!$B$11)-MAX(AB409,AD409))+MAX(0,MIN(AC409,2)-MAX(AB409,1+AD409))</f>
        <v>0</v>
      </c>
      <c r="AN409" s="20">
        <f t="shared" si="139"/>
        <v>0</v>
      </c>
      <c r="AO409" s="20">
        <f>AE409*(MAX(0,MIN(AC409,Parámetros!$B$11)-MAX(AB409,0))+MAX(0,MIN(AC409,1)-MAX(AB409,AD409)))+AF409*(MAX(0,MIN(AC409,1+Parámetros!$B$11)-MAX(AB409,1))+MAX(0,MIN(AC409,2)-MAX(AB409,1+AD409)))</f>
        <v>0</v>
      </c>
    </row>
    <row r="410" spans="1:41" x14ac:dyDescent="0.25">
      <c r="A410" s="15"/>
      <c r="B410" s="8"/>
      <c r="C410" s="5" t="str">
        <f>IF(B410="","",IFERROR(INDEX(Trabajadores!$B$5:$B$204,MATCH(B410,Trabajadores!$A$5:$A$204,0)),"Cédula no registrada"))</f>
        <v/>
      </c>
      <c r="D410" s="11"/>
      <c r="E410" s="11"/>
      <c r="F410" s="8"/>
      <c r="G410" s="18" t="str">
        <f>IF(A410="","",IFERROR(INDEX(Trabajadores!$E$5:$E$204,MATCH(B410,Trabajadores!$A$5:$A$204,0))/Parámetros!$B$6,0)+IF(IFERROR(INDEX(Trabajadores!$E$5:$E$204,MATCH(B410,Trabajadores!$A$5:$A$204,0)),"")="",Parámetros!$B$7,0))</f>
        <v/>
      </c>
      <c r="H410" s="5" t="str">
        <f t="shared" si="120"/>
        <v/>
      </c>
      <c r="I410" s="5" t="str">
        <f>IF(A410="","",IF(COUNTIF(Festivos!$A$5:$A$451,A410)&gt;0,"Festivo",IF(WEEKDAY(A410,2)=7,"Domingo",IF(AND(AF410=1,AC410&gt;1),IF(COUNTIF(Festivos!$A$5:$A$451,A410+1)&gt;0,"Festivo","Domingo")&amp;" desde las 00:00",""))))</f>
        <v/>
      </c>
      <c r="J410" s="19" t="str">
        <f t="shared" si="121"/>
        <v/>
      </c>
      <c r="K410" s="19" t="str">
        <f t="shared" si="122"/>
        <v/>
      </c>
      <c r="L410" s="19" t="str">
        <f t="shared" si="123"/>
        <v/>
      </c>
      <c r="M410" s="19" t="str">
        <f t="shared" si="124"/>
        <v/>
      </c>
      <c r="N410" s="19" t="str">
        <f t="shared" si="125"/>
        <v/>
      </c>
      <c r="O410" s="19" t="str">
        <f t="shared" si="126"/>
        <v/>
      </c>
      <c r="P410" s="19" t="str">
        <f t="shared" si="127"/>
        <v/>
      </c>
      <c r="Q410" s="19" t="str">
        <f t="shared" si="128"/>
        <v/>
      </c>
      <c r="R410" s="19" t="str">
        <f t="shared" si="129"/>
        <v/>
      </c>
      <c r="S410" s="17" t="str">
        <f>IF(B410="","",IFERROR(INDEX(Trabajadores!$G$5:$G$204,MATCH(B410,Trabajadores!$A$5:$A$204,0)),""))</f>
        <v/>
      </c>
      <c r="T410" s="17" t="str">
        <f>IF(OR(OR(A410="",D410="",E410=""),S410=""),"",ROUND(S410*(N(L410)*Parámetros!$B$8+N(M410)*(1+Parámetros!$B$9)+N(N410)*(1+Parámetros!$B$10)+N(O410)*(1+AG410)+N(P410)*(1+AG410+Parámetros!$B$8)+N(Q410)*(1+AG410+Parámetros!$B$9)+N(R410)*(1+AG410+Parámetros!$B$10)),0))</f>
        <v/>
      </c>
      <c r="U410" s="5" t="str">
        <f>IF(OR(A410="",D410="",E410=""),"",IF(N(M410)+N(N410)+N(Q410)+N(R410)&gt;Parámetros!$B$12,"Supera el límite de horas extras diarias",IF(C410="Cédula no registrada","Registre la cédula en «Trabajadores»","")))</f>
        <v/>
      </c>
      <c r="X410" s="20">
        <f t="shared" si="130"/>
        <v>0</v>
      </c>
      <c r="Y410" s="20">
        <f t="shared" si="131"/>
        <v>0</v>
      </c>
      <c r="Z410" s="20">
        <f t="shared" si="132"/>
        <v>0</v>
      </c>
      <c r="AA410" s="20">
        <f t="shared" si="133"/>
        <v>0</v>
      </c>
      <c r="AB410" s="20">
        <f t="shared" si="134"/>
        <v>0</v>
      </c>
      <c r="AC410" s="20">
        <f t="shared" si="135"/>
        <v>0</v>
      </c>
      <c r="AD410" s="20">
        <f>IF(A410="",21/24,MOD(VLOOKUP(A410,Parámetros!$A$24:$B$25,2,TRUE()),1))</f>
        <v>0.875</v>
      </c>
      <c r="AE410" s="5">
        <f>IF(A410="",0,IF(OR(WEEKDAY(A410,2)=7,COUNTIF(Festivos!$A$5:$A$451,A410)&gt;0),1,0))</f>
        <v>0</v>
      </c>
      <c r="AF410" s="5">
        <f>IF(A410="",0,IF(OR(WEEKDAY(A410+1,2)=7,COUNTIF(Festivos!$A$5:$A$451,A410+1)&gt;0),1,0))</f>
        <v>0</v>
      </c>
      <c r="AG410" s="9">
        <f>IF(A410="",0,VLOOKUP(A410,Parámetros!$A$18:$B$21,2,TRUE()))</f>
        <v>0</v>
      </c>
      <c r="AH410" s="20">
        <f t="shared" si="136"/>
        <v>0</v>
      </c>
      <c r="AI410" s="20">
        <f>MAX(0,MIN(AB410,Parámetros!$B$11)-MAX(X410,0))+MAX(0,MIN(AB410,1+Parámetros!$B$11)-MAX(X410,AD410))+MAX(0,MIN(AB410,2)-MAX(X410,1+AD410))</f>
        <v>0</v>
      </c>
      <c r="AJ410" s="20">
        <f t="shared" si="137"/>
        <v>0</v>
      </c>
      <c r="AK410" s="20">
        <f>AE410*(MAX(0,MIN(AB410,Parámetros!$B$11)-MAX(X410,0))+MAX(0,MIN(AB410,1)-MAX(X410,AD410)))+AF410*(MAX(0,MIN(AB410,1+Parámetros!$B$11)-MAX(X410,1))+MAX(0,MIN(AB410,2)-MAX(X410,1+AD410)))</f>
        <v>0</v>
      </c>
      <c r="AL410" s="20">
        <f t="shared" si="138"/>
        <v>0</v>
      </c>
      <c r="AM410" s="20">
        <f>MAX(0,MIN(AC410,Parámetros!$B$11)-MAX(AB410,0))+MAX(0,MIN(AC410,1+Parámetros!$B$11)-MAX(AB410,AD410))+MAX(0,MIN(AC410,2)-MAX(AB410,1+AD410))</f>
        <v>0</v>
      </c>
      <c r="AN410" s="20">
        <f t="shared" si="139"/>
        <v>0</v>
      </c>
      <c r="AO410" s="20">
        <f>AE410*(MAX(0,MIN(AC410,Parámetros!$B$11)-MAX(AB410,0))+MAX(0,MIN(AC410,1)-MAX(AB410,AD410)))+AF410*(MAX(0,MIN(AC410,1+Parámetros!$B$11)-MAX(AB410,1))+MAX(0,MIN(AC410,2)-MAX(AB410,1+AD410)))</f>
        <v>0</v>
      </c>
    </row>
    <row r="411" spans="1:41" x14ac:dyDescent="0.25">
      <c r="A411" s="15"/>
      <c r="B411" s="8"/>
      <c r="C411" s="5" t="str">
        <f>IF(B411="","",IFERROR(INDEX(Trabajadores!$B$5:$B$204,MATCH(B411,Trabajadores!$A$5:$A$204,0)),"Cédula no registrada"))</f>
        <v/>
      </c>
      <c r="D411" s="11"/>
      <c r="E411" s="11"/>
      <c r="F411" s="8"/>
      <c r="G411" s="18" t="str">
        <f>IF(A411="","",IFERROR(INDEX(Trabajadores!$E$5:$E$204,MATCH(B411,Trabajadores!$A$5:$A$204,0))/Parámetros!$B$6,0)+IF(IFERROR(INDEX(Trabajadores!$E$5:$E$204,MATCH(B411,Trabajadores!$A$5:$A$204,0)),"")="",Parámetros!$B$7,0))</f>
        <v/>
      </c>
      <c r="H411" s="5" t="str">
        <f t="shared" si="120"/>
        <v/>
      </c>
      <c r="I411" s="5" t="str">
        <f>IF(A411="","",IF(COUNTIF(Festivos!$A$5:$A$451,A411)&gt;0,"Festivo",IF(WEEKDAY(A411,2)=7,"Domingo",IF(AND(AF411=1,AC411&gt;1),IF(COUNTIF(Festivos!$A$5:$A$451,A411+1)&gt;0,"Festivo","Domingo")&amp;" desde las 00:00",""))))</f>
        <v/>
      </c>
      <c r="J411" s="19" t="str">
        <f t="shared" si="121"/>
        <v/>
      </c>
      <c r="K411" s="19" t="str">
        <f t="shared" si="122"/>
        <v/>
      </c>
      <c r="L411" s="19" t="str">
        <f t="shared" si="123"/>
        <v/>
      </c>
      <c r="M411" s="19" t="str">
        <f t="shared" si="124"/>
        <v/>
      </c>
      <c r="N411" s="19" t="str">
        <f t="shared" si="125"/>
        <v/>
      </c>
      <c r="O411" s="19" t="str">
        <f t="shared" si="126"/>
        <v/>
      </c>
      <c r="P411" s="19" t="str">
        <f t="shared" si="127"/>
        <v/>
      </c>
      <c r="Q411" s="19" t="str">
        <f t="shared" si="128"/>
        <v/>
      </c>
      <c r="R411" s="19" t="str">
        <f t="shared" si="129"/>
        <v/>
      </c>
      <c r="S411" s="17" t="str">
        <f>IF(B411="","",IFERROR(INDEX(Trabajadores!$G$5:$G$204,MATCH(B411,Trabajadores!$A$5:$A$204,0)),""))</f>
        <v/>
      </c>
      <c r="T411" s="17" t="str">
        <f>IF(OR(OR(A411="",D411="",E411=""),S411=""),"",ROUND(S411*(N(L411)*Parámetros!$B$8+N(M411)*(1+Parámetros!$B$9)+N(N411)*(1+Parámetros!$B$10)+N(O411)*(1+AG411)+N(P411)*(1+AG411+Parámetros!$B$8)+N(Q411)*(1+AG411+Parámetros!$B$9)+N(R411)*(1+AG411+Parámetros!$B$10)),0))</f>
        <v/>
      </c>
      <c r="U411" s="5" t="str">
        <f>IF(OR(A411="",D411="",E411=""),"",IF(N(M411)+N(N411)+N(Q411)+N(R411)&gt;Parámetros!$B$12,"Supera el límite de horas extras diarias",IF(C411="Cédula no registrada","Registre la cédula en «Trabajadores»","")))</f>
        <v/>
      </c>
      <c r="X411" s="20">
        <f t="shared" si="130"/>
        <v>0</v>
      </c>
      <c r="Y411" s="20">
        <f t="shared" si="131"/>
        <v>0</v>
      </c>
      <c r="Z411" s="20">
        <f t="shared" si="132"/>
        <v>0</v>
      </c>
      <c r="AA411" s="20">
        <f t="shared" si="133"/>
        <v>0</v>
      </c>
      <c r="AB411" s="20">
        <f t="shared" si="134"/>
        <v>0</v>
      </c>
      <c r="AC411" s="20">
        <f t="shared" si="135"/>
        <v>0</v>
      </c>
      <c r="AD411" s="20">
        <f>IF(A411="",21/24,MOD(VLOOKUP(A411,Parámetros!$A$24:$B$25,2,TRUE()),1))</f>
        <v>0.875</v>
      </c>
      <c r="AE411" s="5">
        <f>IF(A411="",0,IF(OR(WEEKDAY(A411,2)=7,COUNTIF(Festivos!$A$5:$A$451,A411)&gt;0),1,0))</f>
        <v>0</v>
      </c>
      <c r="AF411" s="5">
        <f>IF(A411="",0,IF(OR(WEEKDAY(A411+1,2)=7,COUNTIF(Festivos!$A$5:$A$451,A411+1)&gt;0),1,0))</f>
        <v>0</v>
      </c>
      <c r="AG411" s="9">
        <f>IF(A411="",0,VLOOKUP(A411,Parámetros!$A$18:$B$21,2,TRUE()))</f>
        <v>0</v>
      </c>
      <c r="AH411" s="20">
        <f t="shared" si="136"/>
        <v>0</v>
      </c>
      <c r="AI411" s="20">
        <f>MAX(0,MIN(AB411,Parámetros!$B$11)-MAX(X411,0))+MAX(0,MIN(AB411,1+Parámetros!$B$11)-MAX(X411,AD411))+MAX(0,MIN(AB411,2)-MAX(X411,1+AD411))</f>
        <v>0</v>
      </c>
      <c r="AJ411" s="20">
        <f t="shared" si="137"/>
        <v>0</v>
      </c>
      <c r="AK411" s="20">
        <f>AE411*(MAX(0,MIN(AB411,Parámetros!$B$11)-MAX(X411,0))+MAX(0,MIN(AB411,1)-MAX(X411,AD411)))+AF411*(MAX(0,MIN(AB411,1+Parámetros!$B$11)-MAX(X411,1))+MAX(0,MIN(AB411,2)-MAX(X411,1+AD411)))</f>
        <v>0</v>
      </c>
      <c r="AL411" s="20">
        <f t="shared" si="138"/>
        <v>0</v>
      </c>
      <c r="AM411" s="20">
        <f>MAX(0,MIN(AC411,Parámetros!$B$11)-MAX(AB411,0))+MAX(0,MIN(AC411,1+Parámetros!$B$11)-MAX(AB411,AD411))+MAX(0,MIN(AC411,2)-MAX(AB411,1+AD411))</f>
        <v>0</v>
      </c>
      <c r="AN411" s="20">
        <f t="shared" si="139"/>
        <v>0</v>
      </c>
      <c r="AO411" s="20">
        <f>AE411*(MAX(0,MIN(AC411,Parámetros!$B$11)-MAX(AB411,0))+MAX(0,MIN(AC411,1)-MAX(AB411,AD411)))+AF411*(MAX(0,MIN(AC411,1+Parámetros!$B$11)-MAX(AB411,1))+MAX(0,MIN(AC411,2)-MAX(AB411,1+AD411)))</f>
        <v>0</v>
      </c>
    </row>
    <row r="412" spans="1:41" x14ac:dyDescent="0.25">
      <c r="A412" s="15"/>
      <c r="B412" s="8"/>
      <c r="C412" s="5" t="str">
        <f>IF(B412="","",IFERROR(INDEX(Trabajadores!$B$5:$B$204,MATCH(B412,Trabajadores!$A$5:$A$204,0)),"Cédula no registrada"))</f>
        <v/>
      </c>
      <c r="D412" s="11"/>
      <c r="E412" s="11"/>
      <c r="F412" s="8"/>
      <c r="G412" s="18" t="str">
        <f>IF(A412="","",IFERROR(INDEX(Trabajadores!$E$5:$E$204,MATCH(B412,Trabajadores!$A$5:$A$204,0))/Parámetros!$B$6,0)+IF(IFERROR(INDEX(Trabajadores!$E$5:$E$204,MATCH(B412,Trabajadores!$A$5:$A$204,0)),"")="",Parámetros!$B$7,0))</f>
        <v/>
      </c>
      <c r="H412" s="5" t="str">
        <f t="shared" si="120"/>
        <v/>
      </c>
      <c r="I412" s="5" t="str">
        <f>IF(A412="","",IF(COUNTIF(Festivos!$A$5:$A$451,A412)&gt;0,"Festivo",IF(WEEKDAY(A412,2)=7,"Domingo",IF(AND(AF412=1,AC412&gt;1),IF(COUNTIF(Festivos!$A$5:$A$451,A412+1)&gt;0,"Festivo","Domingo")&amp;" desde las 00:00",""))))</f>
        <v/>
      </c>
      <c r="J412" s="19" t="str">
        <f t="shared" si="121"/>
        <v/>
      </c>
      <c r="K412" s="19" t="str">
        <f t="shared" si="122"/>
        <v/>
      </c>
      <c r="L412" s="19" t="str">
        <f t="shared" si="123"/>
        <v/>
      </c>
      <c r="M412" s="19" t="str">
        <f t="shared" si="124"/>
        <v/>
      </c>
      <c r="N412" s="19" t="str">
        <f t="shared" si="125"/>
        <v/>
      </c>
      <c r="O412" s="19" t="str">
        <f t="shared" si="126"/>
        <v/>
      </c>
      <c r="P412" s="19" t="str">
        <f t="shared" si="127"/>
        <v/>
      </c>
      <c r="Q412" s="19" t="str">
        <f t="shared" si="128"/>
        <v/>
      </c>
      <c r="R412" s="19" t="str">
        <f t="shared" si="129"/>
        <v/>
      </c>
      <c r="S412" s="17" t="str">
        <f>IF(B412="","",IFERROR(INDEX(Trabajadores!$G$5:$G$204,MATCH(B412,Trabajadores!$A$5:$A$204,0)),""))</f>
        <v/>
      </c>
      <c r="T412" s="17" t="str">
        <f>IF(OR(OR(A412="",D412="",E412=""),S412=""),"",ROUND(S412*(N(L412)*Parámetros!$B$8+N(M412)*(1+Parámetros!$B$9)+N(N412)*(1+Parámetros!$B$10)+N(O412)*(1+AG412)+N(P412)*(1+AG412+Parámetros!$B$8)+N(Q412)*(1+AG412+Parámetros!$B$9)+N(R412)*(1+AG412+Parámetros!$B$10)),0))</f>
        <v/>
      </c>
      <c r="U412" s="5" t="str">
        <f>IF(OR(A412="",D412="",E412=""),"",IF(N(M412)+N(N412)+N(Q412)+N(R412)&gt;Parámetros!$B$12,"Supera el límite de horas extras diarias",IF(C412="Cédula no registrada","Registre la cédula en «Trabajadores»","")))</f>
        <v/>
      </c>
      <c r="X412" s="20">
        <f t="shared" si="130"/>
        <v>0</v>
      </c>
      <c r="Y412" s="20">
        <f t="shared" si="131"/>
        <v>0</v>
      </c>
      <c r="Z412" s="20">
        <f t="shared" si="132"/>
        <v>0</v>
      </c>
      <c r="AA412" s="20">
        <f t="shared" si="133"/>
        <v>0</v>
      </c>
      <c r="AB412" s="20">
        <f t="shared" si="134"/>
        <v>0</v>
      </c>
      <c r="AC412" s="20">
        <f t="shared" si="135"/>
        <v>0</v>
      </c>
      <c r="AD412" s="20">
        <f>IF(A412="",21/24,MOD(VLOOKUP(A412,Parámetros!$A$24:$B$25,2,TRUE()),1))</f>
        <v>0.875</v>
      </c>
      <c r="AE412" s="5">
        <f>IF(A412="",0,IF(OR(WEEKDAY(A412,2)=7,COUNTIF(Festivos!$A$5:$A$451,A412)&gt;0),1,0))</f>
        <v>0</v>
      </c>
      <c r="AF412" s="5">
        <f>IF(A412="",0,IF(OR(WEEKDAY(A412+1,2)=7,COUNTIF(Festivos!$A$5:$A$451,A412+1)&gt;0),1,0))</f>
        <v>0</v>
      </c>
      <c r="AG412" s="9">
        <f>IF(A412="",0,VLOOKUP(A412,Parámetros!$A$18:$B$21,2,TRUE()))</f>
        <v>0</v>
      </c>
      <c r="AH412" s="20">
        <f t="shared" si="136"/>
        <v>0</v>
      </c>
      <c r="AI412" s="20">
        <f>MAX(0,MIN(AB412,Parámetros!$B$11)-MAX(X412,0))+MAX(0,MIN(AB412,1+Parámetros!$B$11)-MAX(X412,AD412))+MAX(0,MIN(AB412,2)-MAX(X412,1+AD412))</f>
        <v>0</v>
      </c>
      <c r="AJ412" s="20">
        <f t="shared" si="137"/>
        <v>0</v>
      </c>
      <c r="AK412" s="20">
        <f>AE412*(MAX(0,MIN(AB412,Parámetros!$B$11)-MAX(X412,0))+MAX(0,MIN(AB412,1)-MAX(X412,AD412)))+AF412*(MAX(0,MIN(AB412,1+Parámetros!$B$11)-MAX(X412,1))+MAX(0,MIN(AB412,2)-MAX(X412,1+AD412)))</f>
        <v>0</v>
      </c>
      <c r="AL412" s="20">
        <f t="shared" si="138"/>
        <v>0</v>
      </c>
      <c r="AM412" s="20">
        <f>MAX(0,MIN(AC412,Parámetros!$B$11)-MAX(AB412,0))+MAX(0,MIN(AC412,1+Parámetros!$B$11)-MAX(AB412,AD412))+MAX(0,MIN(AC412,2)-MAX(AB412,1+AD412))</f>
        <v>0</v>
      </c>
      <c r="AN412" s="20">
        <f t="shared" si="139"/>
        <v>0</v>
      </c>
      <c r="AO412" s="20">
        <f>AE412*(MAX(0,MIN(AC412,Parámetros!$B$11)-MAX(AB412,0))+MAX(0,MIN(AC412,1)-MAX(AB412,AD412)))+AF412*(MAX(0,MIN(AC412,1+Parámetros!$B$11)-MAX(AB412,1))+MAX(0,MIN(AC412,2)-MAX(AB412,1+AD412)))</f>
        <v>0</v>
      </c>
    </row>
    <row r="413" spans="1:41" x14ac:dyDescent="0.25">
      <c r="A413" s="15"/>
      <c r="B413" s="8"/>
      <c r="C413" s="5" t="str">
        <f>IF(B413="","",IFERROR(INDEX(Trabajadores!$B$5:$B$204,MATCH(B413,Trabajadores!$A$5:$A$204,0)),"Cédula no registrada"))</f>
        <v/>
      </c>
      <c r="D413" s="11"/>
      <c r="E413" s="11"/>
      <c r="F413" s="8"/>
      <c r="G413" s="18" t="str">
        <f>IF(A413="","",IFERROR(INDEX(Trabajadores!$E$5:$E$204,MATCH(B413,Trabajadores!$A$5:$A$204,0))/Parámetros!$B$6,0)+IF(IFERROR(INDEX(Trabajadores!$E$5:$E$204,MATCH(B413,Trabajadores!$A$5:$A$204,0)),"")="",Parámetros!$B$7,0))</f>
        <v/>
      </c>
      <c r="H413" s="5" t="str">
        <f t="shared" si="120"/>
        <v/>
      </c>
      <c r="I413" s="5" t="str">
        <f>IF(A413="","",IF(COUNTIF(Festivos!$A$5:$A$451,A413)&gt;0,"Festivo",IF(WEEKDAY(A413,2)=7,"Domingo",IF(AND(AF413=1,AC413&gt;1),IF(COUNTIF(Festivos!$A$5:$A$451,A413+1)&gt;0,"Festivo","Domingo")&amp;" desde las 00:00",""))))</f>
        <v/>
      </c>
      <c r="J413" s="19" t="str">
        <f t="shared" si="121"/>
        <v/>
      </c>
      <c r="K413" s="19" t="str">
        <f t="shared" si="122"/>
        <v/>
      </c>
      <c r="L413" s="19" t="str">
        <f t="shared" si="123"/>
        <v/>
      </c>
      <c r="M413" s="19" t="str">
        <f t="shared" si="124"/>
        <v/>
      </c>
      <c r="N413" s="19" t="str">
        <f t="shared" si="125"/>
        <v/>
      </c>
      <c r="O413" s="19" t="str">
        <f t="shared" si="126"/>
        <v/>
      </c>
      <c r="P413" s="19" t="str">
        <f t="shared" si="127"/>
        <v/>
      </c>
      <c r="Q413" s="19" t="str">
        <f t="shared" si="128"/>
        <v/>
      </c>
      <c r="R413" s="19" t="str">
        <f t="shared" si="129"/>
        <v/>
      </c>
      <c r="S413" s="17" t="str">
        <f>IF(B413="","",IFERROR(INDEX(Trabajadores!$G$5:$G$204,MATCH(B413,Trabajadores!$A$5:$A$204,0)),""))</f>
        <v/>
      </c>
      <c r="T413" s="17" t="str">
        <f>IF(OR(OR(A413="",D413="",E413=""),S413=""),"",ROUND(S413*(N(L413)*Parámetros!$B$8+N(M413)*(1+Parámetros!$B$9)+N(N413)*(1+Parámetros!$B$10)+N(O413)*(1+AG413)+N(P413)*(1+AG413+Parámetros!$B$8)+N(Q413)*(1+AG413+Parámetros!$B$9)+N(R413)*(1+AG413+Parámetros!$B$10)),0))</f>
        <v/>
      </c>
      <c r="U413" s="5" t="str">
        <f>IF(OR(A413="",D413="",E413=""),"",IF(N(M413)+N(N413)+N(Q413)+N(R413)&gt;Parámetros!$B$12,"Supera el límite de horas extras diarias",IF(C413="Cédula no registrada","Registre la cédula en «Trabajadores»","")))</f>
        <v/>
      </c>
      <c r="X413" s="20">
        <f t="shared" si="130"/>
        <v>0</v>
      </c>
      <c r="Y413" s="20">
        <f t="shared" si="131"/>
        <v>0</v>
      </c>
      <c r="Z413" s="20">
        <f t="shared" si="132"/>
        <v>0</v>
      </c>
      <c r="AA413" s="20">
        <f t="shared" si="133"/>
        <v>0</v>
      </c>
      <c r="AB413" s="20">
        <f t="shared" si="134"/>
        <v>0</v>
      </c>
      <c r="AC413" s="20">
        <f t="shared" si="135"/>
        <v>0</v>
      </c>
      <c r="AD413" s="20">
        <f>IF(A413="",21/24,MOD(VLOOKUP(A413,Parámetros!$A$24:$B$25,2,TRUE()),1))</f>
        <v>0.875</v>
      </c>
      <c r="AE413" s="5">
        <f>IF(A413="",0,IF(OR(WEEKDAY(A413,2)=7,COUNTIF(Festivos!$A$5:$A$451,A413)&gt;0),1,0))</f>
        <v>0</v>
      </c>
      <c r="AF413" s="5">
        <f>IF(A413="",0,IF(OR(WEEKDAY(A413+1,2)=7,COUNTIF(Festivos!$A$5:$A$451,A413+1)&gt;0),1,0))</f>
        <v>0</v>
      </c>
      <c r="AG413" s="9">
        <f>IF(A413="",0,VLOOKUP(A413,Parámetros!$A$18:$B$21,2,TRUE()))</f>
        <v>0</v>
      </c>
      <c r="AH413" s="20">
        <f t="shared" si="136"/>
        <v>0</v>
      </c>
      <c r="AI413" s="20">
        <f>MAX(0,MIN(AB413,Parámetros!$B$11)-MAX(X413,0))+MAX(0,MIN(AB413,1+Parámetros!$B$11)-MAX(X413,AD413))+MAX(0,MIN(AB413,2)-MAX(X413,1+AD413))</f>
        <v>0</v>
      </c>
      <c r="AJ413" s="20">
        <f t="shared" si="137"/>
        <v>0</v>
      </c>
      <c r="AK413" s="20">
        <f>AE413*(MAX(0,MIN(AB413,Parámetros!$B$11)-MAX(X413,0))+MAX(0,MIN(AB413,1)-MAX(X413,AD413)))+AF413*(MAX(0,MIN(AB413,1+Parámetros!$B$11)-MAX(X413,1))+MAX(0,MIN(AB413,2)-MAX(X413,1+AD413)))</f>
        <v>0</v>
      </c>
      <c r="AL413" s="20">
        <f t="shared" si="138"/>
        <v>0</v>
      </c>
      <c r="AM413" s="20">
        <f>MAX(0,MIN(AC413,Parámetros!$B$11)-MAX(AB413,0))+MAX(0,MIN(AC413,1+Parámetros!$B$11)-MAX(AB413,AD413))+MAX(0,MIN(AC413,2)-MAX(AB413,1+AD413))</f>
        <v>0</v>
      </c>
      <c r="AN413" s="20">
        <f t="shared" si="139"/>
        <v>0</v>
      </c>
      <c r="AO413" s="20">
        <f>AE413*(MAX(0,MIN(AC413,Parámetros!$B$11)-MAX(AB413,0))+MAX(0,MIN(AC413,1)-MAX(AB413,AD413)))+AF413*(MAX(0,MIN(AC413,1+Parámetros!$B$11)-MAX(AB413,1))+MAX(0,MIN(AC413,2)-MAX(AB413,1+AD413)))</f>
        <v>0</v>
      </c>
    </row>
    <row r="414" spans="1:41" x14ac:dyDescent="0.25">
      <c r="A414" s="15"/>
      <c r="B414" s="8"/>
      <c r="C414" s="5" t="str">
        <f>IF(B414="","",IFERROR(INDEX(Trabajadores!$B$5:$B$204,MATCH(B414,Trabajadores!$A$5:$A$204,0)),"Cédula no registrada"))</f>
        <v/>
      </c>
      <c r="D414" s="11"/>
      <c r="E414" s="11"/>
      <c r="F414" s="8"/>
      <c r="G414" s="18" t="str">
        <f>IF(A414="","",IFERROR(INDEX(Trabajadores!$E$5:$E$204,MATCH(B414,Trabajadores!$A$5:$A$204,0))/Parámetros!$B$6,0)+IF(IFERROR(INDEX(Trabajadores!$E$5:$E$204,MATCH(B414,Trabajadores!$A$5:$A$204,0)),"")="",Parámetros!$B$7,0))</f>
        <v/>
      </c>
      <c r="H414" s="5" t="str">
        <f t="shared" si="120"/>
        <v/>
      </c>
      <c r="I414" s="5" t="str">
        <f>IF(A414="","",IF(COUNTIF(Festivos!$A$5:$A$451,A414)&gt;0,"Festivo",IF(WEEKDAY(A414,2)=7,"Domingo",IF(AND(AF414=1,AC414&gt;1),IF(COUNTIF(Festivos!$A$5:$A$451,A414+1)&gt;0,"Festivo","Domingo")&amp;" desde las 00:00",""))))</f>
        <v/>
      </c>
      <c r="J414" s="19" t="str">
        <f t="shared" si="121"/>
        <v/>
      </c>
      <c r="K414" s="19" t="str">
        <f t="shared" si="122"/>
        <v/>
      </c>
      <c r="L414" s="19" t="str">
        <f t="shared" si="123"/>
        <v/>
      </c>
      <c r="M414" s="19" t="str">
        <f t="shared" si="124"/>
        <v/>
      </c>
      <c r="N414" s="19" t="str">
        <f t="shared" si="125"/>
        <v/>
      </c>
      <c r="O414" s="19" t="str">
        <f t="shared" si="126"/>
        <v/>
      </c>
      <c r="P414" s="19" t="str">
        <f t="shared" si="127"/>
        <v/>
      </c>
      <c r="Q414" s="19" t="str">
        <f t="shared" si="128"/>
        <v/>
      </c>
      <c r="R414" s="19" t="str">
        <f t="shared" si="129"/>
        <v/>
      </c>
      <c r="S414" s="17" t="str">
        <f>IF(B414="","",IFERROR(INDEX(Trabajadores!$G$5:$G$204,MATCH(B414,Trabajadores!$A$5:$A$204,0)),""))</f>
        <v/>
      </c>
      <c r="T414" s="17" t="str">
        <f>IF(OR(OR(A414="",D414="",E414=""),S414=""),"",ROUND(S414*(N(L414)*Parámetros!$B$8+N(M414)*(1+Parámetros!$B$9)+N(N414)*(1+Parámetros!$B$10)+N(O414)*(1+AG414)+N(P414)*(1+AG414+Parámetros!$B$8)+N(Q414)*(1+AG414+Parámetros!$B$9)+N(R414)*(1+AG414+Parámetros!$B$10)),0))</f>
        <v/>
      </c>
      <c r="U414" s="5" t="str">
        <f>IF(OR(A414="",D414="",E414=""),"",IF(N(M414)+N(N414)+N(Q414)+N(R414)&gt;Parámetros!$B$12,"Supera el límite de horas extras diarias",IF(C414="Cédula no registrada","Registre la cédula en «Trabajadores»","")))</f>
        <v/>
      </c>
      <c r="X414" s="20">
        <f t="shared" si="130"/>
        <v>0</v>
      </c>
      <c r="Y414" s="20">
        <f t="shared" si="131"/>
        <v>0</v>
      </c>
      <c r="Z414" s="20">
        <f t="shared" si="132"/>
        <v>0</v>
      </c>
      <c r="AA414" s="20">
        <f t="shared" si="133"/>
        <v>0</v>
      </c>
      <c r="AB414" s="20">
        <f t="shared" si="134"/>
        <v>0</v>
      </c>
      <c r="AC414" s="20">
        <f t="shared" si="135"/>
        <v>0</v>
      </c>
      <c r="AD414" s="20">
        <f>IF(A414="",21/24,MOD(VLOOKUP(A414,Parámetros!$A$24:$B$25,2,TRUE()),1))</f>
        <v>0.875</v>
      </c>
      <c r="AE414" s="5">
        <f>IF(A414="",0,IF(OR(WEEKDAY(A414,2)=7,COUNTIF(Festivos!$A$5:$A$451,A414)&gt;0),1,0))</f>
        <v>0</v>
      </c>
      <c r="AF414" s="5">
        <f>IF(A414="",0,IF(OR(WEEKDAY(A414+1,2)=7,COUNTIF(Festivos!$A$5:$A$451,A414+1)&gt;0),1,0))</f>
        <v>0</v>
      </c>
      <c r="AG414" s="9">
        <f>IF(A414="",0,VLOOKUP(A414,Parámetros!$A$18:$B$21,2,TRUE()))</f>
        <v>0</v>
      </c>
      <c r="AH414" s="20">
        <f t="shared" si="136"/>
        <v>0</v>
      </c>
      <c r="AI414" s="20">
        <f>MAX(0,MIN(AB414,Parámetros!$B$11)-MAX(X414,0))+MAX(0,MIN(AB414,1+Parámetros!$B$11)-MAX(X414,AD414))+MAX(0,MIN(AB414,2)-MAX(X414,1+AD414))</f>
        <v>0</v>
      </c>
      <c r="AJ414" s="20">
        <f t="shared" si="137"/>
        <v>0</v>
      </c>
      <c r="AK414" s="20">
        <f>AE414*(MAX(0,MIN(AB414,Parámetros!$B$11)-MAX(X414,0))+MAX(0,MIN(AB414,1)-MAX(X414,AD414)))+AF414*(MAX(0,MIN(AB414,1+Parámetros!$B$11)-MAX(X414,1))+MAX(0,MIN(AB414,2)-MAX(X414,1+AD414)))</f>
        <v>0</v>
      </c>
      <c r="AL414" s="20">
        <f t="shared" si="138"/>
        <v>0</v>
      </c>
      <c r="AM414" s="20">
        <f>MAX(0,MIN(AC414,Parámetros!$B$11)-MAX(AB414,0))+MAX(0,MIN(AC414,1+Parámetros!$B$11)-MAX(AB414,AD414))+MAX(0,MIN(AC414,2)-MAX(AB414,1+AD414))</f>
        <v>0</v>
      </c>
      <c r="AN414" s="20">
        <f t="shared" si="139"/>
        <v>0</v>
      </c>
      <c r="AO414" s="20">
        <f>AE414*(MAX(0,MIN(AC414,Parámetros!$B$11)-MAX(AB414,0))+MAX(0,MIN(AC414,1)-MAX(AB414,AD414)))+AF414*(MAX(0,MIN(AC414,1+Parámetros!$B$11)-MAX(AB414,1))+MAX(0,MIN(AC414,2)-MAX(AB414,1+AD414)))</f>
        <v>0</v>
      </c>
    </row>
    <row r="415" spans="1:41" x14ac:dyDescent="0.25">
      <c r="A415" s="15"/>
      <c r="B415" s="8"/>
      <c r="C415" s="5" t="str">
        <f>IF(B415="","",IFERROR(INDEX(Trabajadores!$B$5:$B$204,MATCH(B415,Trabajadores!$A$5:$A$204,0)),"Cédula no registrada"))</f>
        <v/>
      </c>
      <c r="D415" s="11"/>
      <c r="E415" s="11"/>
      <c r="F415" s="8"/>
      <c r="G415" s="18" t="str">
        <f>IF(A415="","",IFERROR(INDEX(Trabajadores!$E$5:$E$204,MATCH(B415,Trabajadores!$A$5:$A$204,0))/Parámetros!$B$6,0)+IF(IFERROR(INDEX(Trabajadores!$E$5:$E$204,MATCH(B415,Trabajadores!$A$5:$A$204,0)),"")="",Parámetros!$B$7,0))</f>
        <v/>
      </c>
      <c r="H415" s="5" t="str">
        <f t="shared" si="120"/>
        <v/>
      </c>
      <c r="I415" s="5" t="str">
        <f>IF(A415="","",IF(COUNTIF(Festivos!$A$5:$A$451,A415)&gt;0,"Festivo",IF(WEEKDAY(A415,2)=7,"Domingo",IF(AND(AF415=1,AC415&gt;1),IF(COUNTIF(Festivos!$A$5:$A$451,A415+1)&gt;0,"Festivo","Domingo")&amp;" desde las 00:00",""))))</f>
        <v/>
      </c>
      <c r="J415" s="19" t="str">
        <f t="shared" si="121"/>
        <v/>
      </c>
      <c r="K415" s="19" t="str">
        <f t="shared" si="122"/>
        <v/>
      </c>
      <c r="L415" s="19" t="str">
        <f t="shared" si="123"/>
        <v/>
      </c>
      <c r="M415" s="19" t="str">
        <f t="shared" si="124"/>
        <v/>
      </c>
      <c r="N415" s="19" t="str">
        <f t="shared" si="125"/>
        <v/>
      </c>
      <c r="O415" s="19" t="str">
        <f t="shared" si="126"/>
        <v/>
      </c>
      <c r="P415" s="19" t="str">
        <f t="shared" si="127"/>
        <v/>
      </c>
      <c r="Q415" s="19" t="str">
        <f t="shared" si="128"/>
        <v/>
      </c>
      <c r="R415" s="19" t="str">
        <f t="shared" si="129"/>
        <v/>
      </c>
      <c r="S415" s="17" t="str">
        <f>IF(B415="","",IFERROR(INDEX(Trabajadores!$G$5:$G$204,MATCH(B415,Trabajadores!$A$5:$A$204,0)),""))</f>
        <v/>
      </c>
      <c r="T415" s="17" t="str">
        <f>IF(OR(OR(A415="",D415="",E415=""),S415=""),"",ROUND(S415*(N(L415)*Parámetros!$B$8+N(M415)*(1+Parámetros!$B$9)+N(N415)*(1+Parámetros!$B$10)+N(O415)*(1+AG415)+N(P415)*(1+AG415+Parámetros!$B$8)+N(Q415)*(1+AG415+Parámetros!$B$9)+N(R415)*(1+AG415+Parámetros!$B$10)),0))</f>
        <v/>
      </c>
      <c r="U415" s="5" t="str">
        <f>IF(OR(A415="",D415="",E415=""),"",IF(N(M415)+N(N415)+N(Q415)+N(R415)&gt;Parámetros!$B$12,"Supera el límite de horas extras diarias",IF(C415="Cédula no registrada","Registre la cédula en «Trabajadores»","")))</f>
        <v/>
      </c>
      <c r="X415" s="20">
        <f t="shared" si="130"/>
        <v>0</v>
      </c>
      <c r="Y415" s="20">
        <f t="shared" si="131"/>
        <v>0</v>
      </c>
      <c r="Z415" s="20">
        <f t="shared" si="132"/>
        <v>0</v>
      </c>
      <c r="AA415" s="20">
        <f t="shared" si="133"/>
        <v>0</v>
      </c>
      <c r="AB415" s="20">
        <f t="shared" si="134"/>
        <v>0</v>
      </c>
      <c r="AC415" s="20">
        <f t="shared" si="135"/>
        <v>0</v>
      </c>
      <c r="AD415" s="20">
        <f>IF(A415="",21/24,MOD(VLOOKUP(A415,Parámetros!$A$24:$B$25,2,TRUE()),1))</f>
        <v>0.875</v>
      </c>
      <c r="AE415" s="5">
        <f>IF(A415="",0,IF(OR(WEEKDAY(A415,2)=7,COUNTIF(Festivos!$A$5:$A$451,A415)&gt;0),1,0))</f>
        <v>0</v>
      </c>
      <c r="AF415" s="5">
        <f>IF(A415="",0,IF(OR(WEEKDAY(A415+1,2)=7,COUNTIF(Festivos!$A$5:$A$451,A415+1)&gt;0),1,0))</f>
        <v>0</v>
      </c>
      <c r="AG415" s="9">
        <f>IF(A415="",0,VLOOKUP(A415,Parámetros!$A$18:$B$21,2,TRUE()))</f>
        <v>0</v>
      </c>
      <c r="AH415" s="20">
        <f t="shared" si="136"/>
        <v>0</v>
      </c>
      <c r="AI415" s="20">
        <f>MAX(0,MIN(AB415,Parámetros!$B$11)-MAX(X415,0))+MAX(0,MIN(AB415,1+Parámetros!$B$11)-MAX(X415,AD415))+MAX(0,MIN(AB415,2)-MAX(X415,1+AD415))</f>
        <v>0</v>
      </c>
      <c r="AJ415" s="20">
        <f t="shared" si="137"/>
        <v>0</v>
      </c>
      <c r="AK415" s="20">
        <f>AE415*(MAX(0,MIN(AB415,Parámetros!$B$11)-MAX(X415,0))+MAX(0,MIN(AB415,1)-MAX(X415,AD415)))+AF415*(MAX(0,MIN(AB415,1+Parámetros!$B$11)-MAX(X415,1))+MAX(0,MIN(AB415,2)-MAX(X415,1+AD415)))</f>
        <v>0</v>
      </c>
      <c r="AL415" s="20">
        <f t="shared" si="138"/>
        <v>0</v>
      </c>
      <c r="AM415" s="20">
        <f>MAX(0,MIN(AC415,Parámetros!$B$11)-MAX(AB415,0))+MAX(0,MIN(AC415,1+Parámetros!$B$11)-MAX(AB415,AD415))+MAX(0,MIN(AC415,2)-MAX(AB415,1+AD415))</f>
        <v>0</v>
      </c>
      <c r="AN415" s="20">
        <f t="shared" si="139"/>
        <v>0</v>
      </c>
      <c r="AO415" s="20">
        <f>AE415*(MAX(0,MIN(AC415,Parámetros!$B$11)-MAX(AB415,0))+MAX(0,MIN(AC415,1)-MAX(AB415,AD415)))+AF415*(MAX(0,MIN(AC415,1+Parámetros!$B$11)-MAX(AB415,1))+MAX(0,MIN(AC415,2)-MAX(AB415,1+AD415)))</f>
        <v>0</v>
      </c>
    </row>
    <row r="416" spans="1:41" x14ac:dyDescent="0.25">
      <c r="A416" s="15"/>
      <c r="B416" s="8"/>
      <c r="C416" s="5" t="str">
        <f>IF(B416="","",IFERROR(INDEX(Trabajadores!$B$5:$B$204,MATCH(B416,Trabajadores!$A$5:$A$204,0)),"Cédula no registrada"))</f>
        <v/>
      </c>
      <c r="D416" s="11"/>
      <c r="E416" s="11"/>
      <c r="F416" s="8"/>
      <c r="G416" s="18" t="str">
        <f>IF(A416="","",IFERROR(INDEX(Trabajadores!$E$5:$E$204,MATCH(B416,Trabajadores!$A$5:$A$204,0))/Parámetros!$B$6,0)+IF(IFERROR(INDEX(Trabajadores!$E$5:$E$204,MATCH(B416,Trabajadores!$A$5:$A$204,0)),"")="",Parámetros!$B$7,0))</f>
        <v/>
      </c>
      <c r="H416" s="5" t="str">
        <f t="shared" si="120"/>
        <v/>
      </c>
      <c r="I416" s="5" t="str">
        <f>IF(A416="","",IF(COUNTIF(Festivos!$A$5:$A$451,A416)&gt;0,"Festivo",IF(WEEKDAY(A416,2)=7,"Domingo",IF(AND(AF416=1,AC416&gt;1),IF(COUNTIF(Festivos!$A$5:$A$451,A416+1)&gt;0,"Festivo","Domingo")&amp;" desde las 00:00",""))))</f>
        <v/>
      </c>
      <c r="J416" s="19" t="str">
        <f t="shared" si="121"/>
        <v/>
      </c>
      <c r="K416" s="19" t="str">
        <f t="shared" si="122"/>
        <v/>
      </c>
      <c r="L416" s="19" t="str">
        <f t="shared" si="123"/>
        <v/>
      </c>
      <c r="M416" s="19" t="str">
        <f t="shared" si="124"/>
        <v/>
      </c>
      <c r="N416" s="19" t="str">
        <f t="shared" si="125"/>
        <v/>
      </c>
      <c r="O416" s="19" t="str">
        <f t="shared" si="126"/>
        <v/>
      </c>
      <c r="P416" s="19" t="str">
        <f t="shared" si="127"/>
        <v/>
      </c>
      <c r="Q416" s="19" t="str">
        <f t="shared" si="128"/>
        <v/>
      </c>
      <c r="R416" s="19" t="str">
        <f t="shared" si="129"/>
        <v/>
      </c>
      <c r="S416" s="17" t="str">
        <f>IF(B416="","",IFERROR(INDEX(Trabajadores!$G$5:$G$204,MATCH(B416,Trabajadores!$A$5:$A$204,0)),""))</f>
        <v/>
      </c>
      <c r="T416" s="17" t="str">
        <f>IF(OR(OR(A416="",D416="",E416=""),S416=""),"",ROUND(S416*(N(L416)*Parámetros!$B$8+N(M416)*(1+Parámetros!$B$9)+N(N416)*(1+Parámetros!$B$10)+N(O416)*(1+AG416)+N(P416)*(1+AG416+Parámetros!$B$8)+N(Q416)*(1+AG416+Parámetros!$B$9)+N(R416)*(1+AG416+Parámetros!$B$10)),0))</f>
        <v/>
      </c>
      <c r="U416" s="5" t="str">
        <f>IF(OR(A416="",D416="",E416=""),"",IF(N(M416)+N(N416)+N(Q416)+N(R416)&gt;Parámetros!$B$12,"Supera el límite de horas extras diarias",IF(C416="Cédula no registrada","Registre la cédula en «Trabajadores»","")))</f>
        <v/>
      </c>
      <c r="X416" s="20">
        <f t="shared" si="130"/>
        <v>0</v>
      </c>
      <c r="Y416" s="20">
        <f t="shared" si="131"/>
        <v>0</v>
      </c>
      <c r="Z416" s="20">
        <f t="shared" si="132"/>
        <v>0</v>
      </c>
      <c r="AA416" s="20">
        <f t="shared" si="133"/>
        <v>0</v>
      </c>
      <c r="AB416" s="20">
        <f t="shared" si="134"/>
        <v>0</v>
      </c>
      <c r="AC416" s="20">
        <f t="shared" si="135"/>
        <v>0</v>
      </c>
      <c r="AD416" s="20">
        <f>IF(A416="",21/24,MOD(VLOOKUP(A416,Parámetros!$A$24:$B$25,2,TRUE()),1))</f>
        <v>0.875</v>
      </c>
      <c r="AE416" s="5">
        <f>IF(A416="",0,IF(OR(WEEKDAY(A416,2)=7,COUNTIF(Festivos!$A$5:$A$451,A416)&gt;0),1,0))</f>
        <v>0</v>
      </c>
      <c r="AF416" s="5">
        <f>IF(A416="",0,IF(OR(WEEKDAY(A416+1,2)=7,COUNTIF(Festivos!$A$5:$A$451,A416+1)&gt;0),1,0))</f>
        <v>0</v>
      </c>
      <c r="AG416" s="9">
        <f>IF(A416="",0,VLOOKUP(A416,Parámetros!$A$18:$B$21,2,TRUE()))</f>
        <v>0</v>
      </c>
      <c r="AH416" s="20">
        <f t="shared" si="136"/>
        <v>0</v>
      </c>
      <c r="AI416" s="20">
        <f>MAX(0,MIN(AB416,Parámetros!$B$11)-MAX(X416,0))+MAX(0,MIN(AB416,1+Parámetros!$B$11)-MAX(X416,AD416))+MAX(0,MIN(AB416,2)-MAX(X416,1+AD416))</f>
        <v>0</v>
      </c>
      <c r="AJ416" s="20">
        <f t="shared" si="137"/>
        <v>0</v>
      </c>
      <c r="AK416" s="20">
        <f>AE416*(MAX(0,MIN(AB416,Parámetros!$B$11)-MAX(X416,0))+MAX(0,MIN(AB416,1)-MAX(X416,AD416)))+AF416*(MAX(0,MIN(AB416,1+Parámetros!$B$11)-MAX(X416,1))+MAX(0,MIN(AB416,2)-MAX(X416,1+AD416)))</f>
        <v>0</v>
      </c>
      <c r="AL416" s="20">
        <f t="shared" si="138"/>
        <v>0</v>
      </c>
      <c r="AM416" s="20">
        <f>MAX(0,MIN(AC416,Parámetros!$B$11)-MAX(AB416,0))+MAX(0,MIN(AC416,1+Parámetros!$B$11)-MAX(AB416,AD416))+MAX(0,MIN(AC416,2)-MAX(AB416,1+AD416))</f>
        <v>0</v>
      </c>
      <c r="AN416" s="20">
        <f t="shared" si="139"/>
        <v>0</v>
      </c>
      <c r="AO416" s="20">
        <f>AE416*(MAX(0,MIN(AC416,Parámetros!$B$11)-MAX(AB416,0))+MAX(0,MIN(AC416,1)-MAX(AB416,AD416)))+AF416*(MAX(0,MIN(AC416,1+Parámetros!$B$11)-MAX(AB416,1))+MAX(0,MIN(AC416,2)-MAX(AB416,1+AD416)))</f>
        <v>0</v>
      </c>
    </row>
    <row r="417" spans="1:41" x14ac:dyDescent="0.25">
      <c r="A417" s="15"/>
      <c r="B417" s="8"/>
      <c r="C417" s="5" t="str">
        <f>IF(B417="","",IFERROR(INDEX(Trabajadores!$B$5:$B$204,MATCH(B417,Trabajadores!$A$5:$A$204,0)),"Cédula no registrada"))</f>
        <v/>
      </c>
      <c r="D417" s="11"/>
      <c r="E417" s="11"/>
      <c r="F417" s="8"/>
      <c r="G417" s="18" t="str">
        <f>IF(A417="","",IFERROR(INDEX(Trabajadores!$E$5:$E$204,MATCH(B417,Trabajadores!$A$5:$A$204,0))/Parámetros!$B$6,0)+IF(IFERROR(INDEX(Trabajadores!$E$5:$E$204,MATCH(B417,Trabajadores!$A$5:$A$204,0)),"")="",Parámetros!$B$7,0))</f>
        <v/>
      </c>
      <c r="H417" s="5" t="str">
        <f t="shared" si="120"/>
        <v/>
      </c>
      <c r="I417" s="5" t="str">
        <f>IF(A417="","",IF(COUNTIF(Festivos!$A$5:$A$451,A417)&gt;0,"Festivo",IF(WEEKDAY(A417,2)=7,"Domingo",IF(AND(AF417=1,AC417&gt;1),IF(COUNTIF(Festivos!$A$5:$A$451,A417+1)&gt;0,"Festivo","Domingo")&amp;" desde las 00:00",""))))</f>
        <v/>
      </c>
      <c r="J417" s="19" t="str">
        <f t="shared" si="121"/>
        <v/>
      </c>
      <c r="K417" s="19" t="str">
        <f t="shared" si="122"/>
        <v/>
      </c>
      <c r="L417" s="19" t="str">
        <f t="shared" si="123"/>
        <v/>
      </c>
      <c r="M417" s="19" t="str">
        <f t="shared" si="124"/>
        <v/>
      </c>
      <c r="N417" s="19" t="str">
        <f t="shared" si="125"/>
        <v/>
      </c>
      <c r="O417" s="19" t="str">
        <f t="shared" si="126"/>
        <v/>
      </c>
      <c r="P417" s="19" t="str">
        <f t="shared" si="127"/>
        <v/>
      </c>
      <c r="Q417" s="19" t="str">
        <f t="shared" si="128"/>
        <v/>
      </c>
      <c r="R417" s="19" t="str">
        <f t="shared" si="129"/>
        <v/>
      </c>
      <c r="S417" s="17" t="str">
        <f>IF(B417="","",IFERROR(INDEX(Trabajadores!$G$5:$G$204,MATCH(B417,Trabajadores!$A$5:$A$204,0)),""))</f>
        <v/>
      </c>
      <c r="T417" s="17" t="str">
        <f>IF(OR(OR(A417="",D417="",E417=""),S417=""),"",ROUND(S417*(N(L417)*Parámetros!$B$8+N(M417)*(1+Parámetros!$B$9)+N(N417)*(1+Parámetros!$B$10)+N(O417)*(1+AG417)+N(P417)*(1+AG417+Parámetros!$B$8)+N(Q417)*(1+AG417+Parámetros!$B$9)+N(R417)*(1+AG417+Parámetros!$B$10)),0))</f>
        <v/>
      </c>
      <c r="U417" s="5" t="str">
        <f>IF(OR(A417="",D417="",E417=""),"",IF(N(M417)+N(N417)+N(Q417)+N(R417)&gt;Parámetros!$B$12,"Supera el límite de horas extras diarias",IF(C417="Cédula no registrada","Registre la cédula en «Trabajadores»","")))</f>
        <v/>
      </c>
      <c r="X417" s="20">
        <f t="shared" si="130"/>
        <v>0</v>
      </c>
      <c r="Y417" s="20">
        <f t="shared" si="131"/>
        <v>0</v>
      </c>
      <c r="Z417" s="20">
        <f t="shared" si="132"/>
        <v>0</v>
      </c>
      <c r="AA417" s="20">
        <f t="shared" si="133"/>
        <v>0</v>
      </c>
      <c r="AB417" s="20">
        <f t="shared" si="134"/>
        <v>0</v>
      </c>
      <c r="AC417" s="20">
        <f t="shared" si="135"/>
        <v>0</v>
      </c>
      <c r="AD417" s="20">
        <f>IF(A417="",21/24,MOD(VLOOKUP(A417,Parámetros!$A$24:$B$25,2,TRUE()),1))</f>
        <v>0.875</v>
      </c>
      <c r="AE417" s="5">
        <f>IF(A417="",0,IF(OR(WEEKDAY(A417,2)=7,COUNTIF(Festivos!$A$5:$A$451,A417)&gt;0),1,0))</f>
        <v>0</v>
      </c>
      <c r="AF417" s="5">
        <f>IF(A417="",0,IF(OR(WEEKDAY(A417+1,2)=7,COUNTIF(Festivos!$A$5:$A$451,A417+1)&gt;0),1,0))</f>
        <v>0</v>
      </c>
      <c r="AG417" s="9">
        <f>IF(A417="",0,VLOOKUP(A417,Parámetros!$A$18:$B$21,2,TRUE()))</f>
        <v>0</v>
      </c>
      <c r="AH417" s="20">
        <f t="shared" si="136"/>
        <v>0</v>
      </c>
      <c r="AI417" s="20">
        <f>MAX(0,MIN(AB417,Parámetros!$B$11)-MAX(X417,0))+MAX(0,MIN(AB417,1+Parámetros!$B$11)-MAX(X417,AD417))+MAX(0,MIN(AB417,2)-MAX(X417,1+AD417))</f>
        <v>0</v>
      </c>
      <c r="AJ417" s="20">
        <f t="shared" si="137"/>
        <v>0</v>
      </c>
      <c r="AK417" s="20">
        <f>AE417*(MAX(0,MIN(AB417,Parámetros!$B$11)-MAX(X417,0))+MAX(0,MIN(AB417,1)-MAX(X417,AD417)))+AF417*(MAX(0,MIN(AB417,1+Parámetros!$B$11)-MAX(X417,1))+MAX(0,MIN(AB417,2)-MAX(X417,1+AD417)))</f>
        <v>0</v>
      </c>
      <c r="AL417" s="20">
        <f t="shared" si="138"/>
        <v>0</v>
      </c>
      <c r="AM417" s="20">
        <f>MAX(0,MIN(AC417,Parámetros!$B$11)-MAX(AB417,0))+MAX(0,MIN(AC417,1+Parámetros!$B$11)-MAX(AB417,AD417))+MAX(0,MIN(AC417,2)-MAX(AB417,1+AD417))</f>
        <v>0</v>
      </c>
      <c r="AN417" s="20">
        <f t="shared" si="139"/>
        <v>0</v>
      </c>
      <c r="AO417" s="20">
        <f>AE417*(MAX(0,MIN(AC417,Parámetros!$B$11)-MAX(AB417,0))+MAX(0,MIN(AC417,1)-MAX(AB417,AD417)))+AF417*(MAX(0,MIN(AC417,1+Parámetros!$B$11)-MAX(AB417,1))+MAX(0,MIN(AC417,2)-MAX(AB417,1+AD417)))</f>
        <v>0</v>
      </c>
    </row>
    <row r="418" spans="1:41" x14ac:dyDescent="0.25">
      <c r="A418" s="15"/>
      <c r="B418" s="8"/>
      <c r="C418" s="5" t="str">
        <f>IF(B418="","",IFERROR(INDEX(Trabajadores!$B$5:$B$204,MATCH(B418,Trabajadores!$A$5:$A$204,0)),"Cédula no registrada"))</f>
        <v/>
      </c>
      <c r="D418" s="11"/>
      <c r="E418" s="11"/>
      <c r="F418" s="8"/>
      <c r="G418" s="18" t="str">
        <f>IF(A418="","",IFERROR(INDEX(Trabajadores!$E$5:$E$204,MATCH(B418,Trabajadores!$A$5:$A$204,0))/Parámetros!$B$6,0)+IF(IFERROR(INDEX(Trabajadores!$E$5:$E$204,MATCH(B418,Trabajadores!$A$5:$A$204,0)),"")="",Parámetros!$B$7,0))</f>
        <v/>
      </c>
      <c r="H418" s="5" t="str">
        <f t="shared" si="120"/>
        <v/>
      </c>
      <c r="I418" s="5" t="str">
        <f>IF(A418="","",IF(COUNTIF(Festivos!$A$5:$A$451,A418)&gt;0,"Festivo",IF(WEEKDAY(A418,2)=7,"Domingo",IF(AND(AF418=1,AC418&gt;1),IF(COUNTIF(Festivos!$A$5:$A$451,A418+1)&gt;0,"Festivo","Domingo")&amp;" desde las 00:00",""))))</f>
        <v/>
      </c>
      <c r="J418" s="19" t="str">
        <f t="shared" si="121"/>
        <v/>
      </c>
      <c r="K418" s="19" t="str">
        <f t="shared" si="122"/>
        <v/>
      </c>
      <c r="L418" s="19" t="str">
        <f t="shared" si="123"/>
        <v/>
      </c>
      <c r="M418" s="19" t="str">
        <f t="shared" si="124"/>
        <v/>
      </c>
      <c r="N418" s="19" t="str">
        <f t="shared" si="125"/>
        <v/>
      </c>
      <c r="O418" s="19" t="str">
        <f t="shared" si="126"/>
        <v/>
      </c>
      <c r="P418" s="19" t="str">
        <f t="shared" si="127"/>
        <v/>
      </c>
      <c r="Q418" s="19" t="str">
        <f t="shared" si="128"/>
        <v/>
      </c>
      <c r="R418" s="19" t="str">
        <f t="shared" si="129"/>
        <v/>
      </c>
      <c r="S418" s="17" t="str">
        <f>IF(B418="","",IFERROR(INDEX(Trabajadores!$G$5:$G$204,MATCH(B418,Trabajadores!$A$5:$A$204,0)),""))</f>
        <v/>
      </c>
      <c r="T418" s="17" t="str">
        <f>IF(OR(OR(A418="",D418="",E418=""),S418=""),"",ROUND(S418*(N(L418)*Parámetros!$B$8+N(M418)*(1+Parámetros!$B$9)+N(N418)*(1+Parámetros!$B$10)+N(O418)*(1+AG418)+N(P418)*(1+AG418+Parámetros!$B$8)+N(Q418)*(1+AG418+Parámetros!$B$9)+N(R418)*(1+AG418+Parámetros!$B$10)),0))</f>
        <v/>
      </c>
      <c r="U418" s="5" t="str">
        <f>IF(OR(A418="",D418="",E418=""),"",IF(N(M418)+N(N418)+N(Q418)+N(R418)&gt;Parámetros!$B$12,"Supera el límite de horas extras diarias",IF(C418="Cédula no registrada","Registre la cédula en «Trabajadores»","")))</f>
        <v/>
      </c>
      <c r="X418" s="20">
        <f t="shared" si="130"/>
        <v>0</v>
      </c>
      <c r="Y418" s="20">
        <f t="shared" si="131"/>
        <v>0</v>
      </c>
      <c r="Z418" s="20">
        <f t="shared" si="132"/>
        <v>0</v>
      </c>
      <c r="AA418" s="20">
        <f t="shared" si="133"/>
        <v>0</v>
      </c>
      <c r="AB418" s="20">
        <f t="shared" si="134"/>
        <v>0</v>
      </c>
      <c r="AC418" s="20">
        <f t="shared" si="135"/>
        <v>0</v>
      </c>
      <c r="AD418" s="20">
        <f>IF(A418="",21/24,MOD(VLOOKUP(A418,Parámetros!$A$24:$B$25,2,TRUE()),1))</f>
        <v>0.875</v>
      </c>
      <c r="AE418" s="5">
        <f>IF(A418="",0,IF(OR(WEEKDAY(A418,2)=7,COUNTIF(Festivos!$A$5:$A$451,A418)&gt;0),1,0))</f>
        <v>0</v>
      </c>
      <c r="AF418" s="5">
        <f>IF(A418="",0,IF(OR(WEEKDAY(A418+1,2)=7,COUNTIF(Festivos!$A$5:$A$451,A418+1)&gt;0),1,0))</f>
        <v>0</v>
      </c>
      <c r="AG418" s="9">
        <f>IF(A418="",0,VLOOKUP(A418,Parámetros!$A$18:$B$21,2,TRUE()))</f>
        <v>0</v>
      </c>
      <c r="AH418" s="20">
        <f t="shared" si="136"/>
        <v>0</v>
      </c>
      <c r="AI418" s="20">
        <f>MAX(0,MIN(AB418,Parámetros!$B$11)-MAX(X418,0))+MAX(0,MIN(AB418,1+Parámetros!$B$11)-MAX(X418,AD418))+MAX(0,MIN(AB418,2)-MAX(X418,1+AD418))</f>
        <v>0</v>
      </c>
      <c r="AJ418" s="20">
        <f t="shared" si="137"/>
        <v>0</v>
      </c>
      <c r="AK418" s="20">
        <f>AE418*(MAX(0,MIN(AB418,Parámetros!$B$11)-MAX(X418,0))+MAX(0,MIN(AB418,1)-MAX(X418,AD418)))+AF418*(MAX(0,MIN(AB418,1+Parámetros!$B$11)-MAX(X418,1))+MAX(0,MIN(AB418,2)-MAX(X418,1+AD418)))</f>
        <v>0</v>
      </c>
      <c r="AL418" s="20">
        <f t="shared" si="138"/>
        <v>0</v>
      </c>
      <c r="AM418" s="20">
        <f>MAX(0,MIN(AC418,Parámetros!$B$11)-MAX(AB418,0))+MAX(0,MIN(AC418,1+Parámetros!$B$11)-MAX(AB418,AD418))+MAX(0,MIN(AC418,2)-MAX(AB418,1+AD418))</f>
        <v>0</v>
      </c>
      <c r="AN418" s="20">
        <f t="shared" si="139"/>
        <v>0</v>
      </c>
      <c r="AO418" s="20">
        <f>AE418*(MAX(0,MIN(AC418,Parámetros!$B$11)-MAX(AB418,0))+MAX(0,MIN(AC418,1)-MAX(AB418,AD418)))+AF418*(MAX(0,MIN(AC418,1+Parámetros!$B$11)-MAX(AB418,1))+MAX(0,MIN(AC418,2)-MAX(AB418,1+AD418)))</f>
        <v>0</v>
      </c>
    </row>
    <row r="419" spans="1:41" x14ac:dyDescent="0.25">
      <c r="A419" s="15"/>
      <c r="B419" s="8"/>
      <c r="C419" s="5" t="str">
        <f>IF(B419="","",IFERROR(INDEX(Trabajadores!$B$5:$B$204,MATCH(B419,Trabajadores!$A$5:$A$204,0)),"Cédula no registrada"))</f>
        <v/>
      </c>
      <c r="D419" s="11"/>
      <c r="E419" s="11"/>
      <c r="F419" s="8"/>
      <c r="G419" s="18" t="str">
        <f>IF(A419="","",IFERROR(INDEX(Trabajadores!$E$5:$E$204,MATCH(B419,Trabajadores!$A$5:$A$204,0))/Parámetros!$B$6,0)+IF(IFERROR(INDEX(Trabajadores!$E$5:$E$204,MATCH(B419,Trabajadores!$A$5:$A$204,0)),"")="",Parámetros!$B$7,0))</f>
        <v/>
      </c>
      <c r="H419" s="5" t="str">
        <f t="shared" si="120"/>
        <v/>
      </c>
      <c r="I419" s="5" t="str">
        <f>IF(A419="","",IF(COUNTIF(Festivos!$A$5:$A$451,A419)&gt;0,"Festivo",IF(WEEKDAY(A419,2)=7,"Domingo",IF(AND(AF419=1,AC419&gt;1),IF(COUNTIF(Festivos!$A$5:$A$451,A419+1)&gt;0,"Festivo","Domingo")&amp;" desde las 00:00",""))))</f>
        <v/>
      </c>
      <c r="J419" s="19" t="str">
        <f t="shared" si="121"/>
        <v/>
      </c>
      <c r="K419" s="19" t="str">
        <f t="shared" si="122"/>
        <v/>
      </c>
      <c r="L419" s="19" t="str">
        <f t="shared" si="123"/>
        <v/>
      </c>
      <c r="M419" s="19" t="str">
        <f t="shared" si="124"/>
        <v/>
      </c>
      <c r="N419" s="19" t="str">
        <f t="shared" si="125"/>
        <v/>
      </c>
      <c r="O419" s="19" t="str">
        <f t="shared" si="126"/>
        <v/>
      </c>
      <c r="P419" s="19" t="str">
        <f t="shared" si="127"/>
        <v/>
      </c>
      <c r="Q419" s="19" t="str">
        <f t="shared" si="128"/>
        <v/>
      </c>
      <c r="R419" s="19" t="str">
        <f t="shared" si="129"/>
        <v/>
      </c>
      <c r="S419" s="17" t="str">
        <f>IF(B419="","",IFERROR(INDEX(Trabajadores!$G$5:$G$204,MATCH(B419,Trabajadores!$A$5:$A$204,0)),""))</f>
        <v/>
      </c>
      <c r="T419" s="17" t="str">
        <f>IF(OR(OR(A419="",D419="",E419=""),S419=""),"",ROUND(S419*(N(L419)*Parámetros!$B$8+N(M419)*(1+Parámetros!$B$9)+N(N419)*(1+Parámetros!$B$10)+N(O419)*(1+AG419)+N(P419)*(1+AG419+Parámetros!$B$8)+N(Q419)*(1+AG419+Parámetros!$B$9)+N(R419)*(1+AG419+Parámetros!$B$10)),0))</f>
        <v/>
      </c>
      <c r="U419" s="5" t="str">
        <f>IF(OR(A419="",D419="",E419=""),"",IF(N(M419)+N(N419)+N(Q419)+N(R419)&gt;Parámetros!$B$12,"Supera el límite de horas extras diarias",IF(C419="Cédula no registrada","Registre la cédula en «Trabajadores»","")))</f>
        <v/>
      </c>
      <c r="X419" s="20">
        <f t="shared" si="130"/>
        <v>0</v>
      </c>
      <c r="Y419" s="20">
        <f t="shared" si="131"/>
        <v>0</v>
      </c>
      <c r="Z419" s="20">
        <f t="shared" si="132"/>
        <v>0</v>
      </c>
      <c r="AA419" s="20">
        <f t="shared" si="133"/>
        <v>0</v>
      </c>
      <c r="AB419" s="20">
        <f t="shared" si="134"/>
        <v>0</v>
      </c>
      <c r="AC419" s="20">
        <f t="shared" si="135"/>
        <v>0</v>
      </c>
      <c r="AD419" s="20">
        <f>IF(A419="",21/24,MOD(VLOOKUP(A419,Parámetros!$A$24:$B$25,2,TRUE()),1))</f>
        <v>0.875</v>
      </c>
      <c r="AE419" s="5">
        <f>IF(A419="",0,IF(OR(WEEKDAY(A419,2)=7,COUNTIF(Festivos!$A$5:$A$451,A419)&gt;0),1,0))</f>
        <v>0</v>
      </c>
      <c r="AF419" s="5">
        <f>IF(A419="",0,IF(OR(WEEKDAY(A419+1,2)=7,COUNTIF(Festivos!$A$5:$A$451,A419+1)&gt;0),1,0))</f>
        <v>0</v>
      </c>
      <c r="AG419" s="9">
        <f>IF(A419="",0,VLOOKUP(A419,Parámetros!$A$18:$B$21,2,TRUE()))</f>
        <v>0</v>
      </c>
      <c r="AH419" s="20">
        <f t="shared" si="136"/>
        <v>0</v>
      </c>
      <c r="AI419" s="20">
        <f>MAX(0,MIN(AB419,Parámetros!$B$11)-MAX(X419,0))+MAX(0,MIN(AB419,1+Parámetros!$B$11)-MAX(X419,AD419))+MAX(0,MIN(AB419,2)-MAX(X419,1+AD419))</f>
        <v>0</v>
      </c>
      <c r="AJ419" s="20">
        <f t="shared" si="137"/>
        <v>0</v>
      </c>
      <c r="AK419" s="20">
        <f>AE419*(MAX(0,MIN(AB419,Parámetros!$B$11)-MAX(X419,0))+MAX(0,MIN(AB419,1)-MAX(X419,AD419)))+AF419*(MAX(0,MIN(AB419,1+Parámetros!$B$11)-MAX(X419,1))+MAX(0,MIN(AB419,2)-MAX(X419,1+AD419)))</f>
        <v>0</v>
      </c>
      <c r="AL419" s="20">
        <f t="shared" si="138"/>
        <v>0</v>
      </c>
      <c r="AM419" s="20">
        <f>MAX(0,MIN(AC419,Parámetros!$B$11)-MAX(AB419,0))+MAX(0,MIN(AC419,1+Parámetros!$B$11)-MAX(AB419,AD419))+MAX(0,MIN(AC419,2)-MAX(AB419,1+AD419))</f>
        <v>0</v>
      </c>
      <c r="AN419" s="20">
        <f t="shared" si="139"/>
        <v>0</v>
      </c>
      <c r="AO419" s="20">
        <f>AE419*(MAX(0,MIN(AC419,Parámetros!$B$11)-MAX(AB419,0))+MAX(0,MIN(AC419,1)-MAX(AB419,AD419)))+AF419*(MAX(0,MIN(AC419,1+Parámetros!$B$11)-MAX(AB419,1))+MAX(0,MIN(AC419,2)-MAX(AB419,1+AD419)))</f>
        <v>0</v>
      </c>
    </row>
    <row r="420" spans="1:41" x14ac:dyDescent="0.25">
      <c r="A420" s="15"/>
      <c r="B420" s="8"/>
      <c r="C420" s="5" t="str">
        <f>IF(B420="","",IFERROR(INDEX(Trabajadores!$B$5:$B$204,MATCH(B420,Trabajadores!$A$5:$A$204,0)),"Cédula no registrada"))</f>
        <v/>
      </c>
      <c r="D420" s="11"/>
      <c r="E420" s="11"/>
      <c r="F420" s="8"/>
      <c r="G420" s="18" t="str">
        <f>IF(A420="","",IFERROR(INDEX(Trabajadores!$E$5:$E$204,MATCH(B420,Trabajadores!$A$5:$A$204,0))/Parámetros!$B$6,0)+IF(IFERROR(INDEX(Trabajadores!$E$5:$E$204,MATCH(B420,Trabajadores!$A$5:$A$204,0)),"")="",Parámetros!$B$7,0))</f>
        <v/>
      </c>
      <c r="H420" s="5" t="str">
        <f t="shared" si="120"/>
        <v/>
      </c>
      <c r="I420" s="5" t="str">
        <f>IF(A420="","",IF(COUNTIF(Festivos!$A$5:$A$451,A420)&gt;0,"Festivo",IF(WEEKDAY(A420,2)=7,"Domingo",IF(AND(AF420=1,AC420&gt;1),IF(COUNTIF(Festivos!$A$5:$A$451,A420+1)&gt;0,"Festivo","Domingo")&amp;" desde las 00:00",""))))</f>
        <v/>
      </c>
      <c r="J420" s="19" t="str">
        <f t="shared" si="121"/>
        <v/>
      </c>
      <c r="K420" s="19" t="str">
        <f t="shared" si="122"/>
        <v/>
      </c>
      <c r="L420" s="19" t="str">
        <f t="shared" si="123"/>
        <v/>
      </c>
      <c r="M420" s="19" t="str">
        <f t="shared" si="124"/>
        <v/>
      </c>
      <c r="N420" s="19" t="str">
        <f t="shared" si="125"/>
        <v/>
      </c>
      <c r="O420" s="19" t="str">
        <f t="shared" si="126"/>
        <v/>
      </c>
      <c r="P420" s="19" t="str">
        <f t="shared" si="127"/>
        <v/>
      </c>
      <c r="Q420" s="19" t="str">
        <f t="shared" si="128"/>
        <v/>
      </c>
      <c r="R420" s="19" t="str">
        <f t="shared" si="129"/>
        <v/>
      </c>
      <c r="S420" s="17" t="str">
        <f>IF(B420="","",IFERROR(INDEX(Trabajadores!$G$5:$G$204,MATCH(B420,Trabajadores!$A$5:$A$204,0)),""))</f>
        <v/>
      </c>
      <c r="T420" s="17" t="str">
        <f>IF(OR(OR(A420="",D420="",E420=""),S420=""),"",ROUND(S420*(N(L420)*Parámetros!$B$8+N(M420)*(1+Parámetros!$B$9)+N(N420)*(1+Parámetros!$B$10)+N(O420)*(1+AG420)+N(P420)*(1+AG420+Parámetros!$B$8)+N(Q420)*(1+AG420+Parámetros!$B$9)+N(R420)*(1+AG420+Parámetros!$B$10)),0))</f>
        <v/>
      </c>
      <c r="U420" s="5" t="str">
        <f>IF(OR(A420="",D420="",E420=""),"",IF(N(M420)+N(N420)+N(Q420)+N(R420)&gt;Parámetros!$B$12,"Supera el límite de horas extras diarias",IF(C420="Cédula no registrada","Registre la cédula en «Trabajadores»","")))</f>
        <v/>
      </c>
      <c r="X420" s="20">
        <f t="shared" si="130"/>
        <v>0</v>
      </c>
      <c r="Y420" s="20">
        <f t="shared" si="131"/>
        <v>0</v>
      </c>
      <c r="Z420" s="20">
        <f t="shared" si="132"/>
        <v>0</v>
      </c>
      <c r="AA420" s="20">
        <f t="shared" si="133"/>
        <v>0</v>
      </c>
      <c r="AB420" s="20">
        <f t="shared" si="134"/>
        <v>0</v>
      </c>
      <c r="AC420" s="20">
        <f t="shared" si="135"/>
        <v>0</v>
      </c>
      <c r="AD420" s="20">
        <f>IF(A420="",21/24,MOD(VLOOKUP(A420,Parámetros!$A$24:$B$25,2,TRUE()),1))</f>
        <v>0.875</v>
      </c>
      <c r="AE420" s="5">
        <f>IF(A420="",0,IF(OR(WEEKDAY(A420,2)=7,COUNTIF(Festivos!$A$5:$A$451,A420)&gt;0),1,0))</f>
        <v>0</v>
      </c>
      <c r="AF420" s="5">
        <f>IF(A420="",0,IF(OR(WEEKDAY(A420+1,2)=7,COUNTIF(Festivos!$A$5:$A$451,A420+1)&gt;0),1,0))</f>
        <v>0</v>
      </c>
      <c r="AG420" s="9">
        <f>IF(A420="",0,VLOOKUP(A420,Parámetros!$A$18:$B$21,2,TRUE()))</f>
        <v>0</v>
      </c>
      <c r="AH420" s="20">
        <f t="shared" si="136"/>
        <v>0</v>
      </c>
      <c r="AI420" s="20">
        <f>MAX(0,MIN(AB420,Parámetros!$B$11)-MAX(X420,0))+MAX(0,MIN(AB420,1+Parámetros!$B$11)-MAX(X420,AD420))+MAX(0,MIN(AB420,2)-MAX(X420,1+AD420))</f>
        <v>0</v>
      </c>
      <c r="AJ420" s="20">
        <f t="shared" si="137"/>
        <v>0</v>
      </c>
      <c r="AK420" s="20">
        <f>AE420*(MAX(0,MIN(AB420,Parámetros!$B$11)-MAX(X420,0))+MAX(0,MIN(AB420,1)-MAX(X420,AD420)))+AF420*(MAX(0,MIN(AB420,1+Parámetros!$B$11)-MAX(X420,1))+MAX(0,MIN(AB420,2)-MAX(X420,1+AD420)))</f>
        <v>0</v>
      </c>
      <c r="AL420" s="20">
        <f t="shared" si="138"/>
        <v>0</v>
      </c>
      <c r="AM420" s="20">
        <f>MAX(0,MIN(AC420,Parámetros!$B$11)-MAX(AB420,0))+MAX(0,MIN(AC420,1+Parámetros!$B$11)-MAX(AB420,AD420))+MAX(0,MIN(AC420,2)-MAX(AB420,1+AD420))</f>
        <v>0</v>
      </c>
      <c r="AN420" s="20">
        <f t="shared" si="139"/>
        <v>0</v>
      </c>
      <c r="AO420" s="20">
        <f>AE420*(MAX(0,MIN(AC420,Parámetros!$B$11)-MAX(AB420,0))+MAX(0,MIN(AC420,1)-MAX(AB420,AD420)))+AF420*(MAX(0,MIN(AC420,1+Parámetros!$B$11)-MAX(AB420,1))+MAX(0,MIN(AC420,2)-MAX(AB420,1+AD420)))</f>
        <v>0</v>
      </c>
    </row>
    <row r="421" spans="1:41" x14ac:dyDescent="0.25">
      <c r="A421" s="15"/>
      <c r="B421" s="8"/>
      <c r="C421" s="5" t="str">
        <f>IF(B421="","",IFERROR(INDEX(Trabajadores!$B$5:$B$204,MATCH(B421,Trabajadores!$A$5:$A$204,0)),"Cédula no registrada"))</f>
        <v/>
      </c>
      <c r="D421" s="11"/>
      <c r="E421" s="11"/>
      <c r="F421" s="8"/>
      <c r="G421" s="18" t="str">
        <f>IF(A421="","",IFERROR(INDEX(Trabajadores!$E$5:$E$204,MATCH(B421,Trabajadores!$A$5:$A$204,0))/Parámetros!$B$6,0)+IF(IFERROR(INDEX(Trabajadores!$E$5:$E$204,MATCH(B421,Trabajadores!$A$5:$A$204,0)),"")="",Parámetros!$B$7,0))</f>
        <v/>
      </c>
      <c r="H421" s="5" t="str">
        <f t="shared" si="120"/>
        <v/>
      </c>
      <c r="I421" s="5" t="str">
        <f>IF(A421="","",IF(COUNTIF(Festivos!$A$5:$A$451,A421)&gt;0,"Festivo",IF(WEEKDAY(A421,2)=7,"Domingo",IF(AND(AF421=1,AC421&gt;1),IF(COUNTIF(Festivos!$A$5:$A$451,A421+1)&gt;0,"Festivo","Domingo")&amp;" desde las 00:00",""))))</f>
        <v/>
      </c>
      <c r="J421" s="19" t="str">
        <f t="shared" si="121"/>
        <v/>
      </c>
      <c r="K421" s="19" t="str">
        <f t="shared" si="122"/>
        <v/>
      </c>
      <c r="L421" s="19" t="str">
        <f t="shared" si="123"/>
        <v/>
      </c>
      <c r="M421" s="19" t="str">
        <f t="shared" si="124"/>
        <v/>
      </c>
      <c r="N421" s="19" t="str">
        <f t="shared" si="125"/>
        <v/>
      </c>
      <c r="O421" s="19" t="str">
        <f t="shared" si="126"/>
        <v/>
      </c>
      <c r="P421" s="19" t="str">
        <f t="shared" si="127"/>
        <v/>
      </c>
      <c r="Q421" s="19" t="str">
        <f t="shared" si="128"/>
        <v/>
      </c>
      <c r="R421" s="19" t="str">
        <f t="shared" si="129"/>
        <v/>
      </c>
      <c r="S421" s="17" t="str">
        <f>IF(B421="","",IFERROR(INDEX(Trabajadores!$G$5:$G$204,MATCH(B421,Trabajadores!$A$5:$A$204,0)),""))</f>
        <v/>
      </c>
      <c r="T421" s="17" t="str">
        <f>IF(OR(OR(A421="",D421="",E421=""),S421=""),"",ROUND(S421*(N(L421)*Parámetros!$B$8+N(M421)*(1+Parámetros!$B$9)+N(N421)*(1+Parámetros!$B$10)+N(O421)*(1+AG421)+N(P421)*(1+AG421+Parámetros!$B$8)+N(Q421)*(1+AG421+Parámetros!$B$9)+N(R421)*(1+AG421+Parámetros!$B$10)),0))</f>
        <v/>
      </c>
      <c r="U421" s="5" t="str">
        <f>IF(OR(A421="",D421="",E421=""),"",IF(N(M421)+N(N421)+N(Q421)+N(R421)&gt;Parámetros!$B$12,"Supera el límite de horas extras diarias",IF(C421="Cédula no registrada","Registre la cédula en «Trabajadores»","")))</f>
        <v/>
      </c>
      <c r="X421" s="20">
        <f t="shared" si="130"/>
        <v>0</v>
      </c>
      <c r="Y421" s="20">
        <f t="shared" si="131"/>
        <v>0</v>
      </c>
      <c r="Z421" s="20">
        <f t="shared" si="132"/>
        <v>0</v>
      </c>
      <c r="AA421" s="20">
        <f t="shared" si="133"/>
        <v>0</v>
      </c>
      <c r="AB421" s="20">
        <f t="shared" si="134"/>
        <v>0</v>
      </c>
      <c r="AC421" s="20">
        <f t="shared" si="135"/>
        <v>0</v>
      </c>
      <c r="AD421" s="20">
        <f>IF(A421="",21/24,MOD(VLOOKUP(A421,Parámetros!$A$24:$B$25,2,TRUE()),1))</f>
        <v>0.875</v>
      </c>
      <c r="AE421" s="5">
        <f>IF(A421="",0,IF(OR(WEEKDAY(A421,2)=7,COUNTIF(Festivos!$A$5:$A$451,A421)&gt;0),1,0))</f>
        <v>0</v>
      </c>
      <c r="AF421" s="5">
        <f>IF(A421="",0,IF(OR(WEEKDAY(A421+1,2)=7,COUNTIF(Festivos!$A$5:$A$451,A421+1)&gt;0),1,0))</f>
        <v>0</v>
      </c>
      <c r="AG421" s="9">
        <f>IF(A421="",0,VLOOKUP(A421,Parámetros!$A$18:$B$21,2,TRUE()))</f>
        <v>0</v>
      </c>
      <c r="AH421" s="20">
        <f t="shared" si="136"/>
        <v>0</v>
      </c>
      <c r="AI421" s="20">
        <f>MAX(0,MIN(AB421,Parámetros!$B$11)-MAX(X421,0))+MAX(0,MIN(AB421,1+Parámetros!$B$11)-MAX(X421,AD421))+MAX(0,MIN(AB421,2)-MAX(X421,1+AD421))</f>
        <v>0</v>
      </c>
      <c r="AJ421" s="20">
        <f t="shared" si="137"/>
        <v>0</v>
      </c>
      <c r="AK421" s="20">
        <f>AE421*(MAX(0,MIN(AB421,Parámetros!$B$11)-MAX(X421,0))+MAX(0,MIN(AB421,1)-MAX(X421,AD421)))+AF421*(MAX(0,MIN(AB421,1+Parámetros!$B$11)-MAX(X421,1))+MAX(0,MIN(AB421,2)-MAX(X421,1+AD421)))</f>
        <v>0</v>
      </c>
      <c r="AL421" s="20">
        <f t="shared" si="138"/>
        <v>0</v>
      </c>
      <c r="AM421" s="20">
        <f>MAX(0,MIN(AC421,Parámetros!$B$11)-MAX(AB421,0))+MAX(0,MIN(AC421,1+Parámetros!$B$11)-MAX(AB421,AD421))+MAX(0,MIN(AC421,2)-MAX(AB421,1+AD421))</f>
        <v>0</v>
      </c>
      <c r="AN421" s="20">
        <f t="shared" si="139"/>
        <v>0</v>
      </c>
      <c r="AO421" s="20">
        <f>AE421*(MAX(0,MIN(AC421,Parámetros!$B$11)-MAX(AB421,0))+MAX(0,MIN(AC421,1)-MAX(AB421,AD421)))+AF421*(MAX(0,MIN(AC421,1+Parámetros!$B$11)-MAX(AB421,1))+MAX(0,MIN(AC421,2)-MAX(AB421,1+AD421)))</f>
        <v>0</v>
      </c>
    </row>
    <row r="422" spans="1:41" x14ac:dyDescent="0.25">
      <c r="A422" s="15"/>
      <c r="B422" s="8"/>
      <c r="C422" s="5" t="str">
        <f>IF(B422="","",IFERROR(INDEX(Trabajadores!$B$5:$B$204,MATCH(B422,Trabajadores!$A$5:$A$204,0)),"Cédula no registrada"))</f>
        <v/>
      </c>
      <c r="D422" s="11"/>
      <c r="E422" s="11"/>
      <c r="F422" s="8"/>
      <c r="G422" s="18" t="str">
        <f>IF(A422="","",IFERROR(INDEX(Trabajadores!$E$5:$E$204,MATCH(B422,Trabajadores!$A$5:$A$204,0))/Parámetros!$B$6,0)+IF(IFERROR(INDEX(Trabajadores!$E$5:$E$204,MATCH(B422,Trabajadores!$A$5:$A$204,0)),"")="",Parámetros!$B$7,0))</f>
        <v/>
      </c>
      <c r="H422" s="5" t="str">
        <f t="shared" si="120"/>
        <v/>
      </c>
      <c r="I422" s="5" t="str">
        <f>IF(A422="","",IF(COUNTIF(Festivos!$A$5:$A$451,A422)&gt;0,"Festivo",IF(WEEKDAY(A422,2)=7,"Domingo",IF(AND(AF422=1,AC422&gt;1),IF(COUNTIF(Festivos!$A$5:$A$451,A422+1)&gt;0,"Festivo","Domingo")&amp;" desde las 00:00",""))))</f>
        <v/>
      </c>
      <c r="J422" s="19" t="str">
        <f t="shared" si="121"/>
        <v/>
      </c>
      <c r="K422" s="19" t="str">
        <f t="shared" si="122"/>
        <v/>
      </c>
      <c r="L422" s="19" t="str">
        <f t="shared" si="123"/>
        <v/>
      </c>
      <c r="M422" s="19" t="str">
        <f t="shared" si="124"/>
        <v/>
      </c>
      <c r="N422" s="19" t="str">
        <f t="shared" si="125"/>
        <v/>
      </c>
      <c r="O422" s="19" t="str">
        <f t="shared" si="126"/>
        <v/>
      </c>
      <c r="P422" s="19" t="str">
        <f t="shared" si="127"/>
        <v/>
      </c>
      <c r="Q422" s="19" t="str">
        <f t="shared" si="128"/>
        <v/>
      </c>
      <c r="R422" s="19" t="str">
        <f t="shared" si="129"/>
        <v/>
      </c>
      <c r="S422" s="17" t="str">
        <f>IF(B422="","",IFERROR(INDEX(Trabajadores!$G$5:$G$204,MATCH(B422,Trabajadores!$A$5:$A$204,0)),""))</f>
        <v/>
      </c>
      <c r="T422" s="17" t="str">
        <f>IF(OR(OR(A422="",D422="",E422=""),S422=""),"",ROUND(S422*(N(L422)*Parámetros!$B$8+N(M422)*(1+Parámetros!$B$9)+N(N422)*(1+Parámetros!$B$10)+N(O422)*(1+AG422)+N(P422)*(1+AG422+Parámetros!$B$8)+N(Q422)*(1+AG422+Parámetros!$B$9)+N(R422)*(1+AG422+Parámetros!$B$10)),0))</f>
        <v/>
      </c>
      <c r="U422" s="5" t="str">
        <f>IF(OR(A422="",D422="",E422=""),"",IF(N(M422)+N(N422)+N(Q422)+N(R422)&gt;Parámetros!$B$12,"Supera el límite de horas extras diarias",IF(C422="Cédula no registrada","Registre la cédula en «Trabajadores»","")))</f>
        <v/>
      </c>
      <c r="X422" s="20">
        <f t="shared" si="130"/>
        <v>0</v>
      </c>
      <c r="Y422" s="20">
        <f t="shared" si="131"/>
        <v>0</v>
      </c>
      <c r="Z422" s="20">
        <f t="shared" si="132"/>
        <v>0</v>
      </c>
      <c r="AA422" s="20">
        <f t="shared" si="133"/>
        <v>0</v>
      </c>
      <c r="AB422" s="20">
        <f t="shared" si="134"/>
        <v>0</v>
      </c>
      <c r="AC422" s="20">
        <f t="shared" si="135"/>
        <v>0</v>
      </c>
      <c r="AD422" s="20">
        <f>IF(A422="",21/24,MOD(VLOOKUP(A422,Parámetros!$A$24:$B$25,2,TRUE()),1))</f>
        <v>0.875</v>
      </c>
      <c r="AE422" s="5">
        <f>IF(A422="",0,IF(OR(WEEKDAY(A422,2)=7,COUNTIF(Festivos!$A$5:$A$451,A422)&gt;0),1,0))</f>
        <v>0</v>
      </c>
      <c r="AF422" s="5">
        <f>IF(A422="",0,IF(OR(WEEKDAY(A422+1,2)=7,COUNTIF(Festivos!$A$5:$A$451,A422+1)&gt;0),1,0))</f>
        <v>0</v>
      </c>
      <c r="AG422" s="9">
        <f>IF(A422="",0,VLOOKUP(A422,Parámetros!$A$18:$B$21,2,TRUE()))</f>
        <v>0</v>
      </c>
      <c r="AH422" s="20">
        <f t="shared" si="136"/>
        <v>0</v>
      </c>
      <c r="AI422" s="20">
        <f>MAX(0,MIN(AB422,Parámetros!$B$11)-MAX(X422,0))+MAX(0,MIN(AB422,1+Parámetros!$B$11)-MAX(X422,AD422))+MAX(0,MIN(AB422,2)-MAX(X422,1+AD422))</f>
        <v>0</v>
      </c>
      <c r="AJ422" s="20">
        <f t="shared" si="137"/>
        <v>0</v>
      </c>
      <c r="AK422" s="20">
        <f>AE422*(MAX(0,MIN(AB422,Parámetros!$B$11)-MAX(X422,0))+MAX(0,MIN(AB422,1)-MAX(X422,AD422)))+AF422*(MAX(0,MIN(AB422,1+Parámetros!$B$11)-MAX(X422,1))+MAX(0,MIN(AB422,2)-MAX(X422,1+AD422)))</f>
        <v>0</v>
      </c>
      <c r="AL422" s="20">
        <f t="shared" si="138"/>
        <v>0</v>
      </c>
      <c r="AM422" s="20">
        <f>MAX(0,MIN(AC422,Parámetros!$B$11)-MAX(AB422,0))+MAX(0,MIN(AC422,1+Parámetros!$B$11)-MAX(AB422,AD422))+MAX(0,MIN(AC422,2)-MAX(AB422,1+AD422))</f>
        <v>0</v>
      </c>
      <c r="AN422" s="20">
        <f t="shared" si="139"/>
        <v>0</v>
      </c>
      <c r="AO422" s="20">
        <f>AE422*(MAX(0,MIN(AC422,Parámetros!$B$11)-MAX(AB422,0))+MAX(0,MIN(AC422,1)-MAX(AB422,AD422)))+AF422*(MAX(0,MIN(AC422,1+Parámetros!$B$11)-MAX(AB422,1))+MAX(0,MIN(AC422,2)-MAX(AB422,1+AD422)))</f>
        <v>0</v>
      </c>
    </row>
    <row r="423" spans="1:41" x14ac:dyDescent="0.25">
      <c r="A423" s="15"/>
      <c r="B423" s="8"/>
      <c r="C423" s="5" t="str">
        <f>IF(B423="","",IFERROR(INDEX(Trabajadores!$B$5:$B$204,MATCH(B423,Trabajadores!$A$5:$A$204,0)),"Cédula no registrada"))</f>
        <v/>
      </c>
      <c r="D423" s="11"/>
      <c r="E423" s="11"/>
      <c r="F423" s="8"/>
      <c r="G423" s="18" t="str">
        <f>IF(A423="","",IFERROR(INDEX(Trabajadores!$E$5:$E$204,MATCH(B423,Trabajadores!$A$5:$A$204,0))/Parámetros!$B$6,0)+IF(IFERROR(INDEX(Trabajadores!$E$5:$E$204,MATCH(B423,Trabajadores!$A$5:$A$204,0)),"")="",Parámetros!$B$7,0))</f>
        <v/>
      </c>
      <c r="H423" s="5" t="str">
        <f t="shared" si="120"/>
        <v/>
      </c>
      <c r="I423" s="5" t="str">
        <f>IF(A423="","",IF(COUNTIF(Festivos!$A$5:$A$451,A423)&gt;0,"Festivo",IF(WEEKDAY(A423,2)=7,"Domingo",IF(AND(AF423=1,AC423&gt;1),IF(COUNTIF(Festivos!$A$5:$A$451,A423+1)&gt;0,"Festivo","Domingo")&amp;" desde las 00:00",""))))</f>
        <v/>
      </c>
      <c r="J423" s="19" t="str">
        <f t="shared" si="121"/>
        <v/>
      </c>
      <c r="K423" s="19" t="str">
        <f t="shared" si="122"/>
        <v/>
      </c>
      <c r="L423" s="19" t="str">
        <f t="shared" si="123"/>
        <v/>
      </c>
      <c r="M423" s="19" t="str">
        <f t="shared" si="124"/>
        <v/>
      </c>
      <c r="N423" s="19" t="str">
        <f t="shared" si="125"/>
        <v/>
      </c>
      <c r="O423" s="19" t="str">
        <f t="shared" si="126"/>
        <v/>
      </c>
      <c r="P423" s="19" t="str">
        <f t="shared" si="127"/>
        <v/>
      </c>
      <c r="Q423" s="19" t="str">
        <f t="shared" si="128"/>
        <v/>
      </c>
      <c r="R423" s="19" t="str">
        <f t="shared" si="129"/>
        <v/>
      </c>
      <c r="S423" s="17" t="str">
        <f>IF(B423="","",IFERROR(INDEX(Trabajadores!$G$5:$G$204,MATCH(B423,Trabajadores!$A$5:$A$204,0)),""))</f>
        <v/>
      </c>
      <c r="T423" s="17" t="str">
        <f>IF(OR(OR(A423="",D423="",E423=""),S423=""),"",ROUND(S423*(N(L423)*Parámetros!$B$8+N(M423)*(1+Parámetros!$B$9)+N(N423)*(1+Parámetros!$B$10)+N(O423)*(1+AG423)+N(P423)*(1+AG423+Parámetros!$B$8)+N(Q423)*(1+AG423+Parámetros!$B$9)+N(R423)*(1+AG423+Parámetros!$B$10)),0))</f>
        <v/>
      </c>
      <c r="U423" s="5" t="str">
        <f>IF(OR(A423="",D423="",E423=""),"",IF(N(M423)+N(N423)+N(Q423)+N(R423)&gt;Parámetros!$B$12,"Supera el límite de horas extras diarias",IF(C423="Cédula no registrada","Registre la cédula en «Trabajadores»","")))</f>
        <v/>
      </c>
      <c r="X423" s="20">
        <f t="shared" si="130"/>
        <v>0</v>
      </c>
      <c r="Y423" s="20">
        <f t="shared" si="131"/>
        <v>0</v>
      </c>
      <c r="Z423" s="20">
        <f t="shared" si="132"/>
        <v>0</v>
      </c>
      <c r="AA423" s="20">
        <f t="shared" si="133"/>
        <v>0</v>
      </c>
      <c r="AB423" s="20">
        <f t="shared" si="134"/>
        <v>0</v>
      </c>
      <c r="AC423" s="20">
        <f t="shared" si="135"/>
        <v>0</v>
      </c>
      <c r="AD423" s="20">
        <f>IF(A423="",21/24,MOD(VLOOKUP(A423,Parámetros!$A$24:$B$25,2,TRUE()),1))</f>
        <v>0.875</v>
      </c>
      <c r="AE423" s="5">
        <f>IF(A423="",0,IF(OR(WEEKDAY(A423,2)=7,COUNTIF(Festivos!$A$5:$A$451,A423)&gt;0),1,0))</f>
        <v>0</v>
      </c>
      <c r="AF423" s="5">
        <f>IF(A423="",0,IF(OR(WEEKDAY(A423+1,2)=7,COUNTIF(Festivos!$A$5:$A$451,A423+1)&gt;0),1,0))</f>
        <v>0</v>
      </c>
      <c r="AG423" s="9">
        <f>IF(A423="",0,VLOOKUP(A423,Parámetros!$A$18:$B$21,2,TRUE()))</f>
        <v>0</v>
      </c>
      <c r="AH423" s="20">
        <f t="shared" si="136"/>
        <v>0</v>
      </c>
      <c r="AI423" s="20">
        <f>MAX(0,MIN(AB423,Parámetros!$B$11)-MAX(X423,0))+MAX(0,MIN(AB423,1+Parámetros!$B$11)-MAX(X423,AD423))+MAX(0,MIN(AB423,2)-MAX(X423,1+AD423))</f>
        <v>0</v>
      </c>
      <c r="AJ423" s="20">
        <f t="shared" si="137"/>
        <v>0</v>
      </c>
      <c r="AK423" s="20">
        <f>AE423*(MAX(0,MIN(AB423,Parámetros!$B$11)-MAX(X423,0))+MAX(0,MIN(AB423,1)-MAX(X423,AD423)))+AF423*(MAX(0,MIN(AB423,1+Parámetros!$B$11)-MAX(X423,1))+MAX(0,MIN(AB423,2)-MAX(X423,1+AD423)))</f>
        <v>0</v>
      </c>
      <c r="AL423" s="20">
        <f t="shared" si="138"/>
        <v>0</v>
      </c>
      <c r="AM423" s="20">
        <f>MAX(0,MIN(AC423,Parámetros!$B$11)-MAX(AB423,0))+MAX(0,MIN(AC423,1+Parámetros!$B$11)-MAX(AB423,AD423))+MAX(0,MIN(AC423,2)-MAX(AB423,1+AD423))</f>
        <v>0</v>
      </c>
      <c r="AN423" s="20">
        <f t="shared" si="139"/>
        <v>0</v>
      </c>
      <c r="AO423" s="20">
        <f>AE423*(MAX(0,MIN(AC423,Parámetros!$B$11)-MAX(AB423,0))+MAX(0,MIN(AC423,1)-MAX(AB423,AD423)))+AF423*(MAX(0,MIN(AC423,1+Parámetros!$B$11)-MAX(AB423,1))+MAX(0,MIN(AC423,2)-MAX(AB423,1+AD423)))</f>
        <v>0</v>
      </c>
    </row>
    <row r="424" spans="1:41" x14ac:dyDescent="0.25">
      <c r="A424" s="15"/>
      <c r="B424" s="8"/>
      <c r="C424" s="5" t="str">
        <f>IF(B424="","",IFERROR(INDEX(Trabajadores!$B$5:$B$204,MATCH(B424,Trabajadores!$A$5:$A$204,0)),"Cédula no registrada"))</f>
        <v/>
      </c>
      <c r="D424" s="11"/>
      <c r="E424" s="11"/>
      <c r="F424" s="8"/>
      <c r="G424" s="18" t="str">
        <f>IF(A424="","",IFERROR(INDEX(Trabajadores!$E$5:$E$204,MATCH(B424,Trabajadores!$A$5:$A$204,0))/Parámetros!$B$6,0)+IF(IFERROR(INDEX(Trabajadores!$E$5:$E$204,MATCH(B424,Trabajadores!$A$5:$A$204,0)),"")="",Parámetros!$B$7,0))</f>
        <v/>
      </c>
      <c r="H424" s="5" t="str">
        <f t="shared" si="120"/>
        <v/>
      </c>
      <c r="I424" s="5" t="str">
        <f>IF(A424="","",IF(COUNTIF(Festivos!$A$5:$A$451,A424)&gt;0,"Festivo",IF(WEEKDAY(A424,2)=7,"Domingo",IF(AND(AF424=1,AC424&gt;1),IF(COUNTIF(Festivos!$A$5:$A$451,A424+1)&gt;0,"Festivo","Domingo")&amp;" desde las 00:00",""))))</f>
        <v/>
      </c>
      <c r="J424" s="19" t="str">
        <f t="shared" si="121"/>
        <v/>
      </c>
      <c r="K424" s="19" t="str">
        <f t="shared" si="122"/>
        <v/>
      </c>
      <c r="L424" s="19" t="str">
        <f t="shared" si="123"/>
        <v/>
      </c>
      <c r="M424" s="19" t="str">
        <f t="shared" si="124"/>
        <v/>
      </c>
      <c r="N424" s="19" t="str">
        <f t="shared" si="125"/>
        <v/>
      </c>
      <c r="O424" s="19" t="str">
        <f t="shared" si="126"/>
        <v/>
      </c>
      <c r="P424" s="19" t="str">
        <f t="shared" si="127"/>
        <v/>
      </c>
      <c r="Q424" s="19" t="str">
        <f t="shared" si="128"/>
        <v/>
      </c>
      <c r="R424" s="19" t="str">
        <f t="shared" si="129"/>
        <v/>
      </c>
      <c r="S424" s="17" t="str">
        <f>IF(B424="","",IFERROR(INDEX(Trabajadores!$G$5:$G$204,MATCH(B424,Trabajadores!$A$5:$A$204,0)),""))</f>
        <v/>
      </c>
      <c r="T424" s="17" t="str">
        <f>IF(OR(OR(A424="",D424="",E424=""),S424=""),"",ROUND(S424*(N(L424)*Parámetros!$B$8+N(M424)*(1+Parámetros!$B$9)+N(N424)*(1+Parámetros!$B$10)+N(O424)*(1+AG424)+N(P424)*(1+AG424+Parámetros!$B$8)+N(Q424)*(1+AG424+Parámetros!$B$9)+N(R424)*(1+AG424+Parámetros!$B$10)),0))</f>
        <v/>
      </c>
      <c r="U424" s="5" t="str">
        <f>IF(OR(A424="",D424="",E424=""),"",IF(N(M424)+N(N424)+N(Q424)+N(R424)&gt;Parámetros!$B$12,"Supera el límite de horas extras diarias",IF(C424="Cédula no registrada","Registre la cédula en «Trabajadores»","")))</f>
        <v/>
      </c>
      <c r="X424" s="20">
        <f t="shared" si="130"/>
        <v>0</v>
      </c>
      <c r="Y424" s="20">
        <f t="shared" si="131"/>
        <v>0</v>
      </c>
      <c r="Z424" s="20">
        <f t="shared" si="132"/>
        <v>0</v>
      </c>
      <c r="AA424" s="20">
        <f t="shared" si="133"/>
        <v>0</v>
      </c>
      <c r="AB424" s="20">
        <f t="shared" si="134"/>
        <v>0</v>
      </c>
      <c r="AC424" s="20">
        <f t="shared" si="135"/>
        <v>0</v>
      </c>
      <c r="AD424" s="20">
        <f>IF(A424="",21/24,MOD(VLOOKUP(A424,Parámetros!$A$24:$B$25,2,TRUE()),1))</f>
        <v>0.875</v>
      </c>
      <c r="AE424" s="5">
        <f>IF(A424="",0,IF(OR(WEEKDAY(A424,2)=7,COUNTIF(Festivos!$A$5:$A$451,A424)&gt;0),1,0))</f>
        <v>0</v>
      </c>
      <c r="AF424" s="5">
        <f>IF(A424="",0,IF(OR(WEEKDAY(A424+1,2)=7,COUNTIF(Festivos!$A$5:$A$451,A424+1)&gt;0),1,0))</f>
        <v>0</v>
      </c>
      <c r="AG424" s="9">
        <f>IF(A424="",0,VLOOKUP(A424,Parámetros!$A$18:$B$21,2,TRUE()))</f>
        <v>0</v>
      </c>
      <c r="AH424" s="20">
        <f t="shared" si="136"/>
        <v>0</v>
      </c>
      <c r="AI424" s="20">
        <f>MAX(0,MIN(AB424,Parámetros!$B$11)-MAX(X424,0))+MAX(0,MIN(AB424,1+Parámetros!$B$11)-MAX(X424,AD424))+MAX(0,MIN(AB424,2)-MAX(X424,1+AD424))</f>
        <v>0</v>
      </c>
      <c r="AJ424" s="20">
        <f t="shared" si="137"/>
        <v>0</v>
      </c>
      <c r="AK424" s="20">
        <f>AE424*(MAX(0,MIN(AB424,Parámetros!$B$11)-MAX(X424,0))+MAX(0,MIN(AB424,1)-MAX(X424,AD424)))+AF424*(MAX(0,MIN(AB424,1+Parámetros!$B$11)-MAX(X424,1))+MAX(0,MIN(AB424,2)-MAX(X424,1+AD424)))</f>
        <v>0</v>
      </c>
      <c r="AL424" s="20">
        <f t="shared" si="138"/>
        <v>0</v>
      </c>
      <c r="AM424" s="20">
        <f>MAX(0,MIN(AC424,Parámetros!$B$11)-MAX(AB424,0))+MAX(0,MIN(AC424,1+Parámetros!$B$11)-MAX(AB424,AD424))+MAX(0,MIN(AC424,2)-MAX(AB424,1+AD424))</f>
        <v>0</v>
      </c>
      <c r="AN424" s="20">
        <f t="shared" si="139"/>
        <v>0</v>
      </c>
      <c r="AO424" s="20">
        <f>AE424*(MAX(0,MIN(AC424,Parámetros!$B$11)-MAX(AB424,0))+MAX(0,MIN(AC424,1)-MAX(AB424,AD424)))+AF424*(MAX(0,MIN(AC424,1+Parámetros!$B$11)-MAX(AB424,1))+MAX(0,MIN(AC424,2)-MAX(AB424,1+AD424)))</f>
        <v>0</v>
      </c>
    </row>
    <row r="425" spans="1:41" x14ac:dyDescent="0.25">
      <c r="A425" s="15"/>
      <c r="B425" s="8"/>
      <c r="C425" s="5" t="str">
        <f>IF(B425="","",IFERROR(INDEX(Trabajadores!$B$5:$B$204,MATCH(B425,Trabajadores!$A$5:$A$204,0)),"Cédula no registrada"))</f>
        <v/>
      </c>
      <c r="D425" s="11"/>
      <c r="E425" s="11"/>
      <c r="F425" s="8"/>
      <c r="G425" s="18" t="str">
        <f>IF(A425="","",IFERROR(INDEX(Trabajadores!$E$5:$E$204,MATCH(B425,Trabajadores!$A$5:$A$204,0))/Parámetros!$B$6,0)+IF(IFERROR(INDEX(Trabajadores!$E$5:$E$204,MATCH(B425,Trabajadores!$A$5:$A$204,0)),"")="",Parámetros!$B$7,0))</f>
        <v/>
      </c>
      <c r="H425" s="5" t="str">
        <f t="shared" si="120"/>
        <v/>
      </c>
      <c r="I425" s="5" t="str">
        <f>IF(A425="","",IF(COUNTIF(Festivos!$A$5:$A$451,A425)&gt;0,"Festivo",IF(WEEKDAY(A425,2)=7,"Domingo",IF(AND(AF425=1,AC425&gt;1),IF(COUNTIF(Festivos!$A$5:$A$451,A425+1)&gt;0,"Festivo","Domingo")&amp;" desde las 00:00",""))))</f>
        <v/>
      </c>
      <c r="J425" s="19" t="str">
        <f t="shared" si="121"/>
        <v/>
      </c>
      <c r="K425" s="19" t="str">
        <f t="shared" si="122"/>
        <v/>
      </c>
      <c r="L425" s="19" t="str">
        <f t="shared" si="123"/>
        <v/>
      </c>
      <c r="M425" s="19" t="str">
        <f t="shared" si="124"/>
        <v/>
      </c>
      <c r="N425" s="19" t="str">
        <f t="shared" si="125"/>
        <v/>
      </c>
      <c r="O425" s="19" t="str">
        <f t="shared" si="126"/>
        <v/>
      </c>
      <c r="P425" s="19" t="str">
        <f t="shared" si="127"/>
        <v/>
      </c>
      <c r="Q425" s="19" t="str">
        <f t="shared" si="128"/>
        <v/>
      </c>
      <c r="R425" s="19" t="str">
        <f t="shared" si="129"/>
        <v/>
      </c>
      <c r="S425" s="17" t="str">
        <f>IF(B425="","",IFERROR(INDEX(Trabajadores!$G$5:$G$204,MATCH(B425,Trabajadores!$A$5:$A$204,0)),""))</f>
        <v/>
      </c>
      <c r="T425" s="17" t="str">
        <f>IF(OR(OR(A425="",D425="",E425=""),S425=""),"",ROUND(S425*(N(L425)*Parámetros!$B$8+N(M425)*(1+Parámetros!$B$9)+N(N425)*(1+Parámetros!$B$10)+N(O425)*(1+AG425)+N(P425)*(1+AG425+Parámetros!$B$8)+N(Q425)*(1+AG425+Parámetros!$B$9)+N(R425)*(1+AG425+Parámetros!$B$10)),0))</f>
        <v/>
      </c>
      <c r="U425" s="5" t="str">
        <f>IF(OR(A425="",D425="",E425=""),"",IF(N(M425)+N(N425)+N(Q425)+N(R425)&gt;Parámetros!$B$12,"Supera el límite de horas extras diarias",IF(C425="Cédula no registrada","Registre la cédula en «Trabajadores»","")))</f>
        <v/>
      </c>
      <c r="X425" s="20">
        <f t="shared" si="130"/>
        <v>0</v>
      </c>
      <c r="Y425" s="20">
        <f t="shared" si="131"/>
        <v>0</v>
      </c>
      <c r="Z425" s="20">
        <f t="shared" si="132"/>
        <v>0</v>
      </c>
      <c r="AA425" s="20">
        <f t="shared" si="133"/>
        <v>0</v>
      </c>
      <c r="AB425" s="20">
        <f t="shared" si="134"/>
        <v>0</v>
      </c>
      <c r="AC425" s="20">
        <f t="shared" si="135"/>
        <v>0</v>
      </c>
      <c r="AD425" s="20">
        <f>IF(A425="",21/24,MOD(VLOOKUP(A425,Parámetros!$A$24:$B$25,2,TRUE()),1))</f>
        <v>0.875</v>
      </c>
      <c r="AE425" s="5">
        <f>IF(A425="",0,IF(OR(WEEKDAY(A425,2)=7,COUNTIF(Festivos!$A$5:$A$451,A425)&gt;0),1,0))</f>
        <v>0</v>
      </c>
      <c r="AF425" s="5">
        <f>IF(A425="",0,IF(OR(WEEKDAY(A425+1,2)=7,COUNTIF(Festivos!$A$5:$A$451,A425+1)&gt;0),1,0))</f>
        <v>0</v>
      </c>
      <c r="AG425" s="9">
        <f>IF(A425="",0,VLOOKUP(A425,Parámetros!$A$18:$B$21,2,TRUE()))</f>
        <v>0</v>
      </c>
      <c r="AH425" s="20">
        <f t="shared" si="136"/>
        <v>0</v>
      </c>
      <c r="AI425" s="20">
        <f>MAX(0,MIN(AB425,Parámetros!$B$11)-MAX(X425,0))+MAX(0,MIN(AB425,1+Parámetros!$B$11)-MAX(X425,AD425))+MAX(0,MIN(AB425,2)-MAX(X425,1+AD425))</f>
        <v>0</v>
      </c>
      <c r="AJ425" s="20">
        <f t="shared" si="137"/>
        <v>0</v>
      </c>
      <c r="AK425" s="20">
        <f>AE425*(MAX(0,MIN(AB425,Parámetros!$B$11)-MAX(X425,0))+MAX(0,MIN(AB425,1)-MAX(X425,AD425)))+AF425*(MAX(0,MIN(AB425,1+Parámetros!$B$11)-MAX(X425,1))+MAX(0,MIN(AB425,2)-MAX(X425,1+AD425)))</f>
        <v>0</v>
      </c>
      <c r="AL425" s="20">
        <f t="shared" si="138"/>
        <v>0</v>
      </c>
      <c r="AM425" s="20">
        <f>MAX(0,MIN(AC425,Parámetros!$B$11)-MAX(AB425,0))+MAX(0,MIN(AC425,1+Parámetros!$B$11)-MAX(AB425,AD425))+MAX(0,MIN(AC425,2)-MAX(AB425,1+AD425))</f>
        <v>0</v>
      </c>
      <c r="AN425" s="20">
        <f t="shared" si="139"/>
        <v>0</v>
      </c>
      <c r="AO425" s="20">
        <f>AE425*(MAX(0,MIN(AC425,Parámetros!$B$11)-MAX(AB425,0))+MAX(0,MIN(AC425,1)-MAX(AB425,AD425)))+AF425*(MAX(0,MIN(AC425,1+Parámetros!$B$11)-MAX(AB425,1))+MAX(0,MIN(AC425,2)-MAX(AB425,1+AD425)))</f>
        <v>0</v>
      </c>
    </row>
    <row r="426" spans="1:41" x14ac:dyDescent="0.25">
      <c r="A426" s="15"/>
      <c r="B426" s="8"/>
      <c r="C426" s="5" t="str">
        <f>IF(B426="","",IFERROR(INDEX(Trabajadores!$B$5:$B$204,MATCH(B426,Trabajadores!$A$5:$A$204,0)),"Cédula no registrada"))</f>
        <v/>
      </c>
      <c r="D426" s="11"/>
      <c r="E426" s="11"/>
      <c r="F426" s="8"/>
      <c r="G426" s="18" t="str">
        <f>IF(A426="","",IFERROR(INDEX(Trabajadores!$E$5:$E$204,MATCH(B426,Trabajadores!$A$5:$A$204,0))/Parámetros!$B$6,0)+IF(IFERROR(INDEX(Trabajadores!$E$5:$E$204,MATCH(B426,Trabajadores!$A$5:$A$204,0)),"")="",Parámetros!$B$7,0))</f>
        <v/>
      </c>
      <c r="H426" s="5" t="str">
        <f t="shared" si="120"/>
        <v/>
      </c>
      <c r="I426" s="5" t="str">
        <f>IF(A426="","",IF(COUNTIF(Festivos!$A$5:$A$451,A426)&gt;0,"Festivo",IF(WEEKDAY(A426,2)=7,"Domingo",IF(AND(AF426=1,AC426&gt;1),IF(COUNTIF(Festivos!$A$5:$A$451,A426+1)&gt;0,"Festivo","Domingo")&amp;" desde las 00:00",""))))</f>
        <v/>
      </c>
      <c r="J426" s="19" t="str">
        <f t="shared" si="121"/>
        <v/>
      </c>
      <c r="K426" s="19" t="str">
        <f t="shared" si="122"/>
        <v/>
      </c>
      <c r="L426" s="19" t="str">
        <f t="shared" si="123"/>
        <v/>
      </c>
      <c r="M426" s="19" t="str">
        <f t="shared" si="124"/>
        <v/>
      </c>
      <c r="N426" s="19" t="str">
        <f t="shared" si="125"/>
        <v/>
      </c>
      <c r="O426" s="19" t="str">
        <f t="shared" si="126"/>
        <v/>
      </c>
      <c r="P426" s="19" t="str">
        <f t="shared" si="127"/>
        <v/>
      </c>
      <c r="Q426" s="19" t="str">
        <f t="shared" si="128"/>
        <v/>
      </c>
      <c r="R426" s="19" t="str">
        <f t="shared" si="129"/>
        <v/>
      </c>
      <c r="S426" s="17" t="str">
        <f>IF(B426="","",IFERROR(INDEX(Trabajadores!$G$5:$G$204,MATCH(B426,Trabajadores!$A$5:$A$204,0)),""))</f>
        <v/>
      </c>
      <c r="T426" s="17" t="str">
        <f>IF(OR(OR(A426="",D426="",E426=""),S426=""),"",ROUND(S426*(N(L426)*Parámetros!$B$8+N(M426)*(1+Parámetros!$B$9)+N(N426)*(1+Parámetros!$B$10)+N(O426)*(1+AG426)+N(P426)*(1+AG426+Parámetros!$B$8)+N(Q426)*(1+AG426+Parámetros!$B$9)+N(R426)*(1+AG426+Parámetros!$B$10)),0))</f>
        <v/>
      </c>
      <c r="U426" s="5" t="str">
        <f>IF(OR(A426="",D426="",E426=""),"",IF(N(M426)+N(N426)+N(Q426)+N(R426)&gt;Parámetros!$B$12,"Supera el límite de horas extras diarias",IF(C426="Cédula no registrada","Registre la cédula en «Trabajadores»","")))</f>
        <v/>
      </c>
      <c r="X426" s="20">
        <f t="shared" si="130"/>
        <v>0</v>
      </c>
      <c r="Y426" s="20">
        <f t="shared" si="131"/>
        <v>0</v>
      </c>
      <c r="Z426" s="20">
        <f t="shared" si="132"/>
        <v>0</v>
      </c>
      <c r="AA426" s="20">
        <f t="shared" si="133"/>
        <v>0</v>
      </c>
      <c r="AB426" s="20">
        <f t="shared" si="134"/>
        <v>0</v>
      </c>
      <c r="AC426" s="20">
        <f t="shared" si="135"/>
        <v>0</v>
      </c>
      <c r="AD426" s="20">
        <f>IF(A426="",21/24,MOD(VLOOKUP(A426,Parámetros!$A$24:$B$25,2,TRUE()),1))</f>
        <v>0.875</v>
      </c>
      <c r="AE426" s="5">
        <f>IF(A426="",0,IF(OR(WEEKDAY(A426,2)=7,COUNTIF(Festivos!$A$5:$A$451,A426)&gt;0),1,0))</f>
        <v>0</v>
      </c>
      <c r="AF426" s="5">
        <f>IF(A426="",0,IF(OR(WEEKDAY(A426+1,2)=7,COUNTIF(Festivos!$A$5:$A$451,A426+1)&gt;0),1,0))</f>
        <v>0</v>
      </c>
      <c r="AG426" s="9">
        <f>IF(A426="",0,VLOOKUP(A426,Parámetros!$A$18:$B$21,2,TRUE()))</f>
        <v>0</v>
      </c>
      <c r="AH426" s="20">
        <f t="shared" si="136"/>
        <v>0</v>
      </c>
      <c r="AI426" s="20">
        <f>MAX(0,MIN(AB426,Parámetros!$B$11)-MAX(X426,0))+MAX(0,MIN(AB426,1+Parámetros!$B$11)-MAX(X426,AD426))+MAX(0,MIN(AB426,2)-MAX(X426,1+AD426))</f>
        <v>0</v>
      </c>
      <c r="AJ426" s="20">
        <f t="shared" si="137"/>
        <v>0</v>
      </c>
      <c r="AK426" s="20">
        <f>AE426*(MAX(0,MIN(AB426,Parámetros!$B$11)-MAX(X426,0))+MAX(0,MIN(AB426,1)-MAX(X426,AD426)))+AF426*(MAX(0,MIN(AB426,1+Parámetros!$B$11)-MAX(X426,1))+MAX(0,MIN(AB426,2)-MAX(X426,1+AD426)))</f>
        <v>0</v>
      </c>
      <c r="AL426" s="20">
        <f t="shared" si="138"/>
        <v>0</v>
      </c>
      <c r="AM426" s="20">
        <f>MAX(0,MIN(AC426,Parámetros!$B$11)-MAX(AB426,0))+MAX(0,MIN(AC426,1+Parámetros!$B$11)-MAX(AB426,AD426))+MAX(0,MIN(AC426,2)-MAX(AB426,1+AD426))</f>
        <v>0</v>
      </c>
      <c r="AN426" s="20">
        <f t="shared" si="139"/>
        <v>0</v>
      </c>
      <c r="AO426" s="20">
        <f>AE426*(MAX(0,MIN(AC426,Parámetros!$B$11)-MAX(AB426,0))+MAX(0,MIN(AC426,1)-MAX(AB426,AD426)))+AF426*(MAX(0,MIN(AC426,1+Parámetros!$B$11)-MAX(AB426,1))+MAX(0,MIN(AC426,2)-MAX(AB426,1+AD426)))</f>
        <v>0</v>
      </c>
    </row>
    <row r="427" spans="1:41" x14ac:dyDescent="0.25">
      <c r="A427" s="15"/>
      <c r="B427" s="8"/>
      <c r="C427" s="5" t="str">
        <f>IF(B427="","",IFERROR(INDEX(Trabajadores!$B$5:$B$204,MATCH(B427,Trabajadores!$A$5:$A$204,0)),"Cédula no registrada"))</f>
        <v/>
      </c>
      <c r="D427" s="11"/>
      <c r="E427" s="11"/>
      <c r="F427" s="8"/>
      <c r="G427" s="18" t="str">
        <f>IF(A427="","",IFERROR(INDEX(Trabajadores!$E$5:$E$204,MATCH(B427,Trabajadores!$A$5:$A$204,0))/Parámetros!$B$6,0)+IF(IFERROR(INDEX(Trabajadores!$E$5:$E$204,MATCH(B427,Trabajadores!$A$5:$A$204,0)),"")="",Parámetros!$B$7,0))</f>
        <v/>
      </c>
      <c r="H427" s="5" t="str">
        <f t="shared" si="120"/>
        <v/>
      </c>
      <c r="I427" s="5" t="str">
        <f>IF(A427="","",IF(COUNTIF(Festivos!$A$5:$A$451,A427)&gt;0,"Festivo",IF(WEEKDAY(A427,2)=7,"Domingo",IF(AND(AF427=1,AC427&gt;1),IF(COUNTIF(Festivos!$A$5:$A$451,A427+1)&gt;0,"Festivo","Domingo")&amp;" desde las 00:00",""))))</f>
        <v/>
      </c>
      <c r="J427" s="19" t="str">
        <f t="shared" si="121"/>
        <v/>
      </c>
      <c r="K427" s="19" t="str">
        <f t="shared" si="122"/>
        <v/>
      </c>
      <c r="L427" s="19" t="str">
        <f t="shared" si="123"/>
        <v/>
      </c>
      <c r="M427" s="19" t="str">
        <f t="shared" si="124"/>
        <v/>
      </c>
      <c r="N427" s="19" t="str">
        <f t="shared" si="125"/>
        <v/>
      </c>
      <c r="O427" s="19" t="str">
        <f t="shared" si="126"/>
        <v/>
      </c>
      <c r="P427" s="19" t="str">
        <f t="shared" si="127"/>
        <v/>
      </c>
      <c r="Q427" s="19" t="str">
        <f t="shared" si="128"/>
        <v/>
      </c>
      <c r="R427" s="19" t="str">
        <f t="shared" si="129"/>
        <v/>
      </c>
      <c r="S427" s="17" t="str">
        <f>IF(B427="","",IFERROR(INDEX(Trabajadores!$G$5:$G$204,MATCH(B427,Trabajadores!$A$5:$A$204,0)),""))</f>
        <v/>
      </c>
      <c r="T427" s="17" t="str">
        <f>IF(OR(OR(A427="",D427="",E427=""),S427=""),"",ROUND(S427*(N(L427)*Parámetros!$B$8+N(M427)*(1+Parámetros!$B$9)+N(N427)*(1+Parámetros!$B$10)+N(O427)*(1+AG427)+N(P427)*(1+AG427+Parámetros!$B$8)+N(Q427)*(1+AG427+Parámetros!$B$9)+N(R427)*(1+AG427+Parámetros!$B$10)),0))</f>
        <v/>
      </c>
      <c r="U427" s="5" t="str">
        <f>IF(OR(A427="",D427="",E427=""),"",IF(N(M427)+N(N427)+N(Q427)+N(R427)&gt;Parámetros!$B$12,"Supera el límite de horas extras diarias",IF(C427="Cédula no registrada","Registre la cédula en «Trabajadores»","")))</f>
        <v/>
      </c>
      <c r="X427" s="20">
        <f t="shared" si="130"/>
        <v>0</v>
      </c>
      <c r="Y427" s="20">
        <f t="shared" si="131"/>
        <v>0</v>
      </c>
      <c r="Z427" s="20">
        <f t="shared" si="132"/>
        <v>0</v>
      </c>
      <c r="AA427" s="20">
        <f t="shared" si="133"/>
        <v>0</v>
      </c>
      <c r="AB427" s="20">
        <f t="shared" si="134"/>
        <v>0</v>
      </c>
      <c r="AC427" s="20">
        <f t="shared" si="135"/>
        <v>0</v>
      </c>
      <c r="AD427" s="20">
        <f>IF(A427="",21/24,MOD(VLOOKUP(A427,Parámetros!$A$24:$B$25,2,TRUE()),1))</f>
        <v>0.875</v>
      </c>
      <c r="AE427" s="5">
        <f>IF(A427="",0,IF(OR(WEEKDAY(A427,2)=7,COUNTIF(Festivos!$A$5:$A$451,A427)&gt;0),1,0))</f>
        <v>0</v>
      </c>
      <c r="AF427" s="5">
        <f>IF(A427="",0,IF(OR(WEEKDAY(A427+1,2)=7,COUNTIF(Festivos!$A$5:$A$451,A427+1)&gt;0),1,0))</f>
        <v>0</v>
      </c>
      <c r="AG427" s="9">
        <f>IF(A427="",0,VLOOKUP(A427,Parámetros!$A$18:$B$21,2,TRUE()))</f>
        <v>0</v>
      </c>
      <c r="AH427" s="20">
        <f t="shared" si="136"/>
        <v>0</v>
      </c>
      <c r="AI427" s="20">
        <f>MAX(0,MIN(AB427,Parámetros!$B$11)-MAX(X427,0))+MAX(0,MIN(AB427,1+Parámetros!$B$11)-MAX(X427,AD427))+MAX(0,MIN(AB427,2)-MAX(X427,1+AD427))</f>
        <v>0</v>
      </c>
      <c r="AJ427" s="20">
        <f t="shared" si="137"/>
        <v>0</v>
      </c>
      <c r="AK427" s="20">
        <f>AE427*(MAX(0,MIN(AB427,Parámetros!$B$11)-MAX(X427,0))+MAX(0,MIN(AB427,1)-MAX(X427,AD427)))+AF427*(MAX(0,MIN(AB427,1+Parámetros!$B$11)-MAX(X427,1))+MAX(0,MIN(AB427,2)-MAX(X427,1+AD427)))</f>
        <v>0</v>
      </c>
      <c r="AL427" s="20">
        <f t="shared" si="138"/>
        <v>0</v>
      </c>
      <c r="AM427" s="20">
        <f>MAX(0,MIN(AC427,Parámetros!$B$11)-MAX(AB427,0))+MAX(0,MIN(AC427,1+Parámetros!$B$11)-MAX(AB427,AD427))+MAX(0,MIN(AC427,2)-MAX(AB427,1+AD427))</f>
        <v>0</v>
      </c>
      <c r="AN427" s="20">
        <f t="shared" si="139"/>
        <v>0</v>
      </c>
      <c r="AO427" s="20">
        <f>AE427*(MAX(0,MIN(AC427,Parámetros!$B$11)-MAX(AB427,0))+MAX(0,MIN(AC427,1)-MAX(AB427,AD427)))+AF427*(MAX(0,MIN(AC427,1+Parámetros!$B$11)-MAX(AB427,1))+MAX(0,MIN(AC427,2)-MAX(AB427,1+AD427)))</f>
        <v>0</v>
      </c>
    </row>
    <row r="428" spans="1:41" x14ac:dyDescent="0.25">
      <c r="A428" s="15"/>
      <c r="B428" s="8"/>
      <c r="C428" s="5" t="str">
        <f>IF(B428="","",IFERROR(INDEX(Trabajadores!$B$5:$B$204,MATCH(B428,Trabajadores!$A$5:$A$204,0)),"Cédula no registrada"))</f>
        <v/>
      </c>
      <c r="D428" s="11"/>
      <c r="E428" s="11"/>
      <c r="F428" s="8"/>
      <c r="G428" s="18" t="str">
        <f>IF(A428="","",IFERROR(INDEX(Trabajadores!$E$5:$E$204,MATCH(B428,Trabajadores!$A$5:$A$204,0))/Parámetros!$B$6,0)+IF(IFERROR(INDEX(Trabajadores!$E$5:$E$204,MATCH(B428,Trabajadores!$A$5:$A$204,0)),"")="",Parámetros!$B$7,0))</f>
        <v/>
      </c>
      <c r="H428" s="5" t="str">
        <f t="shared" si="120"/>
        <v/>
      </c>
      <c r="I428" s="5" t="str">
        <f>IF(A428="","",IF(COUNTIF(Festivos!$A$5:$A$451,A428)&gt;0,"Festivo",IF(WEEKDAY(A428,2)=7,"Domingo",IF(AND(AF428=1,AC428&gt;1),IF(COUNTIF(Festivos!$A$5:$A$451,A428+1)&gt;0,"Festivo","Domingo")&amp;" desde las 00:00",""))))</f>
        <v/>
      </c>
      <c r="J428" s="19" t="str">
        <f t="shared" si="121"/>
        <v/>
      </c>
      <c r="K428" s="19" t="str">
        <f t="shared" si="122"/>
        <v/>
      </c>
      <c r="L428" s="19" t="str">
        <f t="shared" si="123"/>
        <v/>
      </c>
      <c r="M428" s="19" t="str">
        <f t="shared" si="124"/>
        <v/>
      </c>
      <c r="N428" s="19" t="str">
        <f t="shared" si="125"/>
        <v/>
      </c>
      <c r="O428" s="19" t="str">
        <f t="shared" si="126"/>
        <v/>
      </c>
      <c r="P428" s="19" t="str">
        <f t="shared" si="127"/>
        <v/>
      </c>
      <c r="Q428" s="19" t="str">
        <f t="shared" si="128"/>
        <v/>
      </c>
      <c r="R428" s="19" t="str">
        <f t="shared" si="129"/>
        <v/>
      </c>
      <c r="S428" s="17" t="str">
        <f>IF(B428="","",IFERROR(INDEX(Trabajadores!$G$5:$G$204,MATCH(B428,Trabajadores!$A$5:$A$204,0)),""))</f>
        <v/>
      </c>
      <c r="T428" s="17" t="str">
        <f>IF(OR(OR(A428="",D428="",E428=""),S428=""),"",ROUND(S428*(N(L428)*Parámetros!$B$8+N(M428)*(1+Parámetros!$B$9)+N(N428)*(1+Parámetros!$B$10)+N(O428)*(1+AG428)+N(P428)*(1+AG428+Parámetros!$B$8)+N(Q428)*(1+AG428+Parámetros!$B$9)+N(R428)*(1+AG428+Parámetros!$B$10)),0))</f>
        <v/>
      </c>
      <c r="U428" s="5" t="str">
        <f>IF(OR(A428="",D428="",E428=""),"",IF(N(M428)+N(N428)+N(Q428)+N(R428)&gt;Parámetros!$B$12,"Supera el límite de horas extras diarias",IF(C428="Cédula no registrada","Registre la cédula en «Trabajadores»","")))</f>
        <v/>
      </c>
      <c r="X428" s="20">
        <f t="shared" si="130"/>
        <v>0</v>
      </c>
      <c r="Y428" s="20">
        <f t="shared" si="131"/>
        <v>0</v>
      </c>
      <c r="Z428" s="20">
        <f t="shared" si="132"/>
        <v>0</v>
      </c>
      <c r="AA428" s="20">
        <f t="shared" si="133"/>
        <v>0</v>
      </c>
      <c r="AB428" s="20">
        <f t="shared" si="134"/>
        <v>0</v>
      </c>
      <c r="AC428" s="20">
        <f t="shared" si="135"/>
        <v>0</v>
      </c>
      <c r="AD428" s="20">
        <f>IF(A428="",21/24,MOD(VLOOKUP(A428,Parámetros!$A$24:$B$25,2,TRUE()),1))</f>
        <v>0.875</v>
      </c>
      <c r="AE428" s="5">
        <f>IF(A428="",0,IF(OR(WEEKDAY(A428,2)=7,COUNTIF(Festivos!$A$5:$A$451,A428)&gt;0),1,0))</f>
        <v>0</v>
      </c>
      <c r="AF428" s="5">
        <f>IF(A428="",0,IF(OR(WEEKDAY(A428+1,2)=7,COUNTIF(Festivos!$A$5:$A$451,A428+1)&gt;0),1,0))</f>
        <v>0</v>
      </c>
      <c r="AG428" s="9">
        <f>IF(A428="",0,VLOOKUP(A428,Parámetros!$A$18:$B$21,2,TRUE()))</f>
        <v>0</v>
      </c>
      <c r="AH428" s="20">
        <f t="shared" si="136"/>
        <v>0</v>
      </c>
      <c r="AI428" s="20">
        <f>MAX(0,MIN(AB428,Parámetros!$B$11)-MAX(X428,0))+MAX(0,MIN(AB428,1+Parámetros!$B$11)-MAX(X428,AD428))+MAX(0,MIN(AB428,2)-MAX(X428,1+AD428))</f>
        <v>0</v>
      </c>
      <c r="AJ428" s="20">
        <f t="shared" si="137"/>
        <v>0</v>
      </c>
      <c r="AK428" s="20">
        <f>AE428*(MAX(0,MIN(AB428,Parámetros!$B$11)-MAX(X428,0))+MAX(0,MIN(AB428,1)-MAX(X428,AD428)))+AF428*(MAX(0,MIN(AB428,1+Parámetros!$B$11)-MAX(X428,1))+MAX(0,MIN(AB428,2)-MAX(X428,1+AD428)))</f>
        <v>0</v>
      </c>
      <c r="AL428" s="20">
        <f t="shared" si="138"/>
        <v>0</v>
      </c>
      <c r="AM428" s="20">
        <f>MAX(0,MIN(AC428,Parámetros!$B$11)-MAX(AB428,0))+MAX(0,MIN(AC428,1+Parámetros!$B$11)-MAX(AB428,AD428))+MAX(0,MIN(AC428,2)-MAX(AB428,1+AD428))</f>
        <v>0</v>
      </c>
      <c r="AN428" s="20">
        <f t="shared" si="139"/>
        <v>0</v>
      </c>
      <c r="AO428" s="20">
        <f>AE428*(MAX(0,MIN(AC428,Parámetros!$B$11)-MAX(AB428,0))+MAX(0,MIN(AC428,1)-MAX(AB428,AD428)))+AF428*(MAX(0,MIN(AC428,1+Parámetros!$B$11)-MAX(AB428,1))+MAX(0,MIN(AC428,2)-MAX(AB428,1+AD428)))</f>
        <v>0</v>
      </c>
    </row>
    <row r="429" spans="1:41" x14ac:dyDescent="0.25">
      <c r="A429" s="15"/>
      <c r="B429" s="8"/>
      <c r="C429" s="5" t="str">
        <f>IF(B429="","",IFERROR(INDEX(Trabajadores!$B$5:$B$204,MATCH(B429,Trabajadores!$A$5:$A$204,0)),"Cédula no registrada"))</f>
        <v/>
      </c>
      <c r="D429" s="11"/>
      <c r="E429" s="11"/>
      <c r="F429" s="8"/>
      <c r="G429" s="18" t="str">
        <f>IF(A429="","",IFERROR(INDEX(Trabajadores!$E$5:$E$204,MATCH(B429,Trabajadores!$A$5:$A$204,0))/Parámetros!$B$6,0)+IF(IFERROR(INDEX(Trabajadores!$E$5:$E$204,MATCH(B429,Trabajadores!$A$5:$A$204,0)),"")="",Parámetros!$B$7,0))</f>
        <v/>
      </c>
      <c r="H429" s="5" t="str">
        <f t="shared" si="120"/>
        <v/>
      </c>
      <c r="I429" s="5" t="str">
        <f>IF(A429="","",IF(COUNTIF(Festivos!$A$5:$A$451,A429)&gt;0,"Festivo",IF(WEEKDAY(A429,2)=7,"Domingo",IF(AND(AF429=1,AC429&gt;1),IF(COUNTIF(Festivos!$A$5:$A$451,A429+1)&gt;0,"Festivo","Domingo")&amp;" desde las 00:00",""))))</f>
        <v/>
      </c>
      <c r="J429" s="19" t="str">
        <f t="shared" si="121"/>
        <v/>
      </c>
      <c r="K429" s="19" t="str">
        <f t="shared" si="122"/>
        <v/>
      </c>
      <c r="L429" s="19" t="str">
        <f t="shared" si="123"/>
        <v/>
      </c>
      <c r="M429" s="19" t="str">
        <f t="shared" si="124"/>
        <v/>
      </c>
      <c r="N429" s="19" t="str">
        <f t="shared" si="125"/>
        <v/>
      </c>
      <c r="O429" s="19" t="str">
        <f t="shared" si="126"/>
        <v/>
      </c>
      <c r="P429" s="19" t="str">
        <f t="shared" si="127"/>
        <v/>
      </c>
      <c r="Q429" s="19" t="str">
        <f t="shared" si="128"/>
        <v/>
      </c>
      <c r="R429" s="19" t="str">
        <f t="shared" si="129"/>
        <v/>
      </c>
      <c r="S429" s="17" t="str">
        <f>IF(B429="","",IFERROR(INDEX(Trabajadores!$G$5:$G$204,MATCH(B429,Trabajadores!$A$5:$A$204,0)),""))</f>
        <v/>
      </c>
      <c r="T429" s="17" t="str">
        <f>IF(OR(OR(A429="",D429="",E429=""),S429=""),"",ROUND(S429*(N(L429)*Parámetros!$B$8+N(M429)*(1+Parámetros!$B$9)+N(N429)*(1+Parámetros!$B$10)+N(O429)*(1+AG429)+N(P429)*(1+AG429+Parámetros!$B$8)+N(Q429)*(1+AG429+Parámetros!$B$9)+N(R429)*(1+AG429+Parámetros!$B$10)),0))</f>
        <v/>
      </c>
      <c r="U429" s="5" t="str">
        <f>IF(OR(A429="",D429="",E429=""),"",IF(N(M429)+N(N429)+N(Q429)+N(R429)&gt;Parámetros!$B$12,"Supera el límite de horas extras diarias",IF(C429="Cédula no registrada","Registre la cédula en «Trabajadores»","")))</f>
        <v/>
      </c>
      <c r="X429" s="20">
        <f t="shared" si="130"/>
        <v>0</v>
      </c>
      <c r="Y429" s="20">
        <f t="shared" si="131"/>
        <v>0</v>
      </c>
      <c r="Z429" s="20">
        <f t="shared" si="132"/>
        <v>0</v>
      </c>
      <c r="AA429" s="20">
        <f t="shared" si="133"/>
        <v>0</v>
      </c>
      <c r="AB429" s="20">
        <f t="shared" si="134"/>
        <v>0</v>
      </c>
      <c r="AC429" s="20">
        <f t="shared" si="135"/>
        <v>0</v>
      </c>
      <c r="AD429" s="20">
        <f>IF(A429="",21/24,MOD(VLOOKUP(A429,Parámetros!$A$24:$B$25,2,TRUE()),1))</f>
        <v>0.875</v>
      </c>
      <c r="AE429" s="5">
        <f>IF(A429="",0,IF(OR(WEEKDAY(A429,2)=7,COUNTIF(Festivos!$A$5:$A$451,A429)&gt;0),1,0))</f>
        <v>0</v>
      </c>
      <c r="AF429" s="5">
        <f>IF(A429="",0,IF(OR(WEEKDAY(A429+1,2)=7,COUNTIF(Festivos!$A$5:$A$451,A429+1)&gt;0),1,0))</f>
        <v>0</v>
      </c>
      <c r="AG429" s="9">
        <f>IF(A429="",0,VLOOKUP(A429,Parámetros!$A$18:$B$21,2,TRUE()))</f>
        <v>0</v>
      </c>
      <c r="AH429" s="20">
        <f t="shared" si="136"/>
        <v>0</v>
      </c>
      <c r="AI429" s="20">
        <f>MAX(0,MIN(AB429,Parámetros!$B$11)-MAX(X429,0))+MAX(0,MIN(AB429,1+Parámetros!$B$11)-MAX(X429,AD429))+MAX(0,MIN(AB429,2)-MAX(X429,1+AD429))</f>
        <v>0</v>
      </c>
      <c r="AJ429" s="20">
        <f t="shared" si="137"/>
        <v>0</v>
      </c>
      <c r="AK429" s="20">
        <f>AE429*(MAX(0,MIN(AB429,Parámetros!$B$11)-MAX(X429,0))+MAX(0,MIN(AB429,1)-MAX(X429,AD429)))+AF429*(MAX(0,MIN(AB429,1+Parámetros!$B$11)-MAX(X429,1))+MAX(0,MIN(AB429,2)-MAX(X429,1+AD429)))</f>
        <v>0</v>
      </c>
      <c r="AL429" s="20">
        <f t="shared" si="138"/>
        <v>0</v>
      </c>
      <c r="AM429" s="20">
        <f>MAX(0,MIN(AC429,Parámetros!$B$11)-MAX(AB429,0))+MAX(0,MIN(AC429,1+Parámetros!$B$11)-MAX(AB429,AD429))+MAX(0,MIN(AC429,2)-MAX(AB429,1+AD429))</f>
        <v>0</v>
      </c>
      <c r="AN429" s="20">
        <f t="shared" si="139"/>
        <v>0</v>
      </c>
      <c r="AO429" s="20">
        <f>AE429*(MAX(0,MIN(AC429,Parámetros!$B$11)-MAX(AB429,0))+MAX(0,MIN(AC429,1)-MAX(AB429,AD429)))+AF429*(MAX(0,MIN(AC429,1+Parámetros!$B$11)-MAX(AB429,1))+MAX(0,MIN(AC429,2)-MAX(AB429,1+AD429)))</f>
        <v>0</v>
      </c>
    </row>
    <row r="430" spans="1:41" x14ac:dyDescent="0.25">
      <c r="A430" s="15"/>
      <c r="B430" s="8"/>
      <c r="C430" s="5" t="str">
        <f>IF(B430="","",IFERROR(INDEX(Trabajadores!$B$5:$B$204,MATCH(B430,Trabajadores!$A$5:$A$204,0)),"Cédula no registrada"))</f>
        <v/>
      </c>
      <c r="D430" s="11"/>
      <c r="E430" s="11"/>
      <c r="F430" s="8"/>
      <c r="G430" s="18" t="str">
        <f>IF(A430="","",IFERROR(INDEX(Trabajadores!$E$5:$E$204,MATCH(B430,Trabajadores!$A$5:$A$204,0))/Parámetros!$B$6,0)+IF(IFERROR(INDEX(Trabajadores!$E$5:$E$204,MATCH(B430,Trabajadores!$A$5:$A$204,0)),"")="",Parámetros!$B$7,0))</f>
        <v/>
      </c>
      <c r="H430" s="5" t="str">
        <f t="shared" si="120"/>
        <v/>
      </c>
      <c r="I430" s="5" t="str">
        <f>IF(A430="","",IF(COUNTIF(Festivos!$A$5:$A$451,A430)&gt;0,"Festivo",IF(WEEKDAY(A430,2)=7,"Domingo",IF(AND(AF430=1,AC430&gt;1),IF(COUNTIF(Festivos!$A$5:$A$451,A430+1)&gt;0,"Festivo","Domingo")&amp;" desde las 00:00",""))))</f>
        <v/>
      </c>
      <c r="J430" s="19" t="str">
        <f t="shared" si="121"/>
        <v/>
      </c>
      <c r="K430" s="19" t="str">
        <f t="shared" si="122"/>
        <v/>
      </c>
      <c r="L430" s="19" t="str">
        <f t="shared" si="123"/>
        <v/>
      </c>
      <c r="M430" s="19" t="str">
        <f t="shared" si="124"/>
        <v/>
      </c>
      <c r="N430" s="19" t="str">
        <f t="shared" si="125"/>
        <v/>
      </c>
      <c r="O430" s="19" t="str">
        <f t="shared" si="126"/>
        <v/>
      </c>
      <c r="P430" s="19" t="str">
        <f t="shared" si="127"/>
        <v/>
      </c>
      <c r="Q430" s="19" t="str">
        <f t="shared" si="128"/>
        <v/>
      </c>
      <c r="R430" s="19" t="str">
        <f t="shared" si="129"/>
        <v/>
      </c>
      <c r="S430" s="17" t="str">
        <f>IF(B430="","",IFERROR(INDEX(Trabajadores!$G$5:$G$204,MATCH(B430,Trabajadores!$A$5:$A$204,0)),""))</f>
        <v/>
      </c>
      <c r="T430" s="17" t="str">
        <f>IF(OR(OR(A430="",D430="",E430=""),S430=""),"",ROUND(S430*(N(L430)*Parámetros!$B$8+N(M430)*(1+Parámetros!$B$9)+N(N430)*(1+Parámetros!$B$10)+N(O430)*(1+AG430)+N(P430)*(1+AG430+Parámetros!$B$8)+N(Q430)*(1+AG430+Parámetros!$B$9)+N(R430)*(1+AG430+Parámetros!$B$10)),0))</f>
        <v/>
      </c>
      <c r="U430" s="5" t="str">
        <f>IF(OR(A430="",D430="",E430=""),"",IF(N(M430)+N(N430)+N(Q430)+N(R430)&gt;Parámetros!$B$12,"Supera el límite de horas extras diarias",IF(C430="Cédula no registrada","Registre la cédula en «Trabajadores»","")))</f>
        <v/>
      </c>
      <c r="X430" s="20">
        <f t="shared" si="130"/>
        <v>0</v>
      </c>
      <c r="Y430" s="20">
        <f t="shared" si="131"/>
        <v>0</v>
      </c>
      <c r="Z430" s="20">
        <f t="shared" si="132"/>
        <v>0</v>
      </c>
      <c r="AA430" s="20">
        <f t="shared" si="133"/>
        <v>0</v>
      </c>
      <c r="AB430" s="20">
        <f t="shared" si="134"/>
        <v>0</v>
      </c>
      <c r="AC430" s="20">
        <f t="shared" si="135"/>
        <v>0</v>
      </c>
      <c r="AD430" s="20">
        <f>IF(A430="",21/24,MOD(VLOOKUP(A430,Parámetros!$A$24:$B$25,2,TRUE()),1))</f>
        <v>0.875</v>
      </c>
      <c r="AE430" s="5">
        <f>IF(A430="",0,IF(OR(WEEKDAY(A430,2)=7,COUNTIF(Festivos!$A$5:$A$451,A430)&gt;0),1,0))</f>
        <v>0</v>
      </c>
      <c r="AF430" s="5">
        <f>IF(A430="",0,IF(OR(WEEKDAY(A430+1,2)=7,COUNTIF(Festivos!$A$5:$A$451,A430+1)&gt;0),1,0))</f>
        <v>0</v>
      </c>
      <c r="AG430" s="9">
        <f>IF(A430="",0,VLOOKUP(A430,Parámetros!$A$18:$B$21,2,TRUE()))</f>
        <v>0</v>
      </c>
      <c r="AH430" s="20">
        <f t="shared" si="136"/>
        <v>0</v>
      </c>
      <c r="AI430" s="20">
        <f>MAX(0,MIN(AB430,Parámetros!$B$11)-MAX(X430,0))+MAX(0,MIN(AB430,1+Parámetros!$B$11)-MAX(X430,AD430))+MAX(0,MIN(AB430,2)-MAX(X430,1+AD430))</f>
        <v>0</v>
      </c>
      <c r="AJ430" s="20">
        <f t="shared" si="137"/>
        <v>0</v>
      </c>
      <c r="AK430" s="20">
        <f>AE430*(MAX(0,MIN(AB430,Parámetros!$B$11)-MAX(X430,0))+MAX(0,MIN(AB430,1)-MAX(X430,AD430)))+AF430*(MAX(0,MIN(AB430,1+Parámetros!$B$11)-MAX(X430,1))+MAX(0,MIN(AB430,2)-MAX(X430,1+AD430)))</f>
        <v>0</v>
      </c>
      <c r="AL430" s="20">
        <f t="shared" si="138"/>
        <v>0</v>
      </c>
      <c r="AM430" s="20">
        <f>MAX(0,MIN(AC430,Parámetros!$B$11)-MAX(AB430,0))+MAX(0,MIN(AC430,1+Parámetros!$B$11)-MAX(AB430,AD430))+MAX(0,MIN(AC430,2)-MAX(AB430,1+AD430))</f>
        <v>0</v>
      </c>
      <c r="AN430" s="20">
        <f t="shared" si="139"/>
        <v>0</v>
      </c>
      <c r="AO430" s="20">
        <f>AE430*(MAX(0,MIN(AC430,Parámetros!$B$11)-MAX(AB430,0))+MAX(0,MIN(AC430,1)-MAX(AB430,AD430)))+AF430*(MAX(0,MIN(AC430,1+Parámetros!$B$11)-MAX(AB430,1))+MAX(0,MIN(AC430,2)-MAX(AB430,1+AD430)))</f>
        <v>0</v>
      </c>
    </row>
    <row r="431" spans="1:41" x14ac:dyDescent="0.25">
      <c r="A431" s="15"/>
      <c r="B431" s="8"/>
      <c r="C431" s="5" t="str">
        <f>IF(B431="","",IFERROR(INDEX(Trabajadores!$B$5:$B$204,MATCH(B431,Trabajadores!$A$5:$A$204,0)),"Cédula no registrada"))</f>
        <v/>
      </c>
      <c r="D431" s="11"/>
      <c r="E431" s="11"/>
      <c r="F431" s="8"/>
      <c r="G431" s="18" t="str">
        <f>IF(A431="","",IFERROR(INDEX(Trabajadores!$E$5:$E$204,MATCH(B431,Trabajadores!$A$5:$A$204,0))/Parámetros!$B$6,0)+IF(IFERROR(INDEX(Trabajadores!$E$5:$E$204,MATCH(B431,Trabajadores!$A$5:$A$204,0)),"")="",Parámetros!$B$7,0))</f>
        <v/>
      </c>
      <c r="H431" s="5" t="str">
        <f t="shared" si="120"/>
        <v/>
      </c>
      <c r="I431" s="5" t="str">
        <f>IF(A431="","",IF(COUNTIF(Festivos!$A$5:$A$451,A431)&gt;0,"Festivo",IF(WEEKDAY(A431,2)=7,"Domingo",IF(AND(AF431=1,AC431&gt;1),IF(COUNTIF(Festivos!$A$5:$A$451,A431+1)&gt;0,"Festivo","Domingo")&amp;" desde las 00:00",""))))</f>
        <v/>
      </c>
      <c r="J431" s="19" t="str">
        <f t="shared" si="121"/>
        <v/>
      </c>
      <c r="K431" s="19" t="str">
        <f t="shared" si="122"/>
        <v/>
      </c>
      <c r="L431" s="19" t="str">
        <f t="shared" si="123"/>
        <v/>
      </c>
      <c r="M431" s="19" t="str">
        <f t="shared" si="124"/>
        <v/>
      </c>
      <c r="N431" s="19" t="str">
        <f t="shared" si="125"/>
        <v/>
      </c>
      <c r="O431" s="19" t="str">
        <f t="shared" si="126"/>
        <v/>
      </c>
      <c r="P431" s="19" t="str">
        <f t="shared" si="127"/>
        <v/>
      </c>
      <c r="Q431" s="19" t="str">
        <f t="shared" si="128"/>
        <v/>
      </c>
      <c r="R431" s="19" t="str">
        <f t="shared" si="129"/>
        <v/>
      </c>
      <c r="S431" s="17" t="str">
        <f>IF(B431="","",IFERROR(INDEX(Trabajadores!$G$5:$G$204,MATCH(B431,Trabajadores!$A$5:$A$204,0)),""))</f>
        <v/>
      </c>
      <c r="T431" s="17" t="str">
        <f>IF(OR(OR(A431="",D431="",E431=""),S431=""),"",ROUND(S431*(N(L431)*Parámetros!$B$8+N(M431)*(1+Parámetros!$B$9)+N(N431)*(1+Parámetros!$B$10)+N(O431)*(1+AG431)+N(P431)*(1+AG431+Parámetros!$B$8)+N(Q431)*(1+AG431+Parámetros!$B$9)+N(R431)*(1+AG431+Parámetros!$B$10)),0))</f>
        <v/>
      </c>
      <c r="U431" s="5" t="str">
        <f>IF(OR(A431="",D431="",E431=""),"",IF(N(M431)+N(N431)+N(Q431)+N(R431)&gt;Parámetros!$B$12,"Supera el límite de horas extras diarias",IF(C431="Cédula no registrada","Registre la cédula en «Trabajadores»","")))</f>
        <v/>
      </c>
      <c r="X431" s="20">
        <f t="shared" si="130"/>
        <v>0</v>
      </c>
      <c r="Y431" s="20">
        <f t="shared" si="131"/>
        <v>0</v>
      </c>
      <c r="Z431" s="20">
        <f t="shared" si="132"/>
        <v>0</v>
      </c>
      <c r="AA431" s="20">
        <f t="shared" si="133"/>
        <v>0</v>
      </c>
      <c r="AB431" s="20">
        <f t="shared" si="134"/>
        <v>0</v>
      </c>
      <c r="AC431" s="20">
        <f t="shared" si="135"/>
        <v>0</v>
      </c>
      <c r="AD431" s="20">
        <f>IF(A431="",21/24,MOD(VLOOKUP(A431,Parámetros!$A$24:$B$25,2,TRUE()),1))</f>
        <v>0.875</v>
      </c>
      <c r="AE431" s="5">
        <f>IF(A431="",0,IF(OR(WEEKDAY(A431,2)=7,COUNTIF(Festivos!$A$5:$A$451,A431)&gt;0),1,0))</f>
        <v>0</v>
      </c>
      <c r="AF431" s="5">
        <f>IF(A431="",0,IF(OR(WEEKDAY(A431+1,2)=7,COUNTIF(Festivos!$A$5:$A$451,A431+1)&gt;0),1,0))</f>
        <v>0</v>
      </c>
      <c r="AG431" s="9">
        <f>IF(A431="",0,VLOOKUP(A431,Parámetros!$A$18:$B$21,2,TRUE()))</f>
        <v>0</v>
      </c>
      <c r="AH431" s="20">
        <f t="shared" si="136"/>
        <v>0</v>
      </c>
      <c r="AI431" s="20">
        <f>MAX(0,MIN(AB431,Parámetros!$B$11)-MAX(X431,0))+MAX(0,MIN(AB431,1+Parámetros!$B$11)-MAX(X431,AD431))+MAX(0,MIN(AB431,2)-MAX(X431,1+AD431))</f>
        <v>0</v>
      </c>
      <c r="AJ431" s="20">
        <f t="shared" si="137"/>
        <v>0</v>
      </c>
      <c r="AK431" s="20">
        <f>AE431*(MAX(0,MIN(AB431,Parámetros!$B$11)-MAX(X431,0))+MAX(0,MIN(AB431,1)-MAX(X431,AD431)))+AF431*(MAX(0,MIN(AB431,1+Parámetros!$B$11)-MAX(X431,1))+MAX(0,MIN(AB431,2)-MAX(X431,1+AD431)))</f>
        <v>0</v>
      </c>
      <c r="AL431" s="20">
        <f t="shared" si="138"/>
        <v>0</v>
      </c>
      <c r="AM431" s="20">
        <f>MAX(0,MIN(AC431,Parámetros!$B$11)-MAX(AB431,0))+MAX(0,MIN(AC431,1+Parámetros!$B$11)-MAX(AB431,AD431))+MAX(0,MIN(AC431,2)-MAX(AB431,1+AD431))</f>
        <v>0</v>
      </c>
      <c r="AN431" s="20">
        <f t="shared" si="139"/>
        <v>0</v>
      </c>
      <c r="AO431" s="20">
        <f>AE431*(MAX(0,MIN(AC431,Parámetros!$B$11)-MAX(AB431,0))+MAX(0,MIN(AC431,1)-MAX(AB431,AD431)))+AF431*(MAX(0,MIN(AC431,1+Parámetros!$B$11)-MAX(AB431,1))+MAX(0,MIN(AC431,2)-MAX(AB431,1+AD431)))</f>
        <v>0</v>
      </c>
    </row>
    <row r="432" spans="1:41" x14ac:dyDescent="0.25">
      <c r="A432" s="15"/>
      <c r="B432" s="8"/>
      <c r="C432" s="5" t="str">
        <f>IF(B432="","",IFERROR(INDEX(Trabajadores!$B$5:$B$204,MATCH(B432,Trabajadores!$A$5:$A$204,0)),"Cédula no registrada"))</f>
        <v/>
      </c>
      <c r="D432" s="11"/>
      <c r="E432" s="11"/>
      <c r="F432" s="8"/>
      <c r="G432" s="18" t="str">
        <f>IF(A432="","",IFERROR(INDEX(Trabajadores!$E$5:$E$204,MATCH(B432,Trabajadores!$A$5:$A$204,0))/Parámetros!$B$6,0)+IF(IFERROR(INDEX(Trabajadores!$E$5:$E$204,MATCH(B432,Trabajadores!$A$5:$A$204,0)),"")="",Parámetros!$B$7,0))</f>
        <v/>
      </c>
      <c r="H432" s="5" t="str">
        <f t="shared" si="120"/>
        <v/>
      </c>
      <c r="I432" s="5" t="str">
        <f>IF(A432="","",IF(COUNTIF(Festivos!$A$5:$A$451,A432)&gt;0,"Festivo",IF(WEEKDAY(A432,2)=7,"Domingo",IF(AND(AF432=1,AC432&gt;1),IF(COUNTIF(Festivos!$A$5:$A$451,A432+1)&gt;0,"Festivo","Domingo")&amp;" desde las 00:00",""))))</f>
        <v/>
      </c>
      <c r="J432" s="19" t="str">
        <f t="shared" si="121"/>
        <v/>
      </c>
      <c r="K432" s="19" t="str">
        <f t="shared" si="122"/>
        <v/>
      </c>
      <c r="L432" s="19" t="str">
        <f t="shared" si="123"/>
        <v/>
      </c>
      <c r="M432" s="19" t="str">
        <f t="shared" si="124"/>
        <v/>
      </c>
      <c r="N432" s="19" t="str">
        <f t="shared" si="125"/>
        <v/>
      </c>
      <c r="O432" s="19" t="str">
        <f t="shared" si="126"/>
        <v/>
      </c>
      <c r="P432" s="19" t="str">
        <f t="shared" si="127"/>
        <v/>
      </c>
      <c r="Q432" s="19" t="str">
        <f t="shared" si="128"/>
        <v/>
      </c>
      <c r="R432" s="19" t="str">
        <f t="shared" si="129"/>
        <v/>
      </c>
      <c r="S432" s="17" t="str">
        <f>IF(B432="","",IFERROR(INDEX(Trabajadores!$G$5:$G$204,MATCH(B432,Trabajadores!$A$5:$A$204,0)),""))</f>
        <v/>
      </c>
      <c r="T432" s="17" t="str">
        <f>IF(OR(OR(A432="",D432="",E432=""),S432=""),"",ROUND(S432*(N(L432)*Parámetros!$B$8+N(M432)*(1+Parámetros!$B$9)+N(N432)*(1+Parámetros!$B$10)+N(O432)*(1+AG432)+N(P432)*(1+AG432+Parámetros!$B$8)+N(Q432)*(1+AG432+Parámetros!$B$9)+N(R432)*(1+AG432+Parámetros!$B$10)),0))</f>
        <v/>
      </c>
      <c r="U432" s="5" t="str">
        <f>IF(OR(A432="",D432="",E432=""),"",IF(N(M432)+N(N432)+N(Q432)+N(R432)&gt;Parámetros!$B$12,"Supera el límite de horas extras diarias",IF(C432="Cédula no registrada","Registre la cédula en «Trabajadores»","")))</f>
        <v/>
      </c>
      <c r="X432" s="20">
        <f t="shared" si="130"/>
        <v>0</v>
      </c>
      <c r="Y432" s="20">
        <f t="shared" si="131"/>
        <v>0</v>
      </c>
      <c r="Z432" s="20">
        <f t="shared" si="132"/>
        <v>0</v>
      </c>
      <c r="AA432" s="20">
        <f t="shared" si="133"/>
        <v>0</v>
      </c>
      <c r="AB432" s="20">
        <f t="shared" si="134"/>
        <v>0</v>
      </c>
      <c r="AC432" s="20">
        <f t="shared" si="135"/>
        <v>0</v>
      </c>
      <c r="AD432" s="20">
        <f>IF(A432="",21/24,MOD(VLOOKUP(A432,Parámetros!$A$24:$B$25,2,TRUE()),1))</f>
        <v>0.875</v>
      </c>
      <c r="AE432" s="5">
        <f>IF(A432="",0,IF(OR(WEEKDAY(A432,2)=7,COUNTIF(Festivos!$A$5:$A$451,A432)&gt;0),1,0))</f>
        <v>0</v>
      </c>
      <c r="AF432" s="5">
        <f>IF(A432="",0,IF(OR(WEEKDAY(A432+1,2)=7,COUNTIF(Festivos!$A$5:$A$451,A432+1)&gt;0),1,0))</f>
        <v>0</v>
      </c>
      <c r="AG432" s="9">
        <f>IF(A432="",0,VLOOKUP(A432,Parámetros!$A$18:$B$21,2,TRUE()))</f>
        <v>0</v>
      </c>
      <c r="AH432" s="20">
        <f t="shared" si="136"/>
        <v>0</v>
      </c>
      <c r="AI432" s="20">
        <f>MAX(0,MIN(AB432,Parámetros!$B$11)-MAX(X432,0))+MAX(0,MIN(AB432,1+Parámetros!$B$11)-MAX(X432,AD432))+MAX(0,MIN(AB432,2)-MAX(X432,1+AD432))</f>
        <v>0</v>
      </c>
      <c r="AJ432" s="20">
        <f t="shared" si="137"/>
        <v>0</v>
      </c>
      <c r="AK432" s="20">
        <f>AE432*(MAX(0,MIN(AB432,Parámetros!$B$11)-MAX(X432,0))+MAX(0,MIN(AB432,1)-MAX(X432,AD432)))+AF432*(MAX(0,MIN(AB432,1+Parámetros!$B$11)-MAX(X432,1))+MAX(0,MIN(AB432,2)-MAX(X432,1+AD432)))</f>
        <v>0</v>
      </c>
      <c r="AL432" s="20">
        <f t="shared" si="138"/>
        <v>0</v>
      </c>
      <c r="AM432" s="20">
        <f>MAX(0,MIN(AC432,Parámetros!$B$11)-MAX(AB432,0))+MAX(0,MIN(AC432,1+Parámetros!$B$11)-MAX(AB432,AD432))+MAX(0,MIN(AC432,2)-MAX(AB432,1+AD432))</f>
        <v>0</v>
      </c>
      <c r="AN432" s="20">
        <f t="shared" si="139"/>
        <v>0</v>
      </c>
      <c r="AO432" s="20">
        <f>AE432*(MAX(0,MIN(AC432,Parámetros!$B$11)-MAX(AB432,0))+MAX(0,MIN(AC432,1)-MAX(AB432,AD432)))+AF432*(MAX(0,MIN(AC432,1+Parámetros!$B$11)-MAX(AB432,1))+MAX(0,MIN(AC432,2)-MAX(AB432,1+AD432)))</f>
        <v>0</v>
      </c>
    </row>
    <row r="433" spans="1:41" x14ac:dyDescent="0.25">
      <c r="A433" s="15"/>
      <c r="B433" s="8"/>
      <c r="C433" s="5" t="str">
        <f>IF(B433="","",IFERROR(INDEX(Trabajadores!$B$5:$B$204,MATCH(B433,Trabajadores!$A$5:$A$204,0)),"Cédula no registrada"))</f>
        <v/>
      </c>
      <c r="D433" s="11"/>
      <c r="E433" s="11"/>
      <c r="F433" s="8"/>
      <c r="G433" s="18" t="str">
        <f>IF(A433="","",IFERROR(INDEX(Trabajadores!$E$5:$E$204,MATCH(B433,Trabajadores!$A$5:$A$204,0))/Parámetros!$B$6,0)+IF(IFERROR(INDEX(Trabajadores!$E$5:$E$204,MATCH(B433,Trabajadores!$A$5:$A$204,0)),"")="",Parámetros!$B$7,0))</f>
        <v/>
      </c>
      <c r="H433" s="5" t="str">
        <f t="shared" si="120"/>
        <v/>
      </c>
      <c r="I433" s="5" t="str">
        <f>IF(A433="","",IF(COUNTIF(Festivos!$A$5:$A$451,A433)&gt;0,"Festivo",IF(WEEKDAY(A433,2)=7,"Domingo",IF(AND(AF433=1,AC433&gt;1),IF(COUNTIF(Festivos!$A$5:$A$451,A433+1)&gt;0,"Festivo","Domingo")&amp;" desde las 00:00",""))))</f>
        <v/>
      </c>
      <c r="J433" s="19" t="str">
        <f t="shared" si="121"/>
        <v/>
      </c>
      <c r="K433" s="19" t="str">
        <f t="shared" si="122"/>
        <v/>
      </c>
      <c r="L433" s="19" t="str">
        <f t="shared" si="123"/>
        <v/>
      </c>
      <c r="M433" s="19" t="str">
        <f t="shared" si="124"/>
        <v/>
      </c>
      <c r="N433" s="19" t="str">
        <f t="shared" si="125"/>
        <v/>
      </c>
      <c r="O433" s="19" t="str">
        <f t="shared" si="126"/>
        <v/>
      </c>
      <c r="P433" s="19" t="str">
        <f t="shared" si="127"/>
        <v/>
      </c>
      <c r="Q433" s="19" t="str">
        <f t="shared" si="128"/>
        <v/>
      </c>
      <c r="R433" s="19" t="str">
        <f t="shared" si="129"/>
        <v/>
      </c>
      <c r="S433" s="17" t="str">
        <f>IF(B433="","",IFERROR(INDEX(Trabajadores!$G$5:$G$204,MATCH(B433,Trabajadores!$A$5:$A$204,0)),""))</f>
        <v/>
      </c>
      <c r="T433" s="17" t="str">
        <f>IF(OR(OR(A433="",D433="",E433=""),S433=""),"",ROUND(S433*(N(L433)*Parámetros!$B$8+N(M433)*(1+Parámetros!$B$9)+N(N433)*(1+Parámetros!$B$10)+N(O433)*(1+AG433)+N(P433)*(1+AG433+Parámetros!$B$8)+N(Q433)*(1+AG433+Parámetros!$B$9)+N(R433)*(1+AG433+Parámetros!$B$10)),0))</f>
        <v/>
      </c>
      <c r="U433" s="5" t="str">
        <f>IF(OR(A433="",D433="",E433=""),"",IF(N(M433)+N(N433)+N(Q433)+N(R433)&gt;Parámetros!$B$12,"Supera el límite de horas extras diarias",IF(C433="Cédula no registrada","Registre la cédula en «Trabajadores»","")))</f>
        <v/>
      </c>
      <c r="X433" s="20">
        <f t="shared" si="130"/>
        <v>0</v>
      </c>
      <c r="Y433" s="20">
        <f t="shared" si="131"/>
        <v>0</v>
      </c>
      <c r="Z433" s="20">
        <f t="shared" si="132"/>
        <v>0</v>
      </c>
      <c r="AA433" s="20">
        <f t="shared" si="133"/>
        <v>0</v>
      </c>
      <c r="AB433" s="20">
        <f t="shared" si="134"/>
        <v>0</v>
      </c>
      <c r="AC433" s="20">
        <f t="shared" si="135"/>
        <v>0</v>
      </c>
      <c r="AD433" s="20">
        <f>IF(A433="",21/24,MOD(VLOOKUP(A433,Parámetros!$A$24:$B$25,2,TRUE()),1))</f>
        <v>0.875</v>
      </c>
      <c r="AE433" s="5">
        <f>IF(A433="",0,IF(OR(WEEKDAY(A433,2)=7,COUNTIF(Festivos!$A$5:$A$451,A433)&gt;0),1,0))</f>
        <v>0</v>
      </c>
      <c r="AF433" s="5">
        <f>IF(A433="",0,IF(OR(WEEKDAY(A433+1,2)=7,COUNTIF(Festivos!$A$5:$A$451,A433+1)&gt;0),1,0))</f>
        <v>0</v>
      </c>
      <c r="AG433" s="9">
        <f>IF(A433="",0,VLOOKUP(A433,Parámetros!$A$18:$B$21,2,TRUE()))</f>
        <v>0</v>
      </c>
      <c r="AH433" s="20">
        <f t="shared" si="136"/>
        <v>0</v>
      </c>
      <c r="AI433" s="20">
        <f>MAX(0,MIN(AB433,Parámetros!$B$11)-MAX(X433,0))+MAX(0,MIN(AB433,1+Parámetros!$B$11)-MAX(X433,AD433))+MAX(0,MIN(AB433,2)-MAX(X433,1+AD433))</f>
        <v>0</v>
      </c>
      <c r="AJ433" s="20">
        <f t="shared" si="137"/>
        <v>0</v>
      </c>
      <c r="AK433" s="20">
        <f>AE433*(MAX(0,MIN(AB433,Parámetros!$B$11)-MAX(X433,0))+MAX(0,MIN(AB433,1)-MAX(X433,AD433)))+AF433*(MAX(0,MIN(AB433,1+Parámetros!$B$11)-MAX(X433,1))+MAX(0,MIN(AB433,2)-MAX(X433,1+AD433)))</f>
        <v>0</v>
      </c>
      <c r="AL433" s="20">
        <f t="shared" si="138"/>
        <v>0</v>
      </c>
      <c r="AM433" s="20">
        <f>MAX(0,MIN(AC433,Parámetros!$B$11)-MAX(AB433,0))+MAX(0,MIN(AC433,1+Parámetros!$B$11)-MAX(AB433,AD433))+MAX(0,MIN(AC433,2)-MAX(AB433,1+AD433))</f>
        <v>0</v>
      </c>
      <c r="AN433" s="20">
        <f t="shared" si="139"/>
        <v>0</v>
      </c>
      <c r="AO433" s="20">
        <f>AE433*(MAX(0,MIN(AC433,Parámetros!$B$11)-MAX(AB433,0))+MAX(0,MIN(AC433,1)-MAX(AB433,AD433)))+AF433*(MAX(0,MIN(AC433,1+Parámetros!$B$11)-MAX(AB433,1))+MAX(0,MIN(AC433,2)-MAX(AB433,1+AD433)))</f>
        <v>0</v>
      </c>
    </row>
    <row r="434" spans="1:41" x14ac:dyDescent="0.25">
      <c r="A434" s="15"/>
      <c r="B434" s="8"/>
      <c r="C434" s="5" t="str">
        <f>IF(B434="","",IFERROR(INDEX(Trabajadores!$B$5:$B$204,MATCH(B434,Trabajadores!$A$5:$A$204,0)),"Cédula no registrada"))</f>
        <v/>
      </c>
      <c r="D434" s="11"/>
      <c r="E434" s="11"/>
      <c r="F434" s="8"/>
      <c r="G434" s="18" t="str">
        <f>IF(A434="","",IFERROR(INDEX(Trabajadores!$E$5:$E$204,MATCH(B434,Trabajadores!$A$5:$A$204,0))/Parámetros!$B$6,0)+IF(IFERROR(INDEX(Trabajadores!$E$5:$E$204,MATCH(B434,Trabajadores!$A$5:$A$204,0)),"")="",Parámetros!$B$7,0))</f>
        <v/>
      </c>
      <c r="H434" s="5" t="str">
        <f t="shared" si="120"/>
        <v/>
      </c>
      <c r="I434" s="5" t="str">
        <f>IF(A434="","",IF(COUNTIF(Festivos!$A$5:$A$451,A434)&gt;0,"Festivo",IF(WEEKDAY(A434,2)=7,"Domingo",IF(AND(AF434=1,AC434&gt;1),IF(COUNTIF(Festivos!$A$5:$A$451,A434+1)&gt;0,"Festivo","Domingo")&amp;" desde las 00:00",""))))</f>
        <v/>
      </c>
      <c r="J434" s="19" t="str">
        <f t="shared" si="121"/>
        <v/>
      </c>
      <c r="K434" s="19" t="str">
        <f t="shared" si="122"/>
        <v/>
      </c>
      <c r="L434" s="19" t="str">
        <f t="shared" si="123"/>
        <v/>
      </c>
      <c r="M434" s="19" t="str">
        <f t="shared" si="124"/>
        <v/>
      </c>
      <c r="N434" s="19" t="str">
        <f t="shared" si="125"/>
        <v/>
      </c>
      <c r="O434" s="19" t="str">
        <f t="shared" si="126"/>
        <v/>
      </c>
      <c r="P434" s="19" t="str">
        <f t="shared" si="127"/>
        <v/>
      </c>
      <c r="Q434" s="19" t="str">
        <f t="shared" si="128"/>
        <v/>
      </c>
      <c r="R434" s="19" t="str">
        <f t="shared" si="129"/>
        <v/>
      </c>
      <c r="S434" s="17" t="str">
        <f>IF(B434="","",IFERROR(INDEX(Trabajadores!$G$5:$G$204,MATCH(B434,Trabajadores!$A$5:$A$204,0)),""))</f>
        <v/>
      </c>
      <c r="T434" s="17" t="str">
        <f>IF(OR(OR(A434="",D434="",E434=""),S434=""),"",ROUND(S434*(N(L434)*Parámetros!$B$8+N(M434)*(1+Parámetros!$B$9)+N(N434)*(1+Parámetros!$B$10)+N(O434)*(1+AG434)+N(P434)*(1+AG434+Parámetros!$B$8)+N(Q434)*(1+AG434+Parámetros!$B$9)+N(R434)*(1+AG434+Parámetros!$B$10)),0))</f>
        <v/>
      </c>
      <c r="U434" s="5" t="str">
        <f>IF(OR(A434="",D434="",E434=""),"",IF(N(M434)+N(N434)+N(Q434)+N(R434)&gt;Parámetros!$B$12,"Supera el límite de horas extras diarias",IF(C434="Cédula no registrada","Registre la cédula en «Trabajadores»","")))</f>
        <v/>
      </c>
      <c r="X434" s="20">
        <f t="shared" si="130"/>
        <v>0</v>
      </c>
      <c r="Y434" s="20">
        <f t="shared" si="131"/>
        <v>0</v>
      </c>
      <c r="Z434" s="20">
        <f t="shared" si="132"/>
        <v>0</v>
      </c>
      <c r="AA434" s="20">
        <f t="shared" si="133"/>
        <v>0</v>
      </c>
      <c r="AB434" s="20">
        <f t="shared" si="134"/>
        <v>0</v>
      </c>
      <c r="AC434" s="20">
        <f t="shared" si="135"/>
        <v>0</v>
      </c>
      <c r="AD434" s="20">
        <f>IF(A434="",21/24,MOD(VLOOKUP(A434,Parámetros!$A$24:$B$25,2,TRUE()),1))</f>
        <v>0.875</v>
      </c>
      <c r="AE434" s="5">
        <f>IF(A434="",0,IF(OR(WEEKDAY(A434,2)=7,COUNTIF(Festivos!$A$5:$A$451,A434)&gt;0),1,0))</f>
        <v>0</v>
      </c>
      <c r="AF434" s="5">
        <f>IF(A434="",0,IF(OR(WEEKDAY(A434+1,2)=7,COUNTIF(Festivos!$A$5:$A$451,A434+1)&gt;0),1,0))</f>
        <v>0</v>
      </c>
      <c r="AG434" s="9">
        <f>IF(A434="",0,VLOOKUP(A434,Parámetros!$A$18:$B$21,2,TRUE()))</f>
        <v>0</v>
      </c>
      <c r="AH434" s="20">
        <f t="shared" si="136"/>
        <v>0</v>
      </c>
      <c r="AI434" s="20">
        <f>MAX(0,MIN(AB434,Parámetros!$B$11)-MAX(X434,0))+MAX(0,MIN(AB434,1+Parámetros!$B$11)-MAX(X434,AD434))+MAX(0,MIN(AB434,2)-MAX(X434,1+AD434))</f>
        <v>0</v>
      </c>
      <c r="AJ434" s="20">
        <f t="shared" si="137"/>
        <v>0</v>
      </c>
      <c r="AK434" s="20">
        <f>AE434*(MAX(0,MIN(AB434,Parámetros!$B$11)-MAX(X434,0))+MAX(0,MIN(AB434,1)-MAX(X434,AD434)))+AF434*(MAX(0,MIN(AB434,1+Parámetros!$B$11)-MAX(X434,1))+MAX(0,MIN(AB434,2)-MAX(X434,1+AD434)))</f>
        <v>0</v>
      </c>
      <c r="AL434" s="20">
        <f t="shared" si="138"/>
        <v>0</v>
      </c>
      <c r="AM434" s="20">
        <f>MAX(0,MIN(AC434,Parámetros!$B$11)-MAX(AB434,0))+MAX(0,MIN(AC434,1+Parámetros!$B$11)-MAX(AB434,AD434))+MAX(0,MIN(AC434,2)-MAX(AB434,1+AD434))</f>
        <v>0</v>
      </c>
      <c r="AN434" s="20">
        <f t="shared" si="139"/>
        <v>0</v>
      </c>
      <c r="AO434" s="20">
        <f>AE434*(MAX(0,MIN(AC434,Parámetros!$B$11)-MAX(AB434,0))+MAX(0,MIN(AC434,1)-MAX(AB434,AD434)))+AF434*(MAX(0,MIN(AC434,1+Parámetros!$B$11)-MAX(AB434,1))+MAX(0,MIN(AC434,2)-MAX(AB434,1+AD434)))</f>
        <v>0</v>
      </c>
    </row>
    <row r="435" spans="1:41" x14ac:dyDescent="0.25">
      <c r="A435" s="15"/>
      <c r="B435" s="8"/>
      <c r="C435" s="5" t="str">
        <f>IF(B435="","",IFERROR(INDEX(Trabajadores!$B$5:$B$204,MATCH(B435,Trabajadores!$A$5:$A$204,0)),"Cédula no registrada"))</f>
        <v/>
      </c>
      <c r="D435" s="11"/>
      <c r="E435" s="11"/>
      <c r="F435" s="8"/>
      <c r="G435" s="18" t="str">
        <f>IF(A435="","",IFERROR(INDEX(Trabajadores!$E$5:$E$204,MATCH(B435,Trabajadores!$A$5:$A$204,0))/Parámetros!$B$6,0)+IF(IFERROR(INDEX(Trabajadores!$E$5:$E$204,MATCH(B435,Trabajadores!$A$5:$A$204,0)),"")="",Parámetros!$B$7,0))</f>
        <v/>
      </c>
      <c r="H435" s="5" t="str">
        <f t="shared" si="120"/>
        <v/>
      </c>
      <c r="I435" s="5" t="str">
        <f>IF(A435="","",IF(COUNTIF(Festivos!$A$5:$A$451,A435)&gt;0,"Festivo",IF(WEEKDAY(A435,2)=7,"Domingo",IF(AND(AF435=1,AC435&gt;1),IF(COUNTIF(Festivos!$A$5:$A$451,A435+1)&gt;0,"Festivo","Domingo")&amp;" desde las 00:00",""))))</f>
        <v/>
      </c>
      <c r="J435" s="19" t="str">
        <f t="shared" si="121"/>
        <v/>
      </c>
      <c r="K435" s="19" t="str">
        <f t="shared" si="122"/>
        <v/>
      </c>
      <c r="L435" s="19" t="str">
        <f t="shared" si="123"/>
        <v/>
      </c>
      <c r="M435" s="19" t="str">
        <f t="shared" si="124"/>
        <v/>
      </c>
      <c r="N435" s="19" t="str">
        <f t="shared" si="125"/>
        <v/>
      </c>
      <c r="O435" s="19" t="str">
        <f t="shared" si="126"/>
        <v/>
      </c>
      <c r="P435" s="19" t="str">
        <f t="shared" si="127"/>
        <v/>
      </c>
      <c r="Q435" s="19" t="str">
        <f t="shared" si="128"/>
        <v/>
      </c>
      <c r="R435" s="19" t="str">
        <f t="shared" si="129"/>
        <v/>
      </c>
      <c r="S435" s="17" t="str">
        <f>IF(B435="","",IFERROR(INDEX(Trabajadores!$G$5:$G$204,MATCH(B435,Trabajadores!$A$5:$A$204,0)),""))</f>
        <v/>
      </c>
      <c r="T435" s="17" t="str">
        <f>IF(OR(OR(A435="",D435="",E435=""),S435=""),"",ROUND(S435*(N(L435)*Parámetros!$B$8+N(M435)*(1+Parámetros!$B$9)+N(N435)*(1+Parámetros!$B$10)+N(O435)*(1+AG435)+N(P435)*(1+AG435+Parámetros!$B$8)+N(Q435)*(1+AG435+Parámetros!$B$9)+N(R435)*(1+AG435+Parámetros!$B$10)),0))</f>
        <v/>
      </c>
      <c r="U435" s="5" t="str">
        <f>IF(OR(A435="",D435="",E435=""),"",IF(N(M435)+N(N435)+N(Q435)+N(R435)&gt;Parámetros!$B$12,"Supera el límite de horas extras diarias",IF(C435="Cédula no registrada","Registre la cédula en «Trabajadores»","")))</f>
        <v/>
      </c>
      <c r="X435" s="20">
        <f t="shared" si="130"/>
        <v>0</v>
      </c>
      <c r="Y435" s="20">
        <f t="shared" si="131"/>
        <v>0</v>
      </c>
      <c r="Z435" s="20">
        <f t="shared" si="132"/>
        <v>0</v>
      </c>
      <c r="AA435" s="20">
        <f t="shared" si="133"/>
        <v>0</v>
      </c>
      <c r="AB435" s="20">
        <f t="shared" si="134"/>
        <v>0</v>
      </c>
      <c r="AC435" s="20">
        <f t="shared" si="135"/>
        <v>0</v>
      </c>
      <c r="AD435" s="20">
        <f>IF(A435="",21/24,MOD(VLOOKUP(A435,Parámetros!$A$24:$B$25,2,TRUE()),1))</f>
        <v>0.875</v>
      </c>
      <c r="AE435" s="5">
        <f>IF(A435="",0,IF(OR(WEEKDAY(A435,2)=7,COUNTIF(Festivos!$A$5:$A$451,A435)&gt;0),1,0))</f>
        <v>0</v>
      </c>
      <c r="AF435" s="5">
        <f>IF(A435="",0,IF(OR(WEEKDAY(A435+1,2)=7,COUNTIF(Festivos!$A$5:$A$451,A435+1)&gt;0),1,0))</f>
        <v>0</v>
      </c>
      <c r="AG435" s="9">
        <f>IF(A435="",0,VLOOKUP(A435,Parámetros!$A$18:$B$21,2,TRUE()))</f>
        <v>0</v>
      </c>
      <c r="AH435" s="20">
        <f t="shared" si="136"/>
        <v>0</v>
      </c>
      <c r="AI435" s="20">
        <f>MAX(0,MIN(AB435,Parámetros!$B$11)-MAX(X435,0))+MAX(0,MIN(AB435,1+Parámetros!$B$11)-MAX(X435,AD435))+MAX(0,MIN(AB435,2)-MAX(X435,1+AD435))</f>
        <v>0</v>
      </c>
      <c r="AJ435" s="20">
        <f t="shared" si="137"/>
        <v>0</v>
      </c>
      <c r="AK435" s="20">
        <f>AE435*(MAX(0,MIN(AB435,Parámetros!$B$11)-MAX(X435,0))+MAX(0,MIN(AB435,1)-MAX(X435,AD435)))+AF435*(MAX(0,MIN(AB435,1+Parámetros!$B$11)-MAX(X435,1))+MAX(0,MIN(AB435,2)-MAX(X435,1+AD435)))</f>
        <v>0</v>
      </c>
      <c r="AL435" s="20">
        <f t="shared" si="138"/>
        <v>0</v>
      </c>
      <c r="AM435" s="20">
        <f>MAX(0,MIN(AC435,Parámetros!$B$11)-MAX(AB435,0))+MAX(0,MIN(AC435,1+Parámetros!$B$11)-MAX(AB435,AD435))+MAX(0,MIN(AC435,2)-MAX(AB435,1+AD435))</f>
        <v>0</v>
      </c>
      <c r="AN435" s="20">
        <f t="shared" si="139"/>
        <v>0</v>
      </c>
      <c r="AO435" s="20">
        <f>AE435*(MAX(0,MIN(AC435,Parámetros!$B$11)-MAX(AB435,0))+MAX(0,MIN(AC435,1)-MAX(AB435,AD435)))+AF435*(MAX(0,MIN(AC435,1+Parámetros!$B$11)-MAX(AB435,1))+MAX(0,MIN(AC435,2)-MAX(AB435,1+AD435)))</f>
        <v>0</v>
      </c>
    </row>
    <row r="436" spans="1:41" x14ac:dyDescent="0.25">
      <c r="A436" s="15"/>
      <c r="B436" s="8"/>
      <c r="C436" s="5" t="str">
        <f>IF(B436="","",IFERROR(INDEX(Trabajadores!$B$5:$B$204,MATCH(B436,Trabajadores!$A$5:$A$204,0)),"Cédula no registrada"))</f>
        <v/>
      </c>
      <c r="D436" s="11"/>
      <c r="E436" s="11"/>
      <c r="F436" s="8"/>
      <c r="G436" s="18" t="str">
        <f>IF(A436="","",IFERROR(INDEX(Trabajadores!$E$5:$E$204,MATCH(B436,Trabajadores!$A$5:$A$204,0))/Parámetros!$B$6,0)+IF(IFERROR(INDEX(Trabajadores!$E$5:$E$204,MATCH(B436,Trabajadores!$A$5:$A$204,0)),"")="",Parámetros!$B$7,0))</f>
        <v/>
      </c>
      <c r="H436" s="5" t="str">
        <f t="shared" si="120"/>
        <v/>
      </c>
      <c r="I436" s="5" t="str">
        <f>IF(A436="","",IF(COUNTIF(Festivos!$A$5:$A$451,A436)&gt;0,"Festivo",IF(WEEKDAY(A436,2)=7,"Domingo",IF(AND(AF436=1,AC436&gt;1),IF(COUNTIF(Festivos!$A$5:$A$451,A436+1)&gt;0,"Festivo","Domingo")&amp;" desde las 00:00",""))))</f>
        <v/>
      </c>
      <c r="J436" s="19" t="str">
        <f t="shared" si="121"/>
        <v/>
      </c>
      <c r="K436" s="19" t="str">
        <f t="shared" si="122"/>
        <v/>
      </c>
      <c r="L436" s="19" t="str">
        <f t="shared" si="123"/>
        <v/>
      </c>
      <c r="M436" s="19" t="str">
        <f t="shared" si="124"/>
        <v/>
      </c>
      <c r="N436" s="19" t="str">
        <f t="shared" si="125"/>
        <v/>
      </c>
      <c r="O436" s="19" t="str">
        <f t="shared" si="126"/>
        <v/>
      </c>
      <c r="P436" s="19" t="str">
        <f t="shared" si="127"/>
        <v/>
      </c>
      <c r="Q436" s="19" t="str">
        <f t="shared" si="128"/>
        <v/>
      </c>
      <c r="R436" s="19" t="str">
        <f t="shared" si="129"/>
        <v/>
      </c>
      <c r="S436" s="17" t="str">
        <f>IF(B436="","",IFERROR(INDEX(Trabajadores!$G$5:$G$204,MATCH(B436,Trabajadores!$A$5:$A$204,0)),""))</f>
        <v/>
      </c>
      <c r="T436" s="17" t="str">
        <f>IF(OR(OR(A436="",D436="",E436=""),S436=""),"",ROUND(S436*(N(L436)*Parámetros!$B$8+N(M436)*(1+Parámetros!$B$9)+N(N436)*(1+Parámetros!$B$10)+N(O436)*(1+AG436)+N(P436)*(1+AG436+Parámetros!$B$8)+N(Q436)*(1+AG436+Parámetros!$B$9)+N(R436)*(1+AG436+Parámetros!$B$10)),0))</f>
        <v/>
      </c>
      <c r="U436" s="5" t="str">
        <f>IF(OR(A436="",D436="",E436=""),"",IF(N(M436)+N(N436)+N(Q436)+N(R436)&gt;Parámetros!$B$12,"Supera el límite de horas extras diarias",IF(C436="Cédula no registrada","Registre la cédula en «Trabajadores»","")))</f>
        <v/>
      </c>
      <c r="X436" s="20">
        <f t="shared" si="130"/>
        <v>0</v>
      </c>
      <c r="Y436" s="20">
        <f t="shared" si="131"/>
        <v>0</v>
      </c>
      <c r="Z436" s="20">
        <f t="shared" si="132"/>
        <v>0</v>
      </c>
      <c r="AA436" s="20">
        <f t="shared" si="133"/>
        <v>0</v>
      </c>
      <c r="AB436" s="20">
        <f t="shared" si="134"/>
        <v>0</v>
      </c>
      <c r="AC436" s="20">
        <f t="shared" si="135"/>
        <v>0</v>
      </c>
      <c r="AD436" s="20">
        <f>IF(A436="",21/24,MOD(VLOOKUP(A436,Parámetros!$A$24:$B$25,2,TRUE()),1))</f>
        <v>0.875</v>
      </c>
      <c r="AE436" s="5">
        <f>IF(A436="",0,IF(OR(WEEKDAY(A436,2)=7,COUNTIF(Festivos!$A$5:$A$451,A436)&gt;0),1,0))</f>
        <v>0</v>
      </c>
      <c r="AF436" s="5">
        <f>IF(A436="",0,IF(OR(WEEKDAY(A436+1,2)=7,COUNTIF(Festivos!$A$5:$A$451,A436+1)&gt;0),1,0))</f>
        <v>0</v>
      </c>
      <c r="AG436" s="9">
        <f>IF(A436="",0,VLOOKUP(A436,Parámetros!$A$18:$B$21,2,TRUE()))</f>
        <v>0</v>
      </c>
      <c r="AH436" s="20">
        <f t="shared" si="136"/>
        <v>0</v>
      </c>
      <c r="AI436" s="20">
        <f>MAX(0,MIN(AB436,Parámetros!$B$11)-MAX(X436,0))+MAX(0,MIN(AB436,1+Parámetros!$B$11)-MAX(X436,AD436))+MAX(0,MIN(AB436,2)-MAX(X436,1+AD436))</f>
        <v>0</v>
      </c>
      <c r="AJ436" s="20">
        <f t="shared" si="137"/>
        <v>0</v>
      </c>
      <c r="AK436" s="20">
        <f>AE436*(MAX(0,MIN(AB436,Parámetros!$B$11)-MAX(X436,0))+MAX(0,MIN(AB436,1)-MAX(X436,AD436)))+AF436*(MAX(0,MIN(AB436,1+Parámetros!$B$11)-MAX(X436,1))+MAX(0,MIN(AB436,2)-MAX(X436,1+AD436)))</f>
        <v>0</v>
      </c>
      <c r="AL436" s="20">
        <f t="shared" si="138"/>
        <v>0</v>
      </c>
      <c r="AM436" s="20">
        <f>MAX(0,MIN(AC436,Parámetros!$B$11)-MAX(AB436,0))+MAX(0,MIN(AC436,1+Parámetros!$B$11)-MAX(AB436,AD436))+MAX(0,MIN(AC436,2)-MAX(AB436,1+AD436))</f>
        <v>0</v>
      </c>
      <c r="AN436" s="20">
        <f t="shared" si="139"/>
        <v>0</v>
      </c>
      <c r="AO436" s="20">
        <f>AE436*(MAX(0,MIN(AC436,Parámetros!$B$11)-MAX(AB436,0))+MAX(0,MIN(AC436,1)-MAX(AB436,AD436)))+AF436*(MAX(0,MIN(AC436,1+Parámetros!$B$11)-MAX(AB436,1))+MAX(0,MIN(AC436,2)-MAX(AB436,1+AD436)))</f>
        <v>0</v>
      </c>
    </row>
    <row r="437" spans="1:41" x14ac:dyDescent="0.25">
      <c r="A437" s="15"/>
      <c r="B437" s="8"/>
      <c r="C437" s="5" t="str">
        <f>IF(B437="","",IFERROR(INDEX(Trabajadores!$B$5:$B$204,MATCH(B437,Trabajadores!$A$5:$A$204,0)),"Cédula no registrada"))</f>
        <v/>
      </c>
      <c r="D437" s="11"/>
      <c r="E437" s="11"/>
      <c r="F437" s="8"/>
      <c r="G437" s="18" t="str">
        <f>IF(A437="","",IFERROR(INDEX(Trabajadores!$E$5:$E$204,MATCH(B437,Trabajadores!$A$5:$A$204,0))/Parámetros!$B$6,0)+IF(IFERROR(INDEX(Trabajadores!$E$5:$E$204,MATCH(B437,Trabajadores!$A$5:$A$204,0)),"")="",Parámetros!$B$7,0))</f>
        <v/>
      </c>
      <c r="H437" s="5" t="str">
        <f t="shared" si="120"/>
        <v/>
      </c>
      <c r="I437" s="5" t="str">
        <f>IF(A437="","",IF(COUNTIF(Festivos!$A$5:$A$451,A437)&gt;0,"Festivo",IF(WEEKDAY(A437,2)=7,"Domingo",IF(AND(AF437=1,AC437&gt;1),IF(COUNTIF(Festivos!$A$5:$A$451,A437+1)&gt;0,"Festivo","Domingo")&amp;" desde las 00:00",""))))</f>
        <v/>
      </c>
      <c r="J437" s="19" t="str">
        <f t="shared" si="121"/>
        <v/>
      </c>
      <c r="K437" s="19" t="str">
        <f t="shared" si="122"/>
        <v/>
      </c>
      <c r="L437" s="19" t="str">
        <f t="shared" si="123"/>
        <v/>
      </c>
      <c r="M437" s="19" t="str">
        <f t="shared" si="124"/>
        <v/>
      </c>
      <c r="N437" s="19" t="str">
        <f t="shared" si="125"/>
        <v/>
      </c>
      <c r="O437" s="19" t="str">
        <f t="shared" si="126"/>
        <v/>
      </c>
      <c r="P437" s="19" t="str">
        <f t="shared" si="127"/>
        <v/>
      </c>
      <c r="Q437" s="19" t="str">
        <f t="shared" si="128"/>
        <v/>
      </c>
      <c r="R437" s="19" t="str">
        <f t="shared" si="129"/>
        <v/>
      </c>
      <c r="S437" s="17" t="str">
        <f>IF(B437="","",IFERROR(INDEX(Trabajadores!$G$5:$G$204,MATCH(B437,Trabajadores!$A$5:$A$204,0)),""))</f>
        <v/>
      </c>
      <c r="T437" s="17" t="str">
        <f>IF(OR(OR(A437="",D437="",E437=""),S437=""),"",ROUND(S437*(N(L437)*Parámetros!$B$8+N(M437)*(1+Parámetros!$B$9)+N(N437)*(1+Parámetros!$B$10)+N(O437)*(1+AG437)+N(P437)*(1+AG437+Parámetros!$B$8)+N(Q437)*(1+AG437+Parámetros!$B$9)+N(R437)*(1+AG437+Parámetros!$B$10)),0))</f>
        <v/>
      </c>
      <c r="U437" s="5" t="str">
        <f>IF(OR(A437="",D437="",E437=""),"",IF(N(M437)+N(N437)+N(Q437)+N(R437)&gt;Parámetros!$B$12,"Supera el límite de horas extras diarias",IF(C437="Cédula no registrada","Registre la cédula en «Trabajadores»","")))</f>
        <v/>
      </c>
      <c r="X437" s="20">
        <f t="shared" si="130"/>
        <v>0</v>
      </c>
      <c r="Y437" s="20">
        <f t="shared" si="131"/>
        <v>0</v>
      </c>
      <c r="Z437" s="20">
        <f t="shared" si="132"/>
        <v>0</v>
      </c>
      <c r="AA437" s="20">
        <f t="shared" si="133"/>
        <v>0</v>
      </c>
      <c r="AB437" s="20">
        <f t="shared" si="134"/>
        <v>0</v>
      </c>
      <c r="AC437" s="20">
        <f t="shared" si="135"/>
        <v>0</v>
      </c>
      <c r="AD437" s="20">
        <f>IF(A437="",21/24,MOD(VLOOKUP(A437,Parámetros!$A$24:$B$25,2,TRUE()),1))</f>
        <v>0.875</v>
      </c>
      <c r="AE437" s="5">
        <f>IF(A437="",0,IF(OR(WEEKDAY(A437,2)=7,COUNTIF(Festivos!$A$5:$A$451,A437)&gt;0),1,0))</f>
        <v>0</v>
      </c>
      <c r="AF437" s="5">
        <f>IF(A437="",0,IF(OR(WEEKDAY(A437+1,2)=7,COUNTIF(Festivos!$A$5:$A$451,A437+1)&gt;0),1,0))</f>
        <v>0</v>
      </c>
      <c r="AG437" s="9">
        <f>IF(A437="",0,VLOOKUP(A437,Parámetros!$A$18:$B$21,2,TRUE()))</f>
        <v>0</v>
      </c>
      <c r="AH437" s="20">
        <f t="shared" si="136"/>
        <v>0</v>
      </c>
      <c r="AI437" s="20">
        <f>MAX(0,MIN(AB437,Parámetros!$B$11)-MAX(X437,0))+MAX(0,MIN(AB437,1+Parámetros!$B$11)-MAX(X437,AD437))+MAX(0,MIN(AB437,2)-MAX(X437,1+AD437))</f>
        <v>0</v>
      </c>
      <c r="AJ437" s="20">
        <f t="shared" si="137"/>
        <v>0</v>
      </c>
      <c r="AK437" s="20">
        <f>AE437*(MAX(0,MIN(AB437,Parámetros!$B$11)-MAX(X437,0))+MAX(0,MIN(AB437,1)-MAX(X437,AD437)))+AF437*(MAX(0,MIN(AB437,1+Parámetros!$B$11)-MAX(X437,1))+MAX(0,MIN(AB437,2)-MAX(X437,1+AD437)))</f>
        <v>0</v>
      </c>
      <c r="AL437" s="20">
        <f t="shared" si="138"/>
        <v>0</v>
      </c>
      <c r="AM437" s="20">
        <f>MAX(0,MIN(AC437,Parámetros!$B$11)-MAX(AB437,0))+MAX(0,MIN(AC437,1+Parámetros!$B$11)-MAX(AB437,AD437))+MAX(0,MIN(AC437,2)-MAX(AB437,1+AD437))</f>
        <v>0</v>
      </c>
      <c r="AN437" s="20">
        <f t="shared" si="139"/>
        <v>0</v>
      </c>
      <c r="AO437" s="20">
        <f>AE437*(MAX(0,MIN(AC437,Parámetros!$B$11)-MAX(AB437,0))+MAX(0,MIN(AC437,1)-MAX(AB437,AD437)))+AF437*(MAX(0,MIN(AC437,1+Parámetros!$B$11)-MAX(AB437,1))+MAX(0,MIN(AC437,2)-MAX(AB437,1+AD437)))</f>
        <v>0</v>
      </c>
    </row>
    <row r="438" spans="1:41" x14ac:dyDescent="0.25">
      <c r="A438" s="15"/>
      <c r="B438" s="8"/>
      <c r="C438" s="5" t="str">
        <f>IF(B438="","",IFERROR(INDEX(Trabajadores!$B$5:$B$204,MATCH(B438,Trabajadores!$A$5:$A$204,0)),"Cédula no registrada"))</f>
        <v/>
      </c>
      <c r="D438" s="11"/>
      <c r="E438" s="11"/>
      <c r="F438" s="8"/>
      <c r="G438" s="18" t="str">
        <f>IF(A438="","",IFERROR(INDEX(Trabajadores!$E$5:$E$204,MATCH(B438,Trabajadores!$A$5:$A$204,0))/Parámetros!$B$6,0)+IF(IFERROR(INDEX(Trabajadores!$E$5:$E$204,MATCH(B438,Trabajadores!$A$5:$A$204,0)),"")="",Parámetros!$B$7,0))</f>
        <v/>
      </c>
      <c r="H438" s="5" t="str">
        <f t="shared" si="120"/>
        <v/>
      </c>
      <c r="I438" s="5" t="str">
        <f>IF(A438="","",IF(COUNTIF(Festivos!$A$5:$A$451,A438)&gt;0,"Festivo",IF(WEEKDAY(A438,2)=7,"Domingo",IF(AND(AF438=1,AC438&gt;1),IF(COUNTIF(Festivos!$A$5:$A$451,A438+1)&gt;0,"Festivo","Domingo")&amp;" desde las 00:00",""))))</f>
        <v/>
      </c>
      <c r="J438" s="19" t="str">
        <f t="shared" si="121"/>
        <v/>
      </c>
      <c r="K438" s="19" t="str">
        <f t="shared" si="122"/>
        <v/>
      </c>
      <c r="L438" s="19" t="str">
        <f t="shared" si="123"/>
        <v/>
      </c>
      <c r="M438" s="19" t="str">
        <f t="shared" si="124"/>
        <v/>
      </c>
      <c r="N438" s="19" t="str">
        <f t="shared" si="125"/>
        <v/>
      </c>
      <c r="O438" s="19" t="str">
        <f t="shared" si="126"/>
        <v/>
      </c>
      <c r="P438" s="19" t="str">
        <f t="shared" si="127"/>
        <v/>
      </c>
      <c r="Q438" s="19" t="str">
        <f t="shared" si="128"/>
        <v/>
      </c>
      <c r="R438" s="19" t="str">
        <f t="shared" si="129"/>
        <v/>
      </c>
      <c r="S438" s="17" t="str">
        <f>IF(B438="","",IFERROR(INDEX(Trabajadores!$G$5:$G$204,MATCH(B438,Trabajadores!$A$5:$A$204,0)),""))</f>
        <v/>
      </c>
      <c r="T438" s="17" t="str">
        <f>IF(OR(OR(A438="",D438="",E438=""),S438=""),"",ROUND(S438*(N(L438)*Parámetros!$B$8+N(M438)*(1+Parámetros!$B$9)+N(N438)*(1+Parámetros!$B$10)+N(O438)*(1+AG438)+N(P438)*(1+AG438+Parámetros!$B$8)+N(Q438)*(1+AG438+Parámetros!$B$9)+N(R438)*(1+AG438+Parámetros!$B$10)),0))</f>
        <v/>
      </c>
      <c r="U438" s="5" t="str">
        <f>IF(OR(A438="",D438="",E438=""),"",IF(N(M438)+N(N438)+N(Q438)+N(R438)&gt;Parámetros!$B$12,"Supera el límite de horas extras diarias",IF(C438="Cédula no registrada","Registre la cédula en «Trabajadores»","")))</f>
        <v/>
      </c>
      <c r="X438" s="20">
        <f t="shared" si="130"/>
        <v>0</v>
      </c>
      <c r="Y438" s="20">
        <f t="shared" si="131"/>
        <v>0</v>
      </c>
      <c r="Z438" s="20">
        <f t="shared" si="132"/>
        <v>0</v>
      </c>
      <c r="AA438" s="20">
        <f t="shared" si="133"/>
        <v>0</v>
      </c>
      <c r="AB438" s="20">
        <f t="shared" si="134"/>
        <v>0</v>
      </c>
      <c r="AC438" s="20">
        <f t="shared" si="135"/>
        <v>0</v>
      </c>
      <c r="AD438" s="20">
        <f>IF(A438="",21/24,MOD(VLOOKUP(A438,Parámetros!$A$24:$B$25,2,TRUE()),1))</f>
        <v>0.875</v>
      </c>
      <c r="AE438" s="5">
        <f>IF(A438="",0,IF(OR(WEEKDAY(A438,2)=7,COUNTIF(Festivos!$A$5:$A$451,A438)&gt;0),1,0))</f>
        <v>0</v>
      </c>
      <c r="AF438" s="5">
        <f>IF(A438="",0,IF(OR(WEEKDAY(A438+1,2)=7,COUNTIF(Festivos!$A$5:$A$451,A438+1)&gt;0),1,0))</f>
        <v>0</v>
      </c>
      <c r="AG438" s="9">
        <f>IF(A438="",0,VLOOKUP(A438,Parámetros!$A$18:$B$21,2,TRUE()))</f>
        <v>0</v>
      </c>
      <c r="AH438" s="20">
        <f t="shared" si="136"/>
        <v>0</v>
      </c>
      <c r="AI438" s="20">
        <f>MAX(0,MIN(AB438,Parámetros!$B$11)-MAX(X438,0))+MAX(0,MIN(AB438,1+Parámetros!$B$11)-MAX(X438,AD438))+MAX(0,MIN(AB438,2)-MAX(X438,1+AD438))</f>
        <v>0</v>
      </c>
      <c r="AJ438" s="20">
        <f t="shared" si="137"/>
        <v>0</v>
      </c>
      <c r="AK438" s="20">
        <f>AE438*(MAX(0,MIN(AB438,Parámetros!$B$11)-MAX(X438,0))+MAX(0,MIN(AB438,1)-MAX(X438,AD438)))+AF438*(MAX(0,MIN(AB438,1+Parámetros!$B$11)-MAX(X438,1))+MAX(0,MIN(AB438,2)-MAX(X438,1+AD438)))</f>
        <v>0</v>
      </c>
      <c r="AL438" s="20">
        <f t="shared" si="138"/>
        <v>0</v>
      </c>
      <c r="AM438" s="20">
        <f>MAX(0,MIN(AC438,Parámetros!$B$11)-MAX(AB438,0))+MAX(0,MIN(AC438,1+Parámetros!$B$11)-MAX(AB438,AD438))+MAX(0,MIN(AC438,2)-MAX(AB438,1+AD438))</f>
        <v>0</v>
      </c>
      <c r="AN438" s="20">
        <f t="shared" si="139"/>
        <v>0</v>
      </c>
      <c r="AO438" s="20">
        <f>AE438*(MAX(0,MIN(AC438,Parámetros!$B$11)-MAX(AB438,0))+MAX(0,MIN(AC438,1)-MAX(AB438,AD438)))+AF438*(MAX(0,MIN(AC438,1+Parámetros!$B$11)-MAX(AB438,1))+MAX(0,MIN(AC438,2)-MAX(AB438,1+AD438)))</f>
        <v>0</v>
      </c>
    </row>
    <row r="439" spans="1:41" x14ac:dyDescent="0.25">
      <c r="A439" s="15"/>
      <c r="B439" s="8"/>
      <c r="C439" s="5" t="str">
        <f>IF(B439="","",IFERROR(INDEX(Trabajadores!$B$5:$B$204,MATCH(B439,Trabajadores!$A$5:$A$204,0)),"Cédula no registrada"))</f>
        <v/>
      </c>
      <c r="D439" s="11"/>
      <c r="E439" s="11"/>
      <c r="F439" s="8"/>
      <c r="G439" s="18" t="str">
        <f>IF(A439="","",IFERROR(INDEX(Trabajadores!$E$5:$E$204,MATCH(B439,Trabajadores!$A$5:$A$204,0))/Parámetros!$B$6,0)+IF(IFERROR(INDEX(Trabajadores!$E$5:$E$204,MATCH(B439,Trabajadores!$A$5:$A$204,0)),"")="",Parámetros!$B$7,0))</f>
        <v/>
      </c>
      <c r="H439" s="5" t="str">
        <f t="shared" si="120"/>
        <v/>
      </c>
      <c r="I439" s="5" t="str">
        <f>IF(A439="","",IF(COUNTIF(Festivos!$A$5:$A$451,A439)&gt;0,"Festivo",IF(WEEKDAY(A439,2)=7,"Domingo",IF(AND(AF439=1,AC439&gt;1),IF(COUNTIF(Festivos!$A$5:$A$451,A439+1)&gt;0,"Festivo","Domingo")&amp;" desde las 00:00",""))))</f>
        <v/>
      </c>
      <c r="J439" s="19" t="str">
        <f t="shared" si="121"/>
        <v/>
      </c>
      <c r="K439" s="19" t="str">
        <f t="shared" si="122"/>
        <v/>
      </c>
      <c r="L439" s="19" t="str">
        <f t="shared" si="123"/>
        <v/>
      </c>
      <c r="M439" s="19" t="str">
        <f t="shared" si="124"/>
        <v/>
      </c>
      <c r="N439" s="19" t="str">
        <f t="shared" si="125"/>
        <v/>
      </c>
      <c r="O439" s="19" t="str">
        <f t="shared" si="126"/>
        <v/>
      </c>
      <c r="P439" s="19" t="str">
        <f t="shared" si="127"/>
        <v/>
      </c>
      <c r="Q439" s="19" t="str">
        <f t="shared" si="128"/>
        <v/>
      </c>
      <c r="R439" s="19" t="str">
        <f t="shared" si="129"/>
        <v/>
      </c>
      <c r="S439" s="17" t="str">
        <f>IF(B439="","",IFERROR(INDEX(Trabajadores!$G$5:$G$204,MATCH(B439,Trabajadores!$A$5:$A$204,0)),""))</f>
        <v/>
      </c>
      <c r="T439" s="17" t="str">
        <f>IF(OR(OR(A439="",D439="",E439=""),S439=""),"",ROUND(S439*(N(L439)*Parámetros!$B$8+N(M439)*(1+Parámetros!$B$9)+N(N439)*(1+Parámetros!$B$10)+N(O439)*(1+AG439)+N(P439)*(1+AG439+Parámetros!$B$8)+N(Q439)*(1+AG439+Parámetros!$B$9)+N(R439)*(1+AG439+Parámetros!$B$10)),0))</f>
        <v/>
      </c>
      <c r="U439" s="5" t="str">
        <f>IF(OR(A439="",D439="",E439=""),"",IF(N(M439)+N(N439)+N(Q439)+N(R439)&gt;Parámetros!$B$12,"Supera el límite de horas extras diarias",IF(C439="Cédula no registrada","Registre la cédula en «Trabajadores»","")))</f>
        <v/>
      </c>
      <c r="X439" s="20">
        <f t="shared" si="130"/>
        <v>0</v>
      </c>
      <c r="Y439" s="20">
        <f t="shared" si="131"/>
        <v>0</v>
      </c>
      <c r="Z439" s="20">
        <f t="shared" si="132"/>
        <v>0</v>
      </c>
      <c r="AA439" s="20">
        <f t="shared" si="133"/>
        <v>0</v>
      </c>
      <c r="AB439" s="20">
        <f t="shared" si="134"/>
        <v>0</v>
      </c>
      <c r="AC439" s="20">
        <f t="shared" si="135"/>
        <v>0</v>
      </c>
      <c r="AD439" s="20">
        <f>IF(A439="",21/24,MOD(VLOOKUP(A439,Parámetros!$A$24:$B$25,2,TRUE()),1))</f>
        <v>0.875</v>
      </c>
      <c r="AE439" s="5">
        <f>IF(A439="",0,IF(OR(WEEKDAY(A439,2)=7,COUNTIF(Festivos!$A$5:$A$451,A439)&gt;0),1,0))</f>
        <v>0</v>
      </c>
      <c r="AF439" s="5">
        <f>IF(A439="",0,IF(OR(WEEKDAY(A439+1,2)=7,COUNTIF(Festivos!$A$5:$A$451,A439+1)&gt;0),1,0))</f>
        <v>0</v>
      </c>
      <c r="AG439" s="9">
        <f>IF(A439="",0,VLOOKUP(A439,Parámetros!$A$18:$B$21,2,TRUE()))</f>
        <v>0</v>
      </c>
      <c r="AH439" s="20">
        <f t="shared" si="136"/>
        <v>0</v>
      </c>
      <c r="AI439" s="20">
        <f>MAX(0,MIN(AB439,Parámetros!$B$11)-MAX(X439,0))+MAX(0,MIN(AB439,1+Parámetros!$B$11)-MAX(X439,AD439))+MAX(0,MIN(AB439,2)-MAX(X439,1+AD439))</f>
        <v>0</v>
      </c>
      <c r="AJ439" s="20">
        <f t="shared" si="137"/>
        <v>0</v>
      </c>
      <c r="AK439" s="20">
        <f>AE439*(MAX(0,MIN(AB439,Parámetros!$B$11)-MAX(X439,0))+MAX(0,MIN(AB439,1)-MAX(X439,AD439)))+AF439*(MAX(0,MIN(AB439,1+Parámetros!$B$11)-MAX(X439,1))+MAX(0,MIN(AB439,2)-MAX(X439,1+AD439)))</f>
        <v>0</v>
      </c>
      <c r="AL439" s="20">
        <f t="shared" si="138"/>
        <v>0</v>
      </c>
      <c r="AM439" s="20">
        <f>MAX(0,MIN(AC439,Parámetros!$B$11)-MAX(AB439,0))+MAX(0,MIN(AC439,1+Parámetros!$B$11)-MAX(AB439,AD439))+MAX(0,MIN(AC439,2)-MAX(AB439,1+AD439))</f>
        <v>0</v>
      </c>
      <c r="AN439" s="20">
        <f t="shared" si="139"/>
        <v>0</v>
      </c>
      <c r="AO439" s="20">
        <f>AE439*(MAX(0,MIN(AC439,Parámetros!$B$11)-MAX(AB439,0))+MAX(0,MIN(AC439,1)-MAX(AB439,AD439)))+AF439*(MAX(0,MIN(AC439,1+Parámetros!$B$11)-MAX(AB439,1))+MAX(0,MIN(AC439,2)-MAX(AB439,1+AD439)))</f>
        <v>0</v>
      </c>
    </row>
    <row r="440" spans="1:41" x14ac:dyDescent="0.25">
      <c r="A440" s="15"/>
      <c r="B440" s="8"/>
      <c r="C440" s="5" t="str">
        <f>IF(B440="","",IFERROR(INDEX(Trabajadores!$B$5:$B$204,MATCH(B440,Trabajadores!$A$5:$A$204,0)),"Cédula no registrada"))</f>
        <v/>
      </c>
      <c r="D440" s="11"/>
      <c r="E440" s="11"/>
      <c r="F440" s="8"/>
      <c r="G440" s="18" t="str">
        <f>IF(A440="","",IFERROR(INDEX(Trabajadores!$E$5:$E$204,MATCH(B440,Trabajadores!$A$5:$A$204,0))/Parámetros!$B$6,0)+IF(IFERROR(INDEX(Trabajadores!$E$5:$E$204,MATCH(B440,Trabajadores!$A$5:$A$204,0)),"")="",Parámetros!$B$7,0))</f>
        <v/>
      </c>
      <c r="H440" s="5" t="str">
        <f t="shared" si="120"/>
        <v/>
      </c>
      <c r="I440" s="5" t="str">
        <f>IF(A440="","",IF(COUNTIF(Festivos!$A$5:$A$451,A440)&gt;0,"Festivo",IF(WEEKDAY(A440,2)=7,"Domingo",IF(AND(AF440=1,AC440&gt;1),IF(COUNTIF(Festivos!$A$5:$A$451,A440+1)&gt;0,"Festivo","Domingo")&amp;" desde las 00:00",""))))</f>
        <v/>
      </c>
      <c r="J440" s="19" t="str">
        <f t="shared" si="121"/>
        <v/>
      </c>
      <c r="K440" s="19" t="str">
        <f t="shared" si="122"/>
        <v/>
      </c>
      <c r="L440" s="19" t="str">
        <f t="shared" si="123"/>
        <v/>
      </c>
      <c r="M440" s="19" t="str">
        <f t="shared" si="124"/>
        <v/>
      </c>
      <c r="N440" s="19" t="str">
        <f t="shared" si="125"/>
        <v/>
      </c>
      <c r="O440" s="19" t="str">
        <f t="shared" si="126"/>
        <v/>
      </c>
      <c r="P440" s="19" t="str">
        <f t="shared" si="127"/>
        <v/>
      </c>
      <c r="Q440" s="19" t="str">
        <f t="shared" si="128"/>
        <v/>
      </c>
      <c r="R440" s="19" t="str">
        <f t="shared" si="129"/>
        <v/>
      </c>
      <c r="S440" s="17" t="str">
        <f>IF(B440="","",IFERROR(INDEX(Trabajadores!$G$5:$G$204,MATCH(B440,Trabajadores!$A$5:$A$204,0)),""))</f>
        <v/>
      </c>
      <c r="T440" s="17" t="str">
        <f>IF(OR(OR(A440="",D440="",E440=""),S440=""),"",ROUND(S440*(N(L440)*Parámetros!$B$8+N(M440)*(1+Parámetros!$B$9)+N(N440)*(1+Parámetros!$B$10)+N(O440)*(1+AG440)+N(P440)*(1+AG440+Parámetros!$B$8)+N(Q440)*(1+AG440+Parámetros!$B$9)+N(R440)*(1+AG440+Parámetros!$B$10)),0))</f>
        <v/>
      </c>
      <c r="U440" s="5" t="str">
        <f>IF(OR(A440="",D440="",E440=""),"",IF(N(M440)+N(N440)+N(Q440)+N(R440)&gt;Parámetros!$B$12,"Supera el límite de horas extras diarias",IF(C440="Cédula no registrada","Registre la cédula en «Trabajadores»","")))</f>
        <v/>
      </c>
      <c r="X440" s="20">
        <f t="shared" si="130"/>
        <v>0</v>
      </c>
      <c r="Y440" s="20">
        <f t="shared" si="131"/>
        <v>0</v>
      </c>
      <c r="Z440" s="20">
        <f t="shared" si="132"/>
        <v>0</v>
      </c>
      <c r="AA440" s="20">
        <f t="shared" si="133"/>
        <v>0</v>
      </c>
      <c r="AB440" s="20">
        <f t="shared" si="134"/>
        <v>0</v>
      </c>
      <c r="AC440" s="20">
        <f t="shared" si="135"/>
        <v>0</v>
      </c>
      <c r="AD440" s="20">
        <f>IF(A440="",21/24,MOD(VLOOKUP(A440,Parámetros!$A$24:$B$25,2,TRUE()),1))</f>
        <v>0.875</v>
      </c>
      <c r="AE440" s="5">
        <f>IF(A440="",0,IF(OR(WEEKDAY(A440,2)=7,COUNTIF(Festivos!$A$5:$A$451,A440)&gt;0),1,0))</f>
        <v>0</v>
      </c>
      <c r="AF440" s="5">
        <f>IF(A440="",0,IF(OR(WEEKDAY(A440+1,2)=7,COUNTIF(Festivos!$A$5:$A$451,A440+1)&gt;0),1,0))</f>
        <v>0</v>
      </c>
      <c r="AG440" s="9">
        <f>IF(A440="",0,VLOOKUP(A440,Parámetros!$A$18:$B$21,2,TRUE()))</f>
        <v>0</v>
      </c>
      <c r="AH440" s="20">
        <f t="shared" si="136"/>
        <v>0</v>
      </c>
      <c r="AI440" s="20">
        <f>MAX(0,MIN(AB440,Parámetros!$B$11)-MAX(X440,0))+MAX(0,MIN(AB440,1+Parámetros!$B$11)-MAX(X440,AD440))+MAX(0,MIN(AB440,2)-MAX(X440,1+AD440))</f>
        <v>0</v>
      </c>
      <c r="AJ440" s="20">
        <f t="shared" si="137"/>
        <v>0</v>
      </c>
      <c r="AK440" s="20">
        <f>AE440*(MAX(0,MIN(AB440,Parámetros!$B$11)-MAX(X440,0))+MAX(0,MIN(AB440,1)-MAX(X440,AD440)))+AF440*(MAX(0,MIN(AB440,1+Parámetros!$B$11)-MAX(X440,1))+MAX(0,MIN(AB440,2)-MAX(X440,1+AD440)))</f>
        <v>0</v>
      </c>
      <c r="AL440" s="20">
        <f t="shared" si="138"/>
        <v>0</v>
      </c>
      <c r="AM440" s="20">
        <f>MAX(0,MIN(AC440,Parámetros!$B$11)-MAX(AB440,0))+MAX(0,MIN(AC440,1+Parámetros!$B$11)-MAX(AB440,AD440))+MAX(0,MIN(AC440,2)-MAX(AB440,1+AD440))</f>
        <v>0</v>
      </c>
      <c r="AN440" s="20">
        <f t="shared" si="139"/>
        <v>0</v>
      </c>
      <c r="AO440" s="20">
        <f>AE440*(MAX(0,MIN(AC440,Parámetros!$B$11)-MAX(AB440,0))+MAX(0,MIN(AC440,1)-MAX(AB440,AD440)))+AF440*(MAX(0,MIN(AC440,1+Parámetros!$B$11)-MAX(AB440,1))+MAX(0,MIN(AC440,2)-MAX(AB440,1+AD440)))</f>
        <v>0</v>
      </c>
    </row>
    <row r="441" spans="1:41" x14ac:dyDescent="0.25">
      <c r="A441" s="15"/>
      <c r="B441" s="8"/>
      <c r="C441" s="5" t="str">
        <f>IF(B441="","",IFERROR(INDEX(Trabajadores!$B$5:$B$204,MATCH(B441,Trabajadores!$A$5:$A$204,0)),"Cédula no registrada"))</f>
        <v/>
      </c>
      <c r="D441" s="11"/>
      <c r="E441" s="11"/>
      <c r="F441" s="8"/>
      <c r="G441" s="18" t="str">
        <f>IF(A441="","",IFERROR(INDEX(Trabajadores!$E$5:$E$204,MATCH(B441,Trabajadores!$A$5:$A$204,0))/Parámetros!$B$6,0)+IF(IFERROR(INDEX(Trabajadores!$E$5:$E$204,MATCH(B441,Trabajadores!$A$5:$A$204,0)),"")="",Parámetros!$B$7,0))</f>
        <v/>
      </c>
      <c r="H441" s="5" t="str">
        <f t="shared" si="120"/>
        <v/>
      </c>
      <c r="I441" s="5" t="str">
        <f>IF(A441="","",IF(COUNTIF(Festivos!$A$5:$A$451,A441)&gt;0,"Festivo",IF(WEEKDAY(A441,2)=7,"Domingo",IF(AND(AF441=1,AC441&gt;1),IF(COUNTIF(Festivos!$A$5:$A$451,A441+1)&gt;0,"Festivo","Domingo")&amp;" desde las 00:00",""))))</f>
        <v/>
      </c>
      <c r="J441" s="19" t="str">
        <f t="shared" si="121"/>
        <v/>
      </c>
      <c r="K441" s="19" t="str">
        <f t="shared" si="122"/>
        <v/>
      </c>
      <c r="L441" s="19" t="str">
        <f t="shared" si="123"/>
        <v/>
      </c>
      <c r="M441" s="19" t="str">
        <f t="shared" si="124"/>
        <v/>
      </c>
      <c r="N441" s="19" t="str">
        <f t="shared" si="125"/>
        <v/>
      </c>
      <c r="O441" s="19" t="str">
        <f t="shared" si="126"/>
        <v/>
      </c>
      <c r="P441" s="19" t="str">
        <f t="shared" si="127"/>
        <v/>
      </c>
      <c r="Q441" s="19" t="str">
        <f t="shared" si="128"/>
        <v/>
      </c>
      <c r="R441" s="19" t="str">
        <f t="shared" si="129"/>
        <v/>
      </c>
      <c r="S441" s="17" t="str">
        <f>IF(B441="","",IFERROR(INDEX(Trabajadores!$G$5:$G$204,MATCH(B441,Trabajadores!$A$5:$A$204,0)),""))</f>
        <v/>
      </c>
      <c r="T441" s="17" t="str">
        <f>IF(OR(OR(A441="",D441="",E441=""),S441=""),"",ROUND(S441*(N(L441)*Parámetros!$B$8+N(M441)*(1+Parámetros!$B$9)+N(N441)*(1+Parámetros!$B$10)+N(O441)*(1+AG441)+N(P441)*(1+AG441+Parámetros!$B$8)+N(Q441)*(1+AG441+Parámetros!$B$9)+N(R441)*(1+AG441+Parámetros!$B$10)),0))</f>
        <v/>
      </c>
      <c r="U441" s="5" t="str">
        <f>IF(OR(A441="",D441="",E441=""),"",IF(N(M441)+N(N441)+N(Q441)+N(R441)&gt;Parámetros!$B$12,"Supera el límite de horas extras diarias",IF(C441="Cédula no registrada","Registre la cédula en «Trabajadores»","")))</f>
        <v/>
      </c>
      <c r="X441" s="20">
        <f t="shared" si="130"/>
        <v>0</v>
      </c>
      <c r="Y441" s="20">
        <f t="shared" si="131"/>
        <v>0</v>
      </c>
      <c r="Z441" s="20">
        <f t="shared" si="132"/>
        <v>0</v>
      </c>
      <c r="AA441" s="20">
        <f t="shared" si="133"/>
        <v>0</v>
      </c>
      <c r="AB441" s="20">
        <f t="shared" si="134"/>
        <v>0</v>
      </c>
      <c r="AC441" s="20">
        <f t="shared" si="135"/>
        <v>0</v>
      </c>
      <c r="AD441" s="20">
        <f>IF(A441="",21/24,MOD(VLOOKUP(A441,Parámetros!$A$24:$B$25,2,TRUE()),1))</f>
        <v>0.875</v>
      </c>
      <c r="AE441" s="5">
        <f>IF(A441="",0,IF(OR(WEEKDAY(A441,2)=7,COUNTIF(Festivos!$A$5:$A$451,A441)&gt;0),1,0))</f>
        <v>0</v>
      </c>
      <c r="AF441" s="5">
        <f>IF(A441="",0,IF(OR(WEEKDAY(A441+1,2)=7,COUNTIF(Festivos!$A$5:$A$451,A441+1)&gt;0),1,0))</f>
        <v>0</v>
      </c>
      <c r="AG441" s="9">
        <f>IF(A441="",0,VLOOKUP(A441,Parámetros!$A$18:$B$21,2,TRUE()))</f>
        <v>0</v>
      </c>
      <c r="AH441" s="20">
        <f t="shared" si="136"/>
        <v>0</v>
      </c>
      <c r="AI441" s="20">
        <f>MAX(0,MIN(AB441,Parámetros!$B$11)-MAX(X441,0))+MAX(0,MIN(AB441,1+Parámetros!$B$11)-MAX(X441,AD441))+MAX(0,MIN(AB441,2)-MAX(X441,1+AD441))</f>
        <v>0</v>
      </c>
      <c r="AJ441" s="20">
        <f t="shared" si="137"/>
        <v>0</v>
      </c>
      <c r="AK441" s="20">
        <f>AE441*(MAX(0,MIN(AB441,Parámetros!$B$11)-MAX(X441,0))+MAX(0,MIN(AB441,1)-MAX(X441,AD441)))+AF441*(MAX(0,MIN(AB441,1+Parámetros!$B$11)-MAX(X441,1))+MAX(0,MIN(AB441,2)-MAX(X441,1+AD441)))</f>
        <v>0</v>
      </c>
      <c r="AL441" s="20">
        <f t="shared" si="138"/>
        <v>0</v>
      </c>
      <c r="AM441" s="20">
        <f>MAX(0,MIN(AC441,Parámetros!$B$11)-MAX(AB441,0))+MAX(0,MIN(AC441,1+Parámetros!$B$11)-MAX(AB441,AD441))+MAX(0,MIN(AC441,2)-MAX(AB441,1+AD441))</f>
        <v>0</v>
      </c>
      <c r="AN441" s="20">
        <f t="shared" si="139"/>
        <v>0</v>
      </c>
      <c r="AO441" s="20">
        <f>AE441*(MAX(0,MIN(AC441,Parámetros!$B$11)-MAX(AB441,0))+MAX(0,MIN(AC441,1)-MAX(AB441,AD441)))+AF441*(MAX(0,MIN(AC441,1+Parámetros!$B$11)-MAX(AB441,1))+MAX(0,MIN(AC441,2)-MAX(AB441,1+AD441)))</f>
        <v>0</v>
      </c>
    </row>
    <row r="442" spans="1:41" x14ac:dyDescent="0.25">
      <c r="A442" s="15"/>
      <c r="B442" s="8"/>
      <c r="C442" s="5" t="str">
        <f>IF(B442="","",IFERROR(INDEX(Trabajadores!$B$5:$B$204,MATCH(B442,Trabajadores!$A$5:$A$204,0)),"Cédula no registrada"))</f>
        <v/>
      </c>
      <c r="D442" s="11"/>
      <c r="E442" s="11"/>
      <c r="F442" s="8"/>
      <c r="G442" s="18" t="str">
        <f>IF(A442="","",IFERROR(INDEX(Trabajadores!$E$5:$E$204,MATCH(B442,Trabajadores!$A$5:$A$204,0))/Parámetros!$B$6,0)+IF(IFERROR(INDEX(Trabajadores!$E$5:$E$204,MATCH(B442,Trabajadores!$A$5:$A$204,0)),"")="",Parámetros!$B$7,0))</f>
        <v/>
      </c>
      <c r="H442" s="5" t="str">
        <f t="shared" si="120"/>
        <v/>
      </c>
      <c r="I442" s="5" t="str">
        <f>IF(A442="","",IF(COUNTIF(Festivos!$A$5:$A$451,A442)&gt;0,"Festivo",IF(WEEKDAY(A442,2)=7,"Domingo",IF(AND(AF442=1,AC442&gt;1),IF(COUNTIF(Festivos!$A$5:$A$451,A442+1)&gt;0,"Festivo","Domingo")&amp;" desde las 00:00",""))))</f>
        <v/>
      </c>
      <c r="J442" s="19" t="str">
        <f t="shared" si="121"/>
        <v/>
      </c>
      <c r="K442" s="19" t="str">
        <f t="shared" si="122"/>
        <v/>
      </c>
      <c r="L442" s="19" t="str">
        <f t="shared" si="123"/>
        <v/>
      </c>
      <c r="M442" s="19" t="str">
        <f t="shared" si="124"/>
        <v/>
      </c>
      <c r="N442" s="19" t="str">
        <f t="shared" si="125"/>
        <v/>
      </c>
      <c r="O442" s="19" t="str">
        <f t="shared" si="126"/>
        <v/>
      </c>
      <c r="P442" s="19" t="str">
        <f t="shared" si="127"/>
        <v/>
      </c>
      <c r="Q442" s="19" t="str">
        <f t="shared" si="128"/>
        <v/>
      </c>
      <c r="R442" s="19" t="str">
        <f t="shared" si="129"/>
        <v/>
      </c>
      <c r="S442" s="17" t="str">
        <f>IF(B442="","",IFERROR(INDEX(Trabajadores!$G$5:$G$204,MATCH(B442,Trabajadores!$A$5:$A$204,0)),""))</f>
        <v/>
      </c>
      <c r="T442" s="17" t="str">
        <f>IF(OR(OR(A442="",D442="",E442=""),S442=""),"",ROUND(S442*(N(L442)*Parámetros!$B$8+N(M442)*(1+Parámetros!$B$9)+N(N442)*(1+Parámetros!$B$10)+N(O442)*(1+AG442)+N(P442)*(1+AG442+Parámetros!$B$8)+N(Q442)*(1+AG442+Parámetros!$B$9)+N(R442)*(1+AG442+Parámetros!$B$10)),0))</f>
        <v/>
      </c>
      <c r="U442" s="5" t="str">
        <f>IF(OR(A442="",D442="",E442=""),"",IF(N(M442)+N(N442)+N(Q442)+N(R442)&gt;Parámetros!$B$12,"Supera el límite de horas extras diarias",IF(C442="Cédula no registrada","Registre la cédula en «Trabajadores»","")))</f>
        <v/>
      </c>
      <c r="X442" s="20">
        <f t="shared" si="130"/>
        <v>0</v>
      </c>
      <c r="Y442" s="20">
        <f t="shared" si="131"/>
        <v>0</v>
      </c>
      <c r="Z442" s="20">
        <f t="shared" si="132"/>
        <v>0</v>
      </c>
      <c r="AA442" s="20">
        <f t="shared" si="133"/>
        <v>0</v>
      </c>
      <c r="AB442" s="20">
        <f t="shared" si="134"/>
        <v>0</v>
      </c>
      <c r="AC442" s="20">
        <f t="shared" si="135"/>
        <v>0</v>
      </c>
      <c r="AD442" s="20">
        <f>IF(A442="",21/24,MOD(VLOOKUP(A442,Parámetros!$A$24:$B$25,2,TRUE()),1))</f>
        <v>0.875</v>
      </c>
      <c r="AE442" s="5">
        <f>IF(A442="",0,IF(OR(WEEKDAY(A442,2)=7,COUNTIF(Festivos!$A$5:$A$451,A442)&gt;0),1,0))</f>
        <v>0</v>
      </c>
      <c r="AF442" s="5">
        <f>IF(A442="",0,IF(OR(WEEKDAY(A442+1,2)=7,COUNTIF(Festivos!$A$5:$A$451,A442+1)&gt;0),1,0))</f>
        <v>0</v>
      </c>
      <c r="AG442" s="9">
        <f>IF(A442="",0,VLOOKUP(A442,Parámetros!$A$18:$B$21,2,TRUE()))</f>
        <v>0</v>
      </c>
      <c r="AH442" s="20">
        <f t="shared" si="136"/>
        <v>0</v>
      </c>
      <c r="AI442" s="20">
        <f>MAX(0,MIN(AB442,Parámetros!$B$11)-MAX(X442,0))+MAX(0,MIN(AB442,1+Parámetros!$B$11)-MAX(X442,AD442))+MAX(0,MIN(AB442,2)-MAX(X442,1+AD442))</f>
        <v>0</v>
      </c>
      <c r="AJ442" s="20">
        <f t="shared" si="137"/>
        <v>0</v>
      </c>
      <c r="AK442" s="20">
        <f>AE442*(MAX(0,MIN(AB442,Parámetros!$B$11)-MAX(X442,0))+MAX(0,MIN(AB442,1)-MAX(X442,AD442)))+AF442*(MAX(0,MIN(AB442,1+Parámetros!$B$11)-MAX(X442,1))+MAX(0,MIN(AB442,2)-MAX(X442,1+AD442)))</f>
        <v>0</v>
      </c>
      <c r="AL442" s="20">
        <f t="shared" si="138"/>
        <v>0</v>
      </c>
      <c r="AM442" s="20">
        <f>MAX(0,MIN(AC442,Parámetros!$B$11)-MAX(AB442,0))+MAX(0,MIN(AC442,1+Parámetros!$B$11)-MAX(AB442,AD442))+MAX(0,MIN(AC442,2)-MAX(AB442,1+AD442))</f>
        <v>0</v>
      </c>
      <c r="AN442" s="20">
        <f t="shared" si="139"/>
        <v>0</v>
      </c>
      <c r="AO442" s="20">
        <f>AE442*(MAX(0,MIN(AC442,Parámetros!$B$11)-MAX(AB442,0))+MAX(0,MIN(AC442,1)-MAX(AB442,AD442)))+AF442*(MAX(0,MIN(AC442,1+Parámetros!$B$11)-MAX(AB442,1))+MAX(0,MIN(AC442,2)-MAX(AB442,1+AD442)))</f>
        <v>0</v>
      </c>
    </row>
    <row r="443" spans="1:41" x14ac:dyDescent="0.25">
      <c r="A443" s="15"/>
      <c r="B443" s="8"/>
      <c r="C443" s="5" t="str">
        <f>IF(B443="","",IFERROR(INDEX(Trabajadores!$B$5:$B$204,MATCH(B443,Trabajadores!$A$5:$A$204,0)),"Cédula no registrada"))</f>
        <v/>
      </c>
      <c r="D443" s="11"/>
      <c r="E443" s="11"/>
      <c r="F443" s="8"/>
      <c r="G443" s="18" t="str">
        <f>IF(A443="","",IFERROR(INDEX(Trabajadores!$E$5:$E$204,MATCH(B443,Trabajadores!$A$5:$A$204,0))/Parámetros!$B$6,0)+IF(IFERROR(INDEX(Trabajadores!$E$5:$E$204,MATCH(B443,Trabajadores!$A$5:$A$204,0)),"")="",Parámetros!$B$7,0))</f>
        <v/>
      </c>
      <c r="H443" s="5" t="str">
        <f t="shared" si="120"/>
        <v/>
      </c>
      <c r="I443" s="5" t="str">
        <f>IF(A443="","",IF(COUNTIF(Festivos!$A$5:$A$451,A443)&gt;0,"Festivo",IF(WEEKDAY(A443,2)=7,"Domingo",IF(AND(AF443=1,AC443&gt;1),IF(COUNTIF(Festivos!$A$5:$A$451,A443+1)&gt;0,"Festivo","Domingo")&amp;" desde las 00:00",""))))</f>
        <v/>
      </c>
      <c r="J443" s="19" t="str">
        <f t="shared" si="121"/>
        <v/>
      </c>
      <c r="K443" s="19" t="str">
        <f t="shared" si="122"/>
        <v/>
      </c>
      <c r="L443" s="19" t="str">
        <f t="shared" si="123"/>
        <v/>
      </c>
      <c r="M443" s="19" t="str">
        <f t="shared" si="124"/>
        <v/>
      </c>
      <c r="N443" s="19" t="str">
        <f t="shared" si="125"/>
        <v/>
      </c>
      <c r="O443" s="19" t="str">
        <f t="shared" si="126"/>
        <v/>
      </c>
      <c r="P443" s="19" t="str">
        <f t="shared" si="127"/>
        <v/>
      </c>
      <c r="Q443" s="19" t="str">
        <f t="shared" si="128"/>
        <v/>
      </c>
      <c r="R443" s="19" t="str">
        <f t="shared" si="129"/>
        <v/>
      </c>
      <c r="S443" s="17" t="str">
        <f>IF(B443="","",IFERROR(INDEX(Trabajadores!$G$5:$G$204,MATCH(B443,Trabajadores!$A$5:$A$204,0)),""))</f>
        <v/>
      </c>
      <c r="T443" s="17" t="str">
        <f>IF(OR(OR(A443="",D443="",E443=""),S443=""),"",ROUND(S443*(N(L443)*Parámetros!$B$8+N(M443)*(1+Parámetros!$B$9)+N(N443)*(1+Parámetros!$B$10)+N(O443)*(1+AG443)+N(P443)*(1+AG443+Parámetros!$B$8)+N(Q443)*(1+AG443+Parámetros!$B$9)+N(R443)*(1+AG443+Parámetros!$B$10)),0))</f>
        <v/>
      </c>
      <c r="U443" s="5" t="str">
        <f>IF(OR(A443="",D443="",E443=""),"",IF(N(M443)+N(N443)+N(Q443)+N(R443)&gt;Parámetros!$B$12,"Supera el límite de horas extras diarias",IF(C443="Cédula no registrada","Registre la cédula en «Trabajadores»","")))</f>
        <v/>
      </c>
      <c r="X443" s="20">
        <f t="shared" si="130"/>
        <v>0</v>
      </c>
      <c r="Y443" s="20">
        <f t="shared" si="131"/>
        <v>0</v>
      </c>
      <c r="Z443" s="20">
        <f t="shared" si="132"/>
        <v>0</v>
      </c>
      <c r="AA443" s="20">
        <f t="shared" si="133"/>
        <v>0</v>
      </c>
      <c r="AB443" s="20">
        <f t="shared" si="134"/>
        <v>0</v>
      </c>
      <c r="AC443" s="20">
        <f t="shared" si="135"/>
        <v>0</v>
      </c>
      <c r="AD443" s="20">
        <f>IF(A443="",21/24,MOD(VLOOKUP(A443,Parámetros!$A$24:$B$25,2,TRUE()),1))</f>
        <v>0.875</v>
      </c>
      <c r="AE443" s="5">
        <f>IF(A443="",0,IF(OR(WEEKDAY(A443,2)=7,COUNTIF(Festivos!$A$5:$A$451,A443)&gt;0),1,0))</f>
        <v>0</v>
      </c>
      <c r="AF443" s="5">
        <f>IF(A443="",0,IF(OR(WEEKDAY(A443+1,2)=7,COUNTIF(Festivos!$A$5:$A$451,A443+1)&gt;0),1,0))</f>
        <v>0</v>
      </c>
      <c r="AG443" s="9">
        <f>IF(A443="",0,VLOOKUP(A443,Parámetros!$A$18:$B$21,2,TRUE()))</f>
        <v>0</v>
      </c>
      <c r="AH443" s="20">
        <f t="shared" si="136"/>
        <v>0</v>
      </c>
      <c r="AI443" s="20">
        <f>MAX(0,MIN(AB443,Parámetros!$B$11)-MAX(X443,0))+MAX(0,MIN(AB443,1+Parámetros!$B$11)-MAX(X443,AD443))+MAX(0,MIN(AB443,2)-MAX(X443,1+AD443))</f>
        <v>0</v>
      </c>
      <c r="AJ443" s="20">
        <f t="shared" si="137"/>
        <v>0</v>
      </c>
      <c r="AK443" s="20">
        <f>AE443*(MAX(0,MIN(AB443,Parámetros!$B$11)-MAX(X443,0))+MAX(0,MIN(AB443,1)-MAX(X443,AD443)))+AF443*(MAX(0,MIN(AB443,1+Parámetros!$B$11)-MAX(X443,1))+MAX(0,MIN(AB443,2)-MAX(X443,1+AD443)))</f>
        <v>0</v>
      </c>
      <c r="AL443" s="20">
        <f t="shared" si="138"/>
        <v>0</v>
      </c>
      <c r="AM443" s="20">
        <f>MAX(0,MIN(AC443,Parámetros!$B$11)-MAX(AB443,0))+MAX(0,MIN(AC443,1+Parámetros!$B$11)-MAX(AB443,AD443))+MAX(0,MIN(AC443,2)-MAX(AB443,1+AD443))</f>
        <v>0</v>
      </c>
      <c r="AN443" s="20">
        <f t="shared" si="139"/>
        <v>0</v>
      </c>
      <c r="AO443" s="20">
        <f>AE443*(MAX(0,MIN(AC443,Parámetros!$B$11)-MAX(AB443,0))+MAX(0,MIN(AC443,1)-MAX(AB443,AD443)))+AF443*(MAX(0,MIN(AC443,1+Parámetros!$B$11)-MAX(AB443,1))+MAX(0,MIN(AC443,2)-MAX(AB443,1+AD443)))</f>
        <v>0</v>
      </c>
    </row>
    <row r="444" spans="1:41" x14ac:dyDescent="0.25">
      <c r="A444" s="15"/>
      <c r="B444" s="8"/>
      <c r="C444" s="5" t="str">
        <f>IF(B444="","",IFERROR(INDEX(Trabajadores!$B$5:$B$204,MATCH(B444,Trabajadores!$A$5:$A$204,0)),"Cédula no registrada"))</f>
        <v/>
      </c>
      <c r="D444" s="11"/>
      <c r="E444" s="11"/>
      <c r="F444" s="8"/>
      <c r="G444" s="18" t="str">
        <f>IF(A444="","",IFERROR(INDEX(Trabajadores!$E$5:$E$204,MATCH(B444,Trabajadores!$A$5:$A$204,0))/Parámetros!$B$6,0)+IF(IFERROR(INDEX(Trabajadores!$E$5:$E$204,MATCH(B444,Trabajadores!$A$5:$A$204,0)),"")="",Parámetros!$B$7,0))</f>
        <v/>
      </c>
      <c r="H444" s="5" t="str">
        <f t="shared" si="120"/>
        <v/>
      </c>
      <c r="I444" s="5" t="str">
        <f>IF(A444="","",IF(COUNTIF(Festivos!$A$5:$A$451,A444)&gt;0,"Festivo",IF(WEEKDAY(A444,2)=7,"Domingo",IF(AND(AF444=1,AC444&gt;1),IF(COUNTIF(Festivos!$A$5:$A$451,A444+1)&gt;0,"Festivo","Domingo")&amp;" desde las 00:00",""))))</f>
        <v/>
      </c>
      <c r="J444" s="19" t="str">
        <f t="shared" si="121"/>
        <v/>
      </c>
      <c r="K444" s="19" t="str">
        <f t="shared" si="122"/>
        <v/>
      </c>
      <c r="L444" s="19" t="str">
        <f t="shared" si="123"/>
        <v/>
      </c>
      <c r="M444" s="19" t="str">
        <f t="shared" si="124"/>
        <v/>
      </c>
      <c r="N444" s="19" t="str">
        <f t="shared" si="125"/>
        <v/>
      </c>
      <c r="O444" s="19" t="str">
        <f t="shared" si="126"/>
        <v/>
      </c>
      <c r="P444" s="19" t="str">
        <f t="shared" si="127"/>
        <v/>
      </c>
      <c r="Q444" s="19" t="str">
        <f t="shared" si="128"/>
        <v/>
      </c>
      <c r="R444" s="19" t="str">
        <f t="shared" si="129"/>
        <v/>
      </c>
      <c r="S444" s="17" t="str">
        <f>IF(B444="","",IFERROR(INDEX(Trabajadores!$G$5:$G$204,MATCH(B444,Trabajadores!$A$5:$A$204,0)),""))</f>
        <v/>
      </c>
      <c r="T444" s="17" t="str">
        <f>IF(OR(OR(A444="",D444="",E444=""),S444=""),"",ROUND(S444*(N(L444)*Parámetros!$B$8+N(M444)*(1+Parámetros!$B$9)+N(N444)*(1+Parámetros!$B$10)+N(O444)*(1+AG444)+N(P444)*(1+AG444+Parámetros!$B$8)+N(Q444)*(1+AG444+Parámetros!$B$9)+N(R444)*(1+AG444+Parámetros!$B$10)),0))</f>
        <v/>
      </c>
      <c r="U444" s="5" t="str">
        <f>IF(OR(A444="",D444="",E444=""),"",IF(N(M444)+N(N444)+N(Q444)+N(R444)&gt;Parámetros!$B$12,"Supera el límite de horas extras diarias",IF(C444="Cédula no registrada","Registre la cédula en «Trabajadores»","")))</f>
        <v/>
      </c>
      <c r="X444" s="20">
        <f t="shared" si="130"/>
        <v>0</v>
      </c>
      <c r="Y444" s="20">
        <f t="shared" si="131"/>
        <v>0</v>
      </c>
      <c r="Z444" s="20">
        <f t="shared" si="132"/>
        <v>0</v>
      </c>
      <c r="AA444" s="20">
        <f t="shared" si="133"/>
        <v>0</v>
      </c>
      <c r="AB444" s="20">
        <f t="shared" si="134"/>
        <v>0</v>
      </c>
      <c r="AC444" s="20">
        <f t="shared" si="135"/>
        <v>0</v>
      </c>
      <c r="AD444" s="20">
        <f>IF(A444="",21/24,MOD(VLOOKUP(A444,Parámetros!$A$24:$B$25,2,TRUE()),1))</f>
        <v>0.875</v>
      </c>
      <c r="AE444" s="5">
        <f>IF(A444="",0,IF(OR(WEEKDAY(A444,2)=7,COUNTIF(Festivos!$A$5:$A$451,A444)&gt;0),1,0))</f>
        <v>0</v>
      </c>
      <c r="AF444" s="5">
        <f>IF(A444="",0,IF(OR(WEEKDAY(A444+1,2)=7,COUNTIF(Festivos!$A$5:$A$451,A444+1)&gt;0),1,0))</f>
        <v>0</v>
      </c>
      <c r="AG444" s="9">
        <f>IF(A444="",0,VLOOKUP(A444,Parámetros!$A$18:$B$21,2,TRUE()))</f>
        <v>0</v>
      </c>
      <c r="AH444" s="20">
        <f t="shared" si="136"/>
        <v>0</v>
      </c>
      <c r="AI444" s="20">
        <f>MAX(0,MIN(AB444,Parámetros!$B$11)-MAX(X444,0))+MAX(0,MIN(AB444,1+Parámetros!$B$11)-MAX(X444,AD444))+MAX(0,MIN(AB444,2)-MAX(X444,1+AD444))</f>
        <v>0</v>
      </c>
      <c r="AJ444" s="20">
        <f t="shared" si="137"/>
        <v>0</v>
      </c>
      <c r="AK444" s="20">
        <f>AE444*(MAX(0,MIN(AB444,Parámetros!$B$11)-MAX(X444,0))+MAX(0,MIN(AB444,1)-MAX(X444,AD444)))+AF444*(MAX(0,MIN(AB444,1+Parámetros!$B$11)-MAX(X444,1))+MAX(0,MIN(AB444,2)-MAX(X444,1+AD444)))</f>
        <v>0</v>
      </c>
      <c r="AL444" s="20">
        <f t="shared" si="138"/>
        <v>0</v>
      </c>
      <c r="AM444" s="20">
        <f>MAX(0,MIN(AC444,Parámetros!$B$11)-MAX(AB444,0))+MAX(0,MIN(AC444,1+Parámetros!$B$11)-MAX(AB444,AD444))+MAX(0,MIN(AC444,2)-MAX(AB444,1+AD444))</f>
        <v>0</v>
      </c>
      <c r="AN444" s="20">
        <f t="shared" si="139"/>
        <v>0</v>
      </c>
      <c r="AO444" s="20">
        <f>AE444*(MAX(0,MIN(AC444,Parámetros!$B$11)-MAX(AB444,0))+MAX(0,MIN(AC444,1)-MAX(AB444,AD444)))+AF444*(MAX(0,MIN(AC444,1+Parámetros!$B$11)-MAX(AB444,1))+MAX(0,MIN(AC444,2)-MAX(AB444,1+AD444)))</f>
        <v>0</v>
      </c>
    </row>
    <row r="445" spans="1:41" x14ac:dyDescent="0.25">
      <c r="A445" s="15"/>
      <c r="B445" s="8"/>
      <c r="C445" s="5" t="str">
        <f>IF(B445="","",IFERROR(INDEX(Trabajadores!$B$5:$B$204,MATCH(B445,Trabajadores!$A$5:$A$204,0)),"Cédula no registrada"))</f>
        <v/>
      </c>
      <c r="D445" s="11"/>
      <c r="E445" s="11"/>
      <c r="F445" s="8"/>
      <c r="G445" s="18" t="str">
        <f>IF(A445="","",IFERROR(INDEX(Trabajadores!$E$5:$E$204,MATCH(B445,Trabajadores!$A$5:$A$204,0))/Parámetros!$B$6,0)+IF(IFERROR(INDEX(Trabajadores!$E$5:$E$204,MATCH(B445,Trabajadores!$A$5:$A$204,0)),"")="",Parámetros!$B$7,0))</f>
        <v/>
      </c>
      <c r="H445" s="5" t="str">
        <f t="shared" si="120"/>
        <v/>
      </c>
      <c r="I445" s="5" t="str">
        <f>IF(A445="","",IF(COUNTIF(Festivos!$A$5:$A$451,A445)&gt;0,"Festivo",IF(WEEKDAY(A445,2)=7,"Domingo",IF(AND(AF445=1,AC445&gt;1),IF(COUNTIF(Festivos!$A$5:$A$451,A445+1)&gt;0,"Festivo","Domingo")&amp;" desde las 00:00",""))))</f>
        <v/>
      </c>
      <c r="J445" s="19" t="str">
        <f t="shared" si="121"/>
        <v/>
      </c>
      <c r="K445" s="19" t="str">
        <f t="shared" si="122"/>
        <v/>
      </c>
      <c r="L445" s="19" t="str">
        <f t="shared" si="123"/>
        <v/>
      </c>
      <c r="M445" s="19" t="str">
        <f t="shared" si="124"/>
        <v/>
      </c>
      <c r="N445" s="19" t="str">
        <f t="shared" si="125"/>
        <v/>
      </c>
      <c r="O445" s="19" t="str">
        <f t="shared" si="126"/>
        <v/>
      </c>
      <c r="P445" s="19" t="str">
        <f t="shared" si="127"/>
        <v/>
      </c>
      <c r="Q445" s="19" t="str">
        <f t="shared" si="128"/>
        <v/>
      </c>
      <c r="R445" s="19" t="str">
        <f t="shared" si="129"/>
        <v/>
      </c>
      <c r="S445" s="17" t="str">
        <f>IF(B445="","",IFERROR(INDEX(Trabajadores!$G$5:$G$204,MATCH(B445,Trabajadores!$A$5:$A$204,0)),""))</f>
        <v/>
      </c>
      <c r="T445" s="17" t="str">
        <f>IF(OR(OR(A445="",D445="",E445=""),S445=""),"",ROUND(S445*(N(L445)*Parámetros!$B$8+N(M445)*(1+Parámetros!$B$9)+N(N445)*(1+Parámetros!$B$10)+N(O445)*(1+AG445)+N(P445)*(1+AG445+Parámetros!$B$8)+N(Q445)*(1+AG445+Parámetros!$B$9)+N(R445)*(1+AG445+Parámetros!$B$10)),0))</f>
        <v/>
      </c>
      <c r="U445" s="5" t="str">
        <f>IF(OR(A445="",D445="",E445=""),"",IF(N(M445)+N(N445)+N(Q445)+N(R445)&gt;Parámetros!$B$12,"Supera el límite de horas extras diarias",IF(C445="Cédula no registrada","Registre la cédula en «Trabajadores»","")))</f>
        <v/>
      </c>
      <c r="X445" s="20">
        <f t="shared" si="130"/>
        <v>0</v>
      </c>
      <c r="Y445" s="20">
        <f t="shared" si="131"/>
        <v>0</v>
      </c>
      <c r="Z445" s="20">
        <f t="shared" si="132"/>
        <v>0</v>
      </c>
      <c r="AA445" s="20">
        <f t="shared" si="133"/>
        <v>0</v>
      </c>
      <c r="AB445" s="20">
        <f t="shared" si="134"/>
        <v>0</v>
      </c>
      <c r="AC445" s="20">
        <f t="shared" si="135"/>
        <v>0</v>
      </c>
      <c r="AD445" s="20">
        <f>IF(A445="",21/24,MOD(VLOOKUP(A445,Parámetros!$A$24:$B$25,2,TRUE()),1))</f>
        <v>0.875</v>
      </c>
      <c r="AE445" s="5">
        <f>IF(A445="",0,IF(OR(WEEKDAY(A445,2)=7,COUNTIF(Festivos!$A$5:$A$451,A445)&gt;0),1,0))</f>
        <v>0</v>
      </c>
      <c r="AF445" s="5">
        <f>IF(A445="",0,IF(OR(WEEKDAY(A445+1,2)=7,COUNTIF(Festivos!$A$5:$A$451,A445+1)&gt;0),1,0))</f>
        <v>0</v>
      </c>
      <c r="AG445" s="9">
        <f>IF(A445="",0,VLOOKUP(A445,Parámetros!$A$18:$B$21,2,TRUE()))</f>
        <v>0</v>
      </c>
      <c r="AH445" s="20">
        <f t="shared" si="136"/>
        <v>0</v>
      </c>
      <c r="AI445" s="20">
        <f>MAX(0,MIN(AB445,Parámetros!$B$11)-MAX(X445,0))+MAX(0,MIN(AB445,1+Parámetros!$B$11)-MAX(X445,AD445))+MAX(0,MIN(AB445,2)-MAX(X445,1+AD445))</f>
        <v>0</v>
      </c>
      <c r="AJ445" s="20">
        <f t="shared" si="137"/>
        <v>0</v>
      </c>
      <c r="AK445" s="20">
        <f>AE445*(MAX(0,MIN(AB445,Parámetros!$B$11)-MAX(X445,0))+MAX(0,MIN(AB445,1)-MAX(X445,AD445)))+AF445*(MAX(0,MIN(AB445,1+Parámetros!$B$11)-MAX(X445,1))+MAX(0,MIN(AB445,2)-MAX(X445,1+AD445)))</f>
        <v>0</v>
      </c>
      <c r="AL445" s="20">
        <f t="shared" si="138"/>
        <v>0</v>
      </c>
      <c r="AM445" s="20">
        <f>MAX(0,MIN(AC445,Parámetros!$B$11)-MAX(AB445,0))+MAX(0,MIN(AC445,1+Parámetros!$B$11)-MAX(AB445,AD445))+MAX(0,MIN(AC445,2)-MAX(AB445,1+AD445))</f>
        <v>0</v>
      </c>
      <c r="AN445" s="20">
        <f t="shared" si="139"/>
        <v>0</v>
      </c>
      <c r="AO445" s="20">
        <f>AE445*(MAX(0,MIN(AC445,Parámetros!$B$11)-MAX(AB445,0))+MAX(0,MIN(AC445,1)-MAX(AB445,AD445)))+AF445*(MAX(0,MIN(AC445,1+Parámetros!$B$11)-MAX(AB445,1))+MAX(0,MIN(AC445,2)-MAX(AB445,1+AD445)))</f>
        <v>0</v>
      </c>
    </row>
    <row r="446" spans="1:41" x14ac:dyDescent="0.25">
      <c r="A446" s="15"/>
      <c r="B446" s="8"/>
      <c r="C446" s="5" t="str">
        <f>IF(B446="","",IFERROR(INDEX(Trabajadores!$B$5:$B$204,MATCH(B446,Trabajadores!$A$5:$A$204,0)),"Cédula no registrada"))</f>
        <v/>
      </c>
      <c r="D446" s="11"/>
      <c r="E446" s="11"/>
      <c r="F446" s="8"/>
      <c r="G446" s="18" t="str">
        <f>IF(A446="","",IFERROR(INDEX(Trabajadores!$E$5:$E$204,MATCH(B446,Trabajadores!$A$5:$A$204,0))/Parámetros!$B$6,0)+IF(IFERROR(INDEX(Trabajadores!$E$5:$E$204,MATCH(B446,Trabajadores!$A$5:$A$204,0)),"")="",Parámetros!$B$7,0))</f>
        <v/>
      </c>
      <c r="H446" s="5" t="str">
        <f t="shared" si="120"/>
        <v/>
      </c>
      <c r="I446" s="5" t="str">
        <f>IF(A446="","",IF(COUNTIF(Festivos!$A$5:$A$451,A446)&gt;0,"Festivo",IF(WEEKDAY(A446,2)=7,"Domingo",IF(AND(AF446=1,AC446&gt;1),IF(COUNTIF(Festivos!$A$5:$A$451,A446+1)&gt;0,"Festivo","Domingo")&amp;" desde las 00:00",""))))</f>
        <v/>
      </c>
      <c r="J446" s="19" t="str">
        <f t="shared" si="121"/>
        <v/>
      </c>
      <c r="K446" s="19" t="str">
        <f t="shared" si="122"/>
        <v/>
      </c>
      <c r="L446" s="19" t="str">
        <f t="shared" si="123"/>
        <v/>
      </c>
      <c r="M446" s="19" t="str">
        <f t="shared" si="124"/>
        <v/>
      </c>
      <c r="N446" s="19" t="str">
        <f t="shared" si="125"/>
        <v/>
      </c>
      <c r="O446" s="19" t="str">
        <f t="shared" si="126"/>
        <v/>
      </c>
      <c r="P446" s="19" t="str">
        <f t="shared" si="127"/>
        <v/>
      </c>
      <c r="Q446" s="19" t="str">
        <f t="shared" si="128"/>
        <v/>
      </c>
      <c r="R446" s="19" t="str">
        <f t="shared" si="129"/>
        <v/>
      </c>
      <c r="S446" s="17" t="str">
        <f>IF(B446="","",IFERROR(INDEX(Trabajadores!$G$5:$G$204,MATCH(B446,Trabajadores!$A$5:$A$204,0)),""))</f>
        <v/>
      </c>
      <c r="T446" s="17" t="str">
        <f>IF(OR(OR(A446="",D446="",E446=""),S446=""),"",ROUND(S446*(N(L446)*Parámetros!$B$8+N(M446)*(1+Parámetros!$B$9)+N(N446)*(1+Parámetros!$B$10)+N(O446)*(1+AG446)+N(P446)*(1+AG446+Parámetros!$B$8)+N(Q446)*(1+AG446+Parámetros!$B$9)+N(R446)*(1+AG446+Parámetros!$B$10)),0))</f>
        <v/>
      </c>
      <c r="U446" s="5" t="str">
        <f>IF(OR(A446="",D446="",E446=""),"",IF(N(M446)+N(N446)+N(Q446)+N(R446)&gt;Parámetros!$B$12,"Supera el límite de horas extras diarias",IF(C446="Cédula no registrada","Registre la cédula en «Trabajadores»","")))</f>
        <v/>
      </c>
      <c r="X446" s="20">
        <f t="shared" si="130"/>
        <v>0</v>
      </c>
      <c r="Y446" s="20">
        <f t="shared" si="131"/>
        <v>0</v>
      </c>
      <c r="Z446" s="20">
        <f t="shared" si="132"/>
        <v>0</v>
      </c>
      <c r="AA446" s="20">
        <f t="shared" si="133"/>
        <v>0</v>
      </c>
      <c r="AB446" s="20">
        <f t="shared" si="134"/>
        <v>0</v>
      </c>
      <c r="AC446" s="20">
        <f t="shared" si="135"/>
        <v>0</v>
      </c>
      <c r="AD446" s="20">
        <f>IF(A446="",21/24,MOD(VLOOKUP(A446,Parámetros!$A$24:$B$25,2,TRUE()),1))</f>
        <v>0.875</v>
      </c>
      <c r="AE446" s="5">
        <f>IF(A446="",0,IF(OR(WEEKDAY(A446,2)=7,COUNTIF(Festivos!$A$5:$A$451,A446)&gt;0),1,0))</f>
        <v>0</v>
      </c>
      <c r="AF446" s="5">
        <f>IF(A446="",0,IF(OR(WEEKDAY(A446+1,2)=7,COUNTIF(Festivos!$A$5:$A$451,A446+1)&gt;0),1,0))</f>
        <v>0</v>
      </c>
      <c r="AG446" s="9">
        <f>IF(A446="",0,VLOOKUP(A446,Parámetros!$A$18:$B$21,2,TRUE()))</f>
        <v>0</v>
      </c>
      <c r="AH446" s="20">
        <f t="shared" si="136"/>
        <v>0</v>
      </c>
      <c r="AI446" s="20">
        <f>MAX(0,MIN(AB446,Parámetros!$B$11)-MAX(X446,0))+MAX(0,MIN(AB446,1+Parámetros!$B$11)-MAX(X446,AD446))+MAX(0,MIN(AB446,2)-MAX(X446,1+AD446))</f>
        <v>0</v>
      </c>
      <c r="AJ446" s="20">
        <f t="shared" si="137"/>
        <v>0</v>
      </c>
      <c r="AK446" s="20">
        <f>AE446*(MAX(0,MIN(AB446,Parámetros!$B$11)-MAX(X446,0))+MAX(0,MIN(AB446,1)-MAX(X446,AD446)))+AF446*(MAX(0,MIN(AB446,1+Parámetros!$B$11)-MAX(X446,1))+MAX(0,MIN(AB446,2)-MAX(X446,1+AD446)))</f>
        <v>0</v>
      </c>
      <c r="AL446" s="20">
        <f t="shared" si="138"/>
        <v>0</v>
      </c>
      <c r="AM446" s="20">
        <f>MAX(0,MIN(AC446,Parámetros!$B$11)-MAX(AB446,0))+MAX(0,MIN(AC446,1+Parámetros!$B$11)-MAX(AB446,AD446))+MAX(0,MIN(AC446,2)-MAX(AB446,1+AD446))</f>
        <v>0</v>
      </c>
      <c r="AN446" s="20">
        <f t="shared" si="139"/>
        <v>0</v>
      </c>
      <c r="AO446" s="20">
        <f>AE446*(MAX(0,MIN(AC446,Parámetros!$B$11)-MAX(AB446,0))+MAX(0,MIN(AC446,1)-MAX(AB446,AD446)))+AF446*(MAX(0,MIN(AC446,1+Parámetros!$B$11)-MAX(AB446,1))+MAX(0,MIN(AC446,2)-MAX(AB446,1+AD446)))</f>
        <v>0</v>
      </c>
    </row>
    <row r="447" spans="1:41" x14ac:dyDescent="0.25">
      <c r="A447" s="15"/>
      <c r="B447" s="8"/>
      <c r="C447" s="5" t="str">
        <f>IF(B447="","",IFERROR(INDEX(Trabajadores!$B$5:$B$204,MATCH(B447,Trabajadores!$A$5:$A$204,0)),"Cédula no registrada"))</f>
        <v/>
      </c>
      <c r="D447" s="11"/>
      <c r="E447" s="11"/>
      <c r="F447" s="8"/>
      <c r="G447" s="18" t="str">
        <f>IF(A447="","",IFERROR(INDEX(Trabajadores!$E$5:$E$204,MATCH(B447,Trabajadores!$A$5:$A$204,0))/Parámetros!$B$6,0)+IF(IFERROR(INDEX(Trabajadores!$E$5:$E$204,MATCH(B447,Trabajadores!$A$5:$A$204,0)),"")="",Parámetros!$B$7,0))</f>
        <v/>
      </c>
      <c r="H447" s="5" t="str">
        <f t="shared" si="120"/>
        <v/>
      </c>
      <c r="I447" s="5" t="str">
        <f>IF(A447="","",IF(COUNTIF(Festivos!$A$5:$A$451,A447)&gt;0,"Festivo",IF(WEEKDAY(A447,2)=7,"Domingo",IF(AND(AF447=1,AC447&gt;1),IF(COUNTIF(Festivos!$A$5:$A$451,A447+1)&gt;0,"Festivo","Domingo")&amp;" desde las 00:00",""))))</f>
        <v/>
      </c>
      <c r="J447" s="19" t="str">
        <f t="shared" si="121"/>
        <v/>
      </c>
      <c r="K447" s="19" t="str">
        <f t="shared" si="122"/>
        <v/>
      </c>
      <c r="L447" s="19" t="str">
        <f t="shared" si="123"/>
        <v/>
      </c>
      <c r="M447" s="19" t="str">
        <f t="shared" si="124"/>
        <v/>
      </c>
      <c r="N447" s="19" t="str">
        <f t="shared" si="125"/>
        <v/>
      </c>
      <c r="O447" s="19" t="str">
        <f t="shared" si="126"/>
        <v/>
      </c>
      <c r="P447" s="19" t="str">
        <f t="shared" si="127"/>
        <v/>
      </c>
      <c r="Q447" s="19" t="str">
        <f t="shared" si="128"/>
        <v/>
      </c>
      <c r="R447" s="19" t="str">
        <f t="shared" si="129"/>
        <v/>
      </c>
      <c r="S447" s="17" t="str">
        <f>IF(B447="","",IFERROR(INDEX(Trabajadores!$G$5:$G$204,MATCH(B447,Trabajadores!$A$5:$A$204,0)),""))</f>
        <v/>
      </c>
      <c r="T447" s="17" t="str">
        <f>IF(OR(OR(A447="",D447="",E447=""),S447=""),"",ROUND(S447*(N(L447)*Parámetros!$B$8+N(M447)*(1+Parámetros!$B$9)+N(N447)*(1+Parámetros!$B$10)+N(O447)*(1+AG447)+N(P447)*(1+AG447+Parámetros!$B$8)+N(Q447)*(1+AG447+Parámetros!$B$9)+N(R447)*(1+AG447+Parámetros!$B$10)),0))</f>
        <v/>
      </c>
      <c r="U447" s="5" t="str">
        <f>IF(OR(A447="",D447="",E447=""),"",IF(N(M447)+N(N447)+N(Q447)+N(R447)&gt;Parámetros!$B$12,"Supera el límite de horas extras diarias",IF(C447="Cédula no registrada","Registre la cédula en «Trabajadores»","")))</f>
        <v/>
      </c>
      <c r="X447" s="20">
        <f t="shared" si="130"/>
        <v>0</v>
      </c>
      <c r="Y447" s="20">
        <f t="shared" si="131"/>
        <v>0</v>
      </c>
      <c r="Z447" s="20">
        <f t="shared" si="132"/>
        <v>0</v>
      </c>
      <c r="AA447" s="20">
        <f t="shared" si="133"/>
        <v>0</v>
      </c>
      <c r="AB447" s="20">
        <f t="shared" si="134"/>
        <v>0</v>
      </c>
      <c r="AC447" s="20">
        <f t="shared" si="135"/>
        <v>0</v>
      </c>
      <c r="AD447" s="20">
        <f>IF(A447="",21/24,MOD(VLOOKUP(A447,Parámetros!$A$24:$B$25,2,TRUE()),1))</f>
        <v>0.875</v>
      </c>
      <c r="AE447" s="5">
        <f>IF(A447="",0,IF(OR(WEEKDAY(A447,2)=7,COUNTIF(Festivos!$A$5:$A$451,A447)&gt;0),1,0))</f>
        <v>0</v>
      </c>
      <c r="AF447" s="5">
        <f>IF(A447="",0,IF(OR(WEEKDAY(A447+1,2)=7,COUNTIF(Festivos!$A$5:$A$451,A447+1)&gt;0),1,0))</f>
        <v>0</v>
      </c>
      <c r="AG447" s="9">
        <f>IF(A447="",0,VLOOKUP(A447,Parámetros!$A$18:$B$21,2,TRUE()))</f>
        <v>0</v>
      </c>
      <c r="AH447" s="20">
        <f t="shared" si="136"/>
        <v>0</v>
      </c>
      <c r="AI447" s="20">
        <f>MAX(0,MIN(AB447,Parámetros!$B$11)-MAX(X447,0))+MAX(0,MIN(AB447,1+Parámetros!$B$11)-MAX(X447,AD447))+MAX(0,MIN(AB447,2)-MAX(X447,1+AD447))</f>
        <v>0</v>
      </c>
      <c r="AJ447" s="20">
        <f t="shared" si="137"/>
        <v>0</v>
      </c>
      <c r="AK447" s="20">
        <f>AE447*(MAX(0,MIN(AB447,Parámetros!$B$11)-MAX(X447,0))+MAX(0,MIN(AB447,1)-MAX(X447,AD447)))+AF447*(MAX(0,MIN(AB447,1+Parámetros!$B$11)-MAX(X447,1))+MAX(0,MIN(AB447,2)-MAX(X447,1+AD447)))</f>
        <v>0</v>
      </c>
      <c r="AL447" s="20">
        <f t="shared" si="138"/>
        <v>0</v>
      </c>
      <c r="AM447" s="20">
        <f>MAX(0,MIN(AC447,Parámetros!$B$11)-MAX(AB447,0))+MAX(0,MIN(AC447,1+Parámetros!$B$11)-MAX(AB447,AD447))+MAX(0,MIN(AC447,2)-MAX(AB447,1+AD447))</f>
        <v>0</v>
      </c>
      <c r="AN447" s="20">
        <f t="shared" si="139"/>
        <v>0</v>
      </c>
      <c r="AO447" s="20">
        <f>AE447*(MAX(0,MIN(AC447,Parámetros!$B$11)-MAX(AB447,0))+MAX(0,MIN(AC447,1)-MAX(AB447,AD447)))+AF447*(MAX(0,MIN(AC447,1+Parámetros!$B$11)-MAX(AB447,1))+MAX(0,MIN(AC447,2)-MAX(AB447,1+AD447)))</f>
        <v>0</v>
      </c>
    </row>
    <row r="448" spans="1:41" x14ac:dyDescent="0.25">
      <c r="A448" s="15"/>
      <c r="B448" s="8"/>
      <c r="C448" s="5" t="str">
        <f>IF(B448="","",IFERROR(INDEX(Trabajadores!$B$5:$B$204,MATCH(B448,Trabajadores!$A$5:$A$204,0)),"Cédula no registrada"))</f>
        <v/>
      </c>
      <c r="D448" s="11"/>
      <c r="E448" s="11"/>
      <c r="F448" s="8"/>
      <c r="G448" s="18" t="str">
        <f>IF(A448="","",IFERROR(INDEX(Trabajadores!$E$5:$E$204,MATCH(B448,Trabajadores!$A$5:$A$204,0))/Parámetros!$B$6,0)+IF(IFERROR(INDEX(Trabajadores!$E$5:$E$204,MATCH(B448,Trabajadores!$A$5:$A$204,0)),"")="",Parámetros!$B$7,0))</f>
        <v/>
      </c>
      <c r="H448" s="5" t="str">
        <f t="shared" si="120"/>
        <v/>
      </c>
      <c r="I448" s="5" t="str">
        <f>IF(A448="","",IF(COUNTIF(Festivos!$A$5:$A$451,A448)&gt;0,"Festivo",IF(WEEKDAY(A448,2)=7,"Domingo",IF(AND(AF448=1,AC448&gt;1),IF(COUNTIF(Festivos!$A$5:$A$451,A448+1)&gt;0,"Festivo","Domingo")&amp;" desde las 00:00",""))))</f>
        <v/>
      </c>
      <c r="J448" s="19" t="str">
        <f t="shared" si="121"/>
        <v/>
      </c>
      <c r="K448" s="19" t="str">
        <f t="shared" si="122"/>
        <v/>
      </c>
      <c r="L448" s="19" t="str">
        <f t="shared" si="123"/>
        <v/>
      </c>
      <c r="M448" s="19" t="str">
        <f t="shared" si="124"/>
        <v/>
      </c>
      <c r="N448" s="19" t="str">
        <f t="shared" si="125"/>
        <v/>
      </c>
      <c r="O448" s="19" t="str">
        <f t="shared" si="126"/>
        <v/>
      </c>
      <c r="P448" s="19" t="str">
        <f t="shared" si="127"/>
        <v/>
      </c>
      <c r="Q448" s="19" t="str">
        <f t="shared" si="128"/>
        <v/>
      </c>
      <c r="R448" s="19" t="str">
        <f t="shared" si="129"/>
        <v/>
      </c>
      <c r="S448" s="17" t="str">
        <f>IF(B448="","",IFERROR(INDEX(Trabajadores!$G$5:$G$204,MATCH(B448,Trabajadores!$A$5:$A$204,0)),""))</f>
        <v/>
      </c>
      <c r="T448" s="17" t="str">
        <f>IF(OR(OR(A448="",D448="",E448=""),S448=""),"",ROUND(S448*(N(L448)*Parámetros!$B$8+N(M448)*(1+Parámetros!$B$9)+N(N448)*(1+Parámetros!$B$10)+N(O448)*(1+AG448)+N(P448)*(1+AG448+Parámetros!$B$8)+N(Q448)*(1+AG448+Parámetros!$B$9)+N(R448)*(1+AG448+Parámetros!$B$10)),0))</f>
        <v/>
      </c>
      <c r="U448" s="5" t="str">
        <f>IF(OR(A448="",D448="",E448=""),"",IF(N(M448)+N(N448)+N(Q448)+N(R448)&gt;Parámetros!$B$12,"Supera el límite de horas extras diarias",IF(C448="Cédula no registrada","Registre la cédula en «Trabajadores»","")))</f>
        <v/>
      </c>
      <c r="X448" s="20">
        <f t="shared" si="130"/>
        <v>0</v>
      </c>
      <c r="Y448" s="20">
        <f t="shared" si="131"/>
        <v>0</v>
      </c>
      <c r="Z448" s="20">
        <f t="shared" si="132"/>
        <v>0</v>
      </c>
      <c r="AA448" s="20">
        <f t="shared" si="133"/>
        <v>0</v>
      </c>
      <c r="AB448" s="20">
        <f t="shared" si="134"/>
        <v>0</v>
      </c>
      <c r="AC448" s="20">
        <f t="shared" si="135"/>
        <v>0</v>
      </c>
      <c r="AD448" s="20">
        <f>IF(A448="",21/24,MOD(VLOOKUP(A448,Parámetros!$A$24:$B$25,2,TRUE()),1))</f>
        <v>0.875</v>
      </c>
      <c r="AE448" s="5">
        <f>IF(A448="",0,IF(OR(WEEKDAY(A448,2)=7,COUNTIF(Festivos!$A$5:$A$451,A448)&gt;0),1,0))</f>
        <v>0</v>
      </c>
      <c r="AF448" s="5">
        <f>IF(A448="",0,IF(OR(WEEKDAY(A448+1,2)=7,COUNTIF(Festivos!$A$5:$A$451,A448+1)&gt;0),1,0))</f>
        <v>0</v>
      </c>
      <c r="AG448" s="9">
        <f>IF(A448="",0,VLOOKUP(A448,Parámetros!$A$18:$B$21,2,TRUE()))</f>
        <v>0</v>
      </c>
      <c r="AH448" s="20">
        <f t="shared" si="136"/>
        <v>0</v>
      </c>
      <c r="AI448" s="20">
        <f>MAX(0,MIN(AB448,Parámetros!$B$11)-MAX(X448,0))+MAX(0,MIN(AB448,1+Parámetros!$B$11)-MAX(X448,AD448))+MAX(0,MIN(AB448,2)-MAX(X448,1+AD448))</f>
        <v>0</v>
      </c>
      <c r="AJ448" s="20">
        <f t="shared" si="137"/>
        <v>0</v>
      </c>
      <c r="AK448" s="20">
        <f>AE448*(MAX(0,MIN(AB448,Parámetros!$B$11)-MAX(X448,0))+MAX(0,MIN(AB448,1)-MAX(X448,AD448)))+AF448*(MAX(0,MIN(AB448,1+Parámetros!$B$11)-MAX(X448,1))+MAX(0,MIN(AB448,2)-MAX(X448,1+AD448)))</f>
        <v>0</v>
      </c>
      <c r="AL448" s="20">
        <f t="shared" si="138"/>
        <v>0</v>
      </c>
      <c r="AM448" s="20">
        <f>MAX(0,MIN(AC448,Parámetros!$B$11)-MAX(AB448,0))+MAX(0,MIN(AC448,1+Parámetros!$B$11)-MAX(AB448,AD448))+MAX(0,MIN(AC448,2)-MAX(AB448,1+AD448))</f>
        <v>0</v>
      </c>
      <c r="AN448" s="20">
        <f t="shared" si="139"/>
        <v>0</v>
      </c>
      <c r="AO448" s="20">
        <f>AE448*(MAX(0,MIN(AC448,Parámetros!$B$11)-MAX(AB448,0))+MAX(0,MIN(AC448,1)-MAX(AB448,AD448)))+AF448*(MAX(0,MIN(AC448,1+Parámetros!$B$11)-MAX(AB448,1))+MAX(0,MIN(AC448,2)-MAX(AB448,1+AD448)))</f>
        <v>0</v>
      </c>
    </row>
    <row r="449" spans="1:41" x14ac:dyDescent="0.25">
      <c r="A449" s="15"/>
      <c r="B449" s="8"/>
      <c r="C449" s="5" t="str">
        <f>IF(B449="","",IFERROR(INDEX(Trabajadores!$B$5:$B$204,MATCH(B449,Trabajadores!$A$5:$A$204,0)),"Cédula no registrada"))</f>
        <v/>
      </c>
      <c r="D449" s="11"/>
      <c r="E449" s="11"/>
      <c r="F449" s="8"/>
      <c r="G449" s="18" t="str">
        <f>IF(A449="","",IFERROR(INDEX(Trabajadores!$E$5:$E$204,MATCH(B449,Trabajadores!$A$5:$A$204,0))/Parámetros!$B$6,0)+IF(IFERROR(INDEX(Trabajadores!$E$5:$E$204,MATCH(B449,Trabajadores!$A$5:$A$204,0)),"")="",Parámetros!$B$7,0))</f>
        <v/>
      </c>
      <c r="H449" s="5" t="str">
        <f t="shared" si="120"/>
        <v/>
      </c>
      <c r="I449" s="5" t="str">
        <f>IF(A449="","",IF(COUNTIF(Festivos!$A$5:$A$451,A449)&gt;0,"Festivo",IF(WEEKDAY(A449,2)=7,"Domingo",IF(AND(AF449=1,AC449&gt;1),IF(COUNTIF(Festivos!$A$5:$A$451,A449+1)&gt;0,"Festivo","Domingo")&amp;" desde las 00:00",""))))</f>
        <v/>
      </c>
      <c r="J449" s="19" t="str">
        <f t="shared" si="121"/>
        <v/>
      </c>
      <c r="K449" s="19" t="str">
        <f t="shared" si="122"/>
        <v/>
      </c>
      <c r="L449" s="19" t="str">
        <f t="shared" si="123"/>
        <v/>
      </c>
      <c r="M449" s="19" t="str">
        <f t="shared" si="124"/>
        <v/>
      </c>
      <c r="N449" s="19" t="str">
        <f t="shared" si="125"/>
        <v/>
      </c>
      <c r="O449" s="19" t="str">
        <f t="shared" si="126"/>
        <v/>
      </c>
      <c r="P449" s="19" t="str">
        <f t="shared" si="127"/>
        <v/>
      </c>
      <c r="Q449" s="19" t="str">
        <f t="shared" si="128"/>
        <v/>
      </c>
      <c r="R449" s="19" t="str">
        <f t="shared" si="129"/>
        <v/>
      </c>
      <c r="S449" s="17" t="str">
        <f>IF(B449="","",IFERROR(INDEX(Trabajadores!$G$5:$G$204,MATCH(B449,Trabajadores!$A$5:$A$204,0)),""))</f>
        <v/>
      </c>
      <c r="T449" s="17" t="str">
        <f>IF(OR(OR(A449="",D449="",E449=""),S449=""),"",ROUND(S449*(N(L449)*Parámetros!$B$8+N(M449)*(1+Parámetros!$B$9)+N(N449)*(1+Parámetros!$B$10)+N(O449)*(1+AG449)+N(P449)*(1+AG449+Parámetros!$B$8)+N(Q449)*(1+AG449+Parámetros!$B$9)+N(R449)*(1+AG449+Parámetros!$B$10)),0))</f>
        <v/>
      </c>
      <c r="U449" s="5" t="str">
        <f>IF(OR(A449="",D449="",E449=""),"",IF(N(M449)+N(N449)+N(Q449)+N(R449)&gt;Parámetros!$B$12,"Supera el límite de horas extras diarias",IF(C449="Cédula no registrada","Registre la cédula en «Trabajadores»","")))</f>
        <v/>
      </c>
      <c r="X449" s="20">
        <f t="shared" si="130"/>
        <v>0</v>
      </c>
      <c r="Y449" s="20">
        <f t="shared" si="131"/>
        <v>0</v>
      </c>
      <c r="Z449" s="20">
        <f t="shared" si="132"/>
        <v>0</v>
      </c>
      <c r="AA449" s="20">
        <f t="shared" si="133"/>
        <v>0</v>
      </c>
      <c r="AB449" s="20">
        <f t="shared" si="134"/>
        <v>0</v>
      </c>
      <c r="AC449" s="20">
        <f t="shared" si="135"/>
        <v>0</v>
      </c>
      <c r="AD449" s="20">
        <f>IF(A449="",21/24,MOD(VLOOKUP(A449,Parámetros!$A$24:$B$25,2,TRUE()),1))</f>
        <v>0.875</v>
      </c>
      <c r="AE449" s="5">
        <f>IF(A449="",0,IF(OR(WEEKDAY(A449,2)=7,COUNTIF(Festivos!$A$5:$A$451,A449)&gt;0),1,0))</f>
        <v>0</v>
      </c>
      <c r="AF449" s="5">
        <f>IF(A449="",0,IF(OR(WEEKDAY(A449+1,2)=7,COUNTIF(Festivos!$A$5:$A$451,A449+1)&gt;0),1,0))</f>
        <v>0</v>
      </c>
      <c r="AG449" s="9">
        <f>IF(A449="",0,VLOOKUP(A449,Parámetros!$A$18:$B$21,2,TRUE()))</f>
        <v>0</v>
      </c>
      <c r="AH449" s="20">
        <f t="shared" si="136"/>
        <v>0</v>
      </c>
      <c r="AI449" s="20">
        <f>MAX(0,MIN(AB449,Parámetros!$B$11)-MAX(X449,0))+MAX(0,MIN(AB449,1+Parámetros!$B$11)-MAX(X449,AD449))+MAX(0,MIN(AB449,2)-MAX(X449,1+AD449))</f>
        <v>0</v>
      </c>
      <c r="AJ449" s="20">
        <f t="shared" si="137"/>
        <v>0</v>
      </c>
      <c r="AK449" s="20">
        <f>AE449*(MAX(0,MIN(AB449,Parámetros!$B$11)-MAX(X449,0))+MAX(0,MIN(AB449,1)-MAX(X449,AD449)))+AF449*(MAX(0,MIN(AB449,1+Parámetros!$B$11)-MAX(X449,1))+MAX(0,MIN(AB449,2)-MAX(X449,1+AD449)))</f>
        <v>0</v>
      </c>
      <c r="AL449" s="20">
        <f t="shared" si="138"/>
        <v>0</v>
      </c>
      <c r="AM449" s="20">
        <f>MAX(0,MIN(AC449,Parámetros!$B$11)-MAX(AB449,0))+MAX(0,MIN(AC449,1+Parámetros!$B$11)-MAX(AB449,AD449))+MAX(0,MIN(AC449,2)-MAX(AB449,1+AD449))</f>
        <v>0</v>
      </c>
      <c r="AN449" s="20">
        <f t="shared" si="139"/>
        <v>0</v>
      </c>
      <c r="AO449" s="20">
        <f>AE449*(MAX(0,MIN(AC449,Parámetros!$B$11)-MAX(AB449,0))+MAX(0,MIN(AC449,1)-MAX(AB449,AD449)))+AF449*(MAX(0,MIN(AC449,1+Parámetros!$B$11)-MAX(AB449,1))+MAX(0,MIN(AC449,2)-MAX(AB449,1+AD449)))</f>
        <v>0</v>
      </c>
    </row>
    <row r="450" spans="1:41" x14ac:dyDescent="0.25">
      <c r="A450" s="15"/>
      <c r="B450" s="8"/>
      <c r="C450" s="5" t="str">
        <f>IF(B450="","",IFERROR(INDEX(Trabajadores!$B$5:$B$204,MATCH(B450,Trabajadores!$A$5:$A$204,0)),"Cédula no registrada"))</f>
        <v/>
      </c>
      <c r="D450" s="11"/>
      <c r="E450" s="11"/>
      <c r="F450" s="8"/>
      <c r="G450" s="18" t="str">
        <f>IF(A450="","",IFERROR(INDEX(Trabajadores!$E$5:$E$204,MATCH(B450,Trabajadores!$A$5:$A$204,0))/Parámetros!$B$6,0)+IF(IFERROR(INDEX(Trabajadores!$E$5:$E$204,MATCH(B450,Trabajadores!$A$5:$A$204,0)),"")="",Parámetros!$B$7,0))</f>
        <v/>
      </c>
      <c r="H450" s="5" t="str">
        <f t="shared" si="120"/>
        <v/>
      </c>
      <c r="I450" s="5" t="str">
        <f>IF(A450="","",IF(COUNTIF(Festivos!$A$5:$A$451,A450)&gt;0,"Festivo",IF(WEEKDAY(A450,2)=7,"Domingo",IF(AND(AF450=1,AC450&gt;1),IF(COUNTIF(Festivos!$A$5:$A$451,A450+1)&gt;0,"Festivo","Domingo")&amp;" desde las 00:00",""))))</f>
        <v/>
      </c>
      <c r="J450" s="19" t="str">
        <f t="shared" si="121"/>
        <v/>
      </c>
      <c r="K450" s="19" t="str">
        <f t="shared" si="122"/>
        <v/>
      </c>
      <c r="L450" s="19" t="str">
        <f t="shared" si="123"/>
        <v/>
      </c>
      <c r="M450" s="19" t="str">
        <f t="shared" si="124"/>
        <v/>
      </c>
      <c r="N450" s="19" t="str">
        <f t="shared" si="125"/>
        <v/>
      </c>
      <c r="O450" s="19" t="str">
        <f t="shared" si="126"/>
        <v/>
      </c>
      <c r="P450" s="19" t="str">
        <f t="shared" si="127"/>
        <v/>
      </c>
      <c r="Q450" s="19" t="str">
        <f t="shared" si="128"/>
        <v/>
      </c>
      <c r="R450" s="19" t="str">
        <f t="shared" si="129"/>
        <v/>
      </c>
      <c r="S450" s="17" t="str">
        <f>IF(B450="","",IFERROR(INDEX(Trabajadores!$G$5:$G$204,MATCH(B450,Trabajadores!$A$5:$A$204,0)),""))</f>
        <v/>
      </c>
      <c r="T450" s="17" t="str">
        <f>IF(OR(OR(A450="",D450="",E450=""),S450=""),"",ROUND(S450*(N(L450)*Parámetros!$B$8+N(M450)*(1+Parámetros!$B$9)+N(N450)*(1+Parámetros!$B$10)+N(O450)*(1+AG450)+N(P450)*(1+AG450+Parámetros!$B$8)+N(Q450)*(1+AG450+Parámetros!$B$9)+N(R450)*(1+AG450+Parámetros!$B$10)),0))</f>
        <v/>
      </c>
      <c r="U450" s="5" t="str">
        <f>IF(OR(A450="",D450="",E450=""),"",IF(N(M450)+N(N450)+N(Q450)+N(R450)&gt;Parámetros!$B$12,"Supera el límite de horas extras diarias",IF(C450="Cédula no registrada","Registre la cédula en «Trabajadores»","")))</f>
        <v/>
      </c>
      <c r="X450" s="20">
        <f t="shared" si="130"/>
        <v>0</v>
      </c>
      <c r="Y450" s="20">
        <f t="shared" si="131"/>
        <v>0</v>
      </c>
      <c r="Z450" s="20">
        <f t="shared" si="132"/>
        <v>0</v>
      </c>
      <c r="AA450" s="20">
        <f t="shared" si="133"/>
        <v>0</v>
      </c>
      <c r="AB450" s="20">
        <f t="shared" si="134"/>
        <v>0</v>
      </c>
      <c r="AC450" s="20">
        <f t="shared" si="135"/>
        <v>0</v>
      </c>
      <c r="AD450" s="20">
        <f>IF(A450="",21/24,MOD(VLOOKUP(A450,Parámetros!$A$24:$B$25,2,TRUE()),1))</f>
        <v>0.875</v>
      </c>
      <c r="AE450" s="5">
        <f>IF(A450="",0,IF(OR(WEEKDAY(A450,2)=7,COUNTIF(Festivos!$A$5:$A$451,A450)&gt;0),1,0))</f>
        <v>0</v>
      </c>
      <c r="AF450" s="5">
        <f>IF(A450="",0,IF(OR(WEEKDAY(A450+1,2)=7,COUNTIF(Festivos!$A$5:$A$451,A450+1)&gt;0),1,0))</f>
        <v>0</v>
      </c>
      <c r="AG450" s="9">
        <f>IF(A450="",0,VLOOKUP(A450,Parámetros!$A$18:$B$21,2,TRUE()))</f>
        <v>0</v>
      </c>
      <c r="AH450" s="20">
        <f t="shared" si="136"/>
        <v>0</v>
      </c>
      <c r="AI450" s="20">
        <f>MAX(0,MIN(AB450,Parámetros!$B$11)-MAX(X450,0))+MAX(0,MIN(AB450,1+Parámetros!$B$11)-MAX(X450,AD450))+MAX(0,MIN(AB450,2)-MAX(X450,1+AD450))</f>
        <v>0</v>
      </c>
      <c r="AJ450" s="20">
        <f t="shared" si="137"/>
        <v>0</v>
      </c>
      <c r="AK450" s="20">
        <f>AE450*(MAX(0,MIN(AB450,Parámetros!$B$11)-MAX(X450,0))+MAX(0,MIN(AB450,1)-MAX(X450,AD450)))+AF450*(MAX(0,MIN(AB450,1+Parámetros!$B$11)-MAX(X450,1))+MAX(0,MIN(AB450,2)-MAX(X450,1+AD450)))</f>
        <v>0</v>
      </c>
      <c r="AL450" s="20">
        <f t="shared" si="138"/>
        <v>0</v>
      </c>
      <c r="AM450" s="20">
        <f>MAX(0,MIN(AC450,Parámetros!$B$11)-MAX(AB450,0))+MAX(0,MIN(AC450,1+Parámetros!$B$11)-MAX(AB450,AD450))+MAX(0,MIN(AC450,2)-MAX(AB450,1+AD450))</f>
        <v>0</v>
      </c>
      <c r="AN450" s="20">
        <f t="shared" si="139"/>
        <v>0</v>
      </c>
      <c r="AO450" s="20">
        <f>AE450*(MAX(0,MIN(AC450,Parámetros!$B$11)-MAX(AB450,0))+MAX(0,MIN(AC450,1)-MAX(AB450,AD450)))+AF450*(MAX(0,MIN(AC450,1+Parámetros!$B$11)-MAX(AB450,1))+MAX(0,MIN(AC450,2)-MAX(AB450,1+AD450)))</f>
        <v>0</v>
      </c>
    </row>
    <row r="451" spans="1:41" x14ac:dyDescent="0.25">
      <c r="A451" s="15"/>
      <c r="B451" s="8"/>
      <c r="C451" s="5" t="str">
        <f>IF(B451="","",IFERROR(INDEX(Trabajadores!$B$5:$B$204,MATCH(B451,Trabajadores!$A$5:$A$204,0)),"Cédula no registrada"))</f>
        <v/>
      </c>
      <c r="D451" s="11"/>
      <c r="E451" s="11"/>
      <c r="F451" s="8"/>
      <c r="G451" s="18" t="str">
        <f>IF(A451="","",IFERROR(INDEX(Trabajadores!$E$5:$E$204,MATCH(B451,Trabajadores!$A$5:$A$204,0))/Parámetros!$B$6,0)+IF(IFERROR(INDEX(Trabajadores!$E$5:$E$204,MATCH(B451,Trabajadores!$A$5:$A$204,0)),"")="",Parámetros!$B$7,0))</f>
        <v/>
      </c>
      <c r="H451" s="5" t="str">
        <f t="shared" si="120"/>
        <v/>
      </c>
      <c r="I451" s="5" t="str">
        <f>IF(A451="","",IF(COUNTIF(Festivos!$A$5:$A$451,A451)&gt;0,"Festivo",IF(WEEKDAY(A451,2)=7,"Domingo",IF(AND(AF451=1,AC451&gt;1),IF(COUNTIF(Festivos!$A$5:$A$451,A451+1)&gt;0,"Festivo","Domingo")&amp;" desde las 00:00",""))))</f>
        <v/>
      </c>
      <c r="J451" s="19" t="str">
        <f t="shared" si="121"/>
        <v/>
      </c>
      <c r="K451" s="19" t="str">
        <f t="shared" si="122"/>
        <v/>
      </c>
      <c r="L451" s="19" t="str">
        <f t="shared" si="123"/>
        <v/>
      </c>
      <c r="M451" s="19" t="str">
        <f t="shared" si="124"/>
        <v/>
      </c>
      <c r="N451" s="19" t="str">
        <f t="shared" si="125"/>
        <v/>
      </c>
      <c r="O451" s="19" t="str">
        <f t="shared" si="126"/>
        <v/>
      </c>
      <c r="P451" s="19" t="str">
        <f t="shared" si="127"/>
        <v/>
      </c>
      <c r="Q451" s="19" t="str">
        <f t="shared" si="128"/>
        <v/>
      </c>
      <c r="R451" s="19" t="str">
        <f t="shared" si="129"/>
        <v/>
      </c>
      <c r="S451" s="17" t="str">
        <f>IF(B451="","",IFERROR(INDEX(Trabajadores!$G$5:$G$204,MATCH(B451,Trabajadores!$A$5:$A$204,0)),""))</f>
        <v/>
      </c>
      <c r="T451" s="17" t="str">
        <f>IF(OR(OR(A451="",D451="",E451=""),S451=""),"",ROUND(S451*(N(L451)*Parámetros!$B$8+N(M451)*(1+Parámetros!$B$9)+N(N451)*(1+Parámetros!$B$10)+N(O451)*(1+AG451)+N(P451)*(1+AG451+Parámetros!$B$8)+N(Q451)*(1+AG451+Parámetros!$B$9)+N(R451)*(1+AG451+Parámetros!$B$10)),0))</f>
        <v/>
      </c>
      <c r="U451" s="5" t="str">
        <f>IF(OR(A451="",D451="",E451=""),"",IF(N(M451)+N(N451)+N(Q451)+N(R451)&gt;Parámetros!$B$12,"Supera el límite de horas extras diarias",IF(C451="Cédula no registrada","Registre la cédula en «Trabajadores»","")))</f>
        <v/>
      </c>
      <c r="X451" s="20">
        <f t="shared" si="130"/>
        <v>0</v>
      </c>
      <c r="Y451" s="20">
        <f t="shared" si="131"/>
        <v>0</v>
      </c>
      <c r="Z451" s="20">
        <f t="shared" si="132"/>
        <v>0</v>
      </c>
      <c r="AA451" s="20">
        <f t="shared" si="133"/>
        <v>0</v>
      </c>
      <c r="AB451" s="20">
        <f t="shared" si="134"/>
        <v>0</v>
      </c>
      <c r="AC451" s="20">
        <f t="shared" si="135"/>
        <v>0</v>
      </c>
      <c r="AD451" s="20">
        <f>IF(A451="",21/24,MOD(VLOOKUP(A451,Parámetros!$A$24:$B$25,2,TRUE()),1))</f>
        <v>0.875</v>
      </c>
      <c r="AE451" s="5">
        <f>IF(A451="",0,IF(OR(WEEKDAY(A451,2)=7,COUNTIF(Festivos!$A$5:$A$451,A451)&gt;0),1,0))</f>
        <v>0</v>
      </c>
      <c r="AF451" s="5">
        <f>IF(A451="",0,IF(OR(WEEKDAY(A451+1,2)=7,COUNTIF(Festivos!$A$5:$A$451,A451+1)&gt;0),1,0))</f>
        <v>0</v>
      </c>
      <c r="AG451" s="9">
        <f>IF(A451="",0,VLOOKUP(A451,Parámetros!$A$18:$B$21,2,TRUE()))</f>
        <v>0</v>
      </c>
      <c r="AH451" s="20">
        <f t="shared" si="136"/>
        <v>0</v>
      </c>
      <c r="AI451" s="20">
        <f>MAX(0,MIN(AB451,Parámetros!$B$11)-MAX(X451,0))+MAX(0,MIN(AB451,1+Parámetros!$B$11)-MAX(X451,AD451))+MAX(0,MIN(AB451,2)-MAX(X451,1+AD451))</f>
        <v>0</v>
      </c>
      <c r="AJ451" s="20">
        <f t="shared" si="137"/>
        <v>0</v>
      </c>
      <c r="AK451" s="20">
        <f>AE451*(MAX(0,MIN(AB451,Parámetros!$B$11)-MAX(X451,0))+MAX(0,MIN(AB451,1)-MAX(X451,AD451)))+AF451*(MAX(0,MIN(AB451,1+Parámetros!$B$11)-MAX(X451,1))+MAX(0,MIN(AB451,2)-MAX(X451,1+AD451)))</f>
        <v>0</v>
      </c>
      <c r="AL451" s="20">
        <f t="shared" si="138"/>
        <v>0</v>
      </c>
      <c r="AM451" s="20">
        <f>MAX(0,MIN(AC451,Parámetros!$B$11)-MAX(AB451,0))+MAX(0,MIN(AC451,1+Parámetros!$B$11)-MAX(AB451,AD451))+MAX(0,MIN(AC451,2)-MAX(AB451,1+AD451))</f>
        <v>0</v>
      </c>
      <c r="AN451" s="20">
        <f t="shared" si="139"/>
        <v>0</v>
      </c>
      <c r="AO451" s="20">
        <f>AE451*(MAX(0,MIN(AC451,Parámetros!$B$11)-MAX(AB451,0))+MAX(0,MIN(AC451,1)-MAX(AB451,AD451)))+AF451*(MAX(0,MIN(AC451,1+Parámetros!$B$11)-MAX(AB451,1))+MAX(0,MIN(AC451,2)-MAX(AB451,1+AD451)))</f>
        <v>0</v>
      </c>
    </row>
    <row r="452" spans="1:41" x14ac:dyDescent="0.25">
      <c r="A452" s="15"/>
      <c r="B452" s="8"/>
      <c r="C452" s="5" t="str">
        <f>IF(B452="","",IFERROR(INDEX(Trabajadores!$B$5:$B$204,MATCH(B452,Trabajadores!$A$5:$A$204,0)),"Cédula no registrada"))</f>
        <v/>
      </c>
      <c r="D452" s="11"/>
      <c r="E452" s="11"/>
      <c r="F452" s="8"/>
      <c r="G452" s="18" t="str">
        <f>IF(A452="","",IFERROR(INDEX(Trabajadores!$E$5:$E$204,MATCH(B452,Trabajadores!$A$5:$A$204,0))/Parámetros!$B$6,0)+IF(IFERROR(INDEX(Trabajadores!$E$5:$E$204,MATCH(B452,Trabajadores!$A$5:$A$204,0)),"")="",Parámetros!$B$7,0))</f>
        <v/>
      </c>
      <c r="H452" s="5" t="str">
        <f t="shared" si="120"/>
        <v/>
      </c>
      <c r="I452" s="5" t="str">
        <f>IF(A452="","",IF(COUNTIF(Festivos!$A$5:$A$451,A452)&gt;0,"Festivo",IF(WEEKDAY(A452,2)=7,"Domingo",IF(AND(AF452=1,AC452&gt;1),IF(COUNTIF(Festivos!$A$5:$A$451,A452+1)&gt;0,"Festivo","Domingo")&amp;" desde las 00:00",""))))</f>
        <v/>
      </c>
      <c r="J452" s="19" t="str">
        <f t="shared" si="121"/>
        <v/>
      </c>
      <c r="K452" s="19" t="str">
        <f t="shared" si="122"/>
        <v/>
      </c>
      <c r="L452" s="19" t="str">
        <f t="shared" si="123"/>
        <v/>
      </c>
      <c r="M452" s="19" t="str">
        <f t="shared" si="124"/>
        <v/>
      </c>
      <c r="N452" s="19" t="str">
        <f t="shared" si="125"/>
        <v/>
      </c>
      <c r="O452" s="19" t="str">
        <f t="shared" si="126"/>
        <v/>
      </c>
      <c r="P452" s="19" t="str">
        <f t="shared" si="127"/>
        <v/>
      </c>
      <c r="Q452" s="19" t="str">
        <f t="shared" si="128"/>
        <v/>
      </c>
      <c r="R452" s="19" t="str">
        <f t="shared" si="129"/>
        <v/>
      </c>
      <c r="S452" s="17" t="str">
        <f>IF(B452="","",IFERROR(INDEX(Trabajadores!$G$5:$G$204,MATCH(B452,Trabajadores!$A$5:$A$204,0)),""))</f>
        <v/>
      </c>
      <c r="T452" s="17" t="str">
        <f>IF(OR(OR(A452="",D452="",E452=""),S452=""),"",ROUND(S452*(N(L452)*Parámetros!$B$8+N(M452)*(1+Parámetros!$B$9)+N(N452)*(1+Parámetros!$B$10)+N(O452)*(1+AG452)+N(P452)*(1+AG452+Parámetros!$B$8)+N(Q452)*(1+AG452+Parámetros!$B$9)+N(R452)*(1+AG452+Parámetros!$B$10)),0))</f>
        <v/>
      </c>
      <c r="U452" s="5" t="str">
        <f>IF(OR(A452="",D452="",E452=""),"",IF(N(M452)+N(N452)+N(Q452)+N(R452)&gt;Parámetros!$B$12,"Supera el límite de horas extras diarias",IF(C452="Cédula no registrada","Registre la cédula en «Trabajadores»","")))</f>
        <v/>
      </c>
      <c r="X452" s="20">
        <f t="shared" si="130"/>
        <v>0</v>
      </c>
      <c r="Y452" s="20">
        <f t="shared" si="131"/>
        <v>0</v>
      </c>
      <c r="Z452" s="20">
        <f t="shared" si="132"/>
        <v>0</v>
      </c>
      <c r="AA452" s="20">
        <f t="shared" si="133"/>
        <v>0</v>
      </c>
      <c r="AB452" s="20">
        <f t="shared" si="134"/>
        <v>0</v>
      </c>
      <c r="AC452" s="20">
        <f t="shared" si="135"/>
        <v>0</v>
      </c>
      <c r="AD452" s="20">
        <f>IF(A452="",21/24,MOD(VLOOKUP(A452,Parámetros!$A$24:$B$25,2,TRUE()),1))</f>
        <v>0.875</v>
      </c>
      <c r="AE452" s="5">
        <f>IF(A452="",0,IF(OR(WEEKDAY(A452,2)=7,COUNTIF(Festivos!$A$5:$A$451,A452)&gt;0),1,0))</f>
        <v>0</v>
      </c>
      <c r="AF452" s="5">
        <f>IF(A452="",0,IF(OR(WEEKDAY(A452+1,2)=7,COUNTIF(Festivos!$A$5:$A$451,A452+1)&gt;0),1,0))</f>
        <v>0</v>
      </c>
      <c r="AG452" s="9">
        <f>IF(A452="",0,VLOOKUP(A452,Parámetros!$A$18:$B$21,2,TRUE()))</f>
        <v>0</v>
      </c>
      <c r="AH452" s="20">
        <f t="shared" si="136"/>
        <v>0</v>
      </c>
      <c r="AI452" s="20">
        <f>MAX(0,MIN(AB452,Parámetros!$B$11)-MAX(X452,0))+MAX(0,MIN(AB452,1+Parámetros!$B$11)-MAX(X452,AD452))+MAX(0,MIN(AB452,2)-MAX(X452,1+AD452))</f>
        <v>0</v>
      </c>
      <c r="AJ452" s="20">
        <f t="shared" si="137"/>
        <v>0</v>
      </c>
      <c r="AK452" s="20">
        <f>AE452*(MAX(0,MIN(AB452,Parámetros!$B$11)-MAX(X452,0))+MAX(0,MIN(AB452,1)-MAX(X452,AD452)))+AF452*(MAX(0,MIN(AB452,1+Parámetros!$B$11)-MAX(X452,1))+MAX(0,MIN(AB452,2)-MAX(X452,1+AD452)))</f>
        <v>0</v>
      </c>
      <c r="AL452" s="20">
        <f t="shared" si="138"/>
        <v>0</v>
      </c>
      <c r="AM452" s="20">
        <f>MAX(0,MIN(AC452,Parámetros!$B$11)-MAX(AB452,0))+MAX(0,MIN(AC452,1+Parámetros!$B$11)-MAX(AB452,AD452))+MAX(0,MIN(AC452,2)-MAX(AB452,1+AD452))</f>
        <v>0</v>
      </c>
      <c r="AN452" s="20">
        <f t="shared" si="139"/>
        <v>0</v>
      </c>
      <c r="AO452" s="20">
        <f>AE452*(MAX(0,MIN(AC452,Parámetros!$B$11)-MAX(AB452,0))+MAX(0,MIN(AC452,1)-MAX(AB452,AD452)))+AF452*(MAX(0,MIN(AC452,1+Parámetros!$B$11)-MAX(AB452,1))+MAX(0,MIN(AC452,2)-MAX(AB452,1+AD452)))</f>
        <v>0</v>
      </c>
    </row>
    <row r="453" spans="1:41" x14ac:dyDescent="0.25">
      <c r="A453" s="15"/>
      <c r="B453" s="8"/>
      <c r="C453" s="5" t="str">
        <f>IF(B453="","",IFERROR(INDEX(Trabajadores!$B$5:$B$204,MATCH(B453,Trabajadores!$A$5:$A$204,0)),"Cédula no registrada"))</f>
        <v/>
      </c>
      <c r="D453" s="11"/>
      <c r="E453" s="11"/>
      <c r="F453" s="8"/>
      <c r="G453" s="18" t="str">
        <f>IF(A453="","",IFERROR(INDEX(Trabajadores!$E$5:$E$204,MATCH(B453,Trabajadores!$A$5:$A$204,0))/Parámetros!$B$6,0)+IF(IFERROR(INDEX(Trabajadores!$E$5:$E$204,MATCH(B453,Trabajadores!$A$5:$A$204,0)),"")="",Parámetros!$B$7,0))</f>
        <v/>
      </c>
      <c r="H453" s="5" t="str">
        <f t="shared" ref="H453:H504" si="140">IF(A453="","",CHOOSE(WEEKDAY(A453,2),"Lunes","Martes","Miércoles","Jueves","Viernes","Sábado","Domingo"))</f>
        <v/>
      </c>
      <c r="I453" s="5" t="str">
        <f>IF(A453="","",IF(COUNTIF(Festivos!$A$5:$A$451,A453)&gt;0,"Festivo",IF(WEEKDAY(A453,2)=7,"Domingo",IF(AND(AF453=1,AC453&gt;1),IF(COUNTIF(Festivos!$A$5:$A$451,A453+1)&gt;0,"Festivo","Domingo")&amp;" desde las 00:00",""))))</f>
        <v/>
      </c>
      <c r="J453" s="19" t="str">
        <f t="shared" ref="J453:J504" si="141">IF(OR(A453="",D453="",E453=""),"",ROUND((Z453)*24,2))</f>
        <v/>
      </c>
      <c r="K453" s="19" t="str">
        <f t="shared" ref="K453:K504" si="142">IF(OR(A453="",D453="",E453=""),"",ROUND((AH453-AI453-AJ453+AK453)*24,2))</f>
        <v/>
      </c>
      <c r="L453" s="19" t="str">
        <f t="shared" ref="L453:L504" si="143">IF(OR(A453="",D453="",E453=""),"",ROUND((AI453-AK453)*24,2))</f>
        <v/>
      </c>
      <c r="M453" s="19" t="str">
        <f t="shared" ref="M453:M504" si="144">IF(OR(A453="",D453="",E453=""),"",ROUND((AL453-AM453-AN453+AO453)*24,2))</f>
        <v/>
      </c>
      <c r="N453" s="19" t="str">
        <f t="shared" ref="N453:N504" si="145">IF(OR(A453="",D453="",E453=""),"",ROUND((AM453-AO453)*24,2))</f>
        <v/>
      </c>
      <c r="O453" s="19" t="str">
        <f t="shared" ref="O453:O504" si="146">IF(OR(A453="",D453="",E453=""),"",ROUND((AJ453-AK453)*24,2))</f>
        <v/>
      </c>
      <c r="P453" s="19" t="str">
        <f t="shared" ref="P453:P504" si="147">IF(OR(A453="",D453="",E453=""),"",ROUND((AK453)*24,2))</f>
        <v/>
      </c>
      <c r="Q453" s="19" t="str">
        <f t="shared" ref="Q453:Q504" si="148">IF(OR(A453="",D453="",E453=""),"",ROUND((AN453-AO453)*24,2))</f>
        <v/>
      </c>
      <c r="R453" s="19" t="str">
        <f t="shared" ref="R453:R504" si="149">IF(OR(A453="",D453="",E453=""),"",ROUND((AO453)*24,2))</f>
        <v/>
      </c>
      <c r="S453" s="17" t="str">
        <f>IF(B453="","",IFERROR(INDEX(Trabajadores!$G$5:$G$204,MATCH(B453,Trabajadores!$A$5:$A$204,0)),""))</f>
        <v/>
      </c>
      <c r="T453" s="17" t="str">
        <f>IF(OR(OR(A453="",D453="",E453=""),S453=""),"",ROUND(S453*(N(L453)*Parámetros!$B$8+N(M453)*(1+Parámetros!$B$9)+N(N453)*(1+Parámetros!$B$10)+N(O453)*(1+AG453)+N(P453)*(1+AG453+Parámetros!$B$8)+N(Q453)*(1+AG453+Parámetros!$B$9)+N(R453)*(1+AG453+Parámetros!$B$10)),0))</f>
        <v/>
      </c>
      <c r="U453" s="5" t="str">
        <f>IF(OR(A453="",D453="",E453=""),"",IF(N(M453)+N(N453)+N(Q453)+N(R453)&gt;Parámetros!$B$12,"Supera el límite de horas extras diarias",IF(C453="Cédula no registrada","Registre la cédula en «Trabajadores»","")))</f>
        <v/>
      </c>
      <c r="X453" s="20">
        <f t="shared" ref="X453:X504" si="150">IF(OR(A453="",D453="",E453=""),0,MOD(D453,1))</f>
        <v>0</v>
      </c>
      <c r="Y453" s="20">
        <f t="shared" ref="Y453:Y516" si="151">IF(OR(A453="",D453="",E453=""),0,IF(MOD(E453,1)&gt;X453,MOD(E453,1)-X453,MOD(E453,1)+1-X453))</f>
        <v>0</v>
      </c>
      <c r="Z453" s="20">
        <f t="shared" ref="Z453:Z516" si="152">MAX(0,Y453-N(F453)/1440)</f>
        <v>0</v>
      </c>
      <c r="AA453" s="20">
        <f t="shared" ref="AA453:AA504" si="153">IF(G453="",0,MAX(0,N(G453))/24)</f>
        <v>0</v>
      </c>
      <c r="AB453" s="20">
        <f t="shared" ref="AB453:AB516" si="154">X453+MIN(Z453,AA453)</f>
        <v>0</v>
      </c>
      <c r="AC453" s="20">
        <f t="shared" ref="AC453:AC504" si="155">X453+Z453</f>
        <v>0</v>
      </c>
      <c r="AD453" s="20">
        <f>IF(A453="",21/24,MOD(VLOOKUP(A453,Parámetros!$A$24:$B$25,2,TRUE()),1))</f>
        <v>0.875</v>
      </c>
      <c r="AE453" s="5">
        <f>IF(A453="",0,IF(OR(WEEKDAY(A453,2)=7,COUNTIF(Festivos!$A$5:$A$451,A453)&gt;0),1,0))</f>
        <v>0</v>
      </c>
      <c r="AF453" s="5">
        <f>IF(A453="",0,IF(OR(WEEKDAY(A453+1,2)=7,COUNTIF(Festivos!$A$5:$A$451,A453+1)&gt;0),1,0))</f>
        <v>0</v>
      </c>
      <c r="AG453" s="9">
        <f>IF(A453="",0,VLOOKUP(A453,Parámetros!$A$18:$B$21,2,TRUE()))</f>
        <v>0</v>
      </c>
      <c r="AH453" s="20">
        <f t="shared" ref="AH453:AH504" si="156">AB453-X453</f>
        <v>0</v>
      </c>
      <c r="AI453" s="20">
        <f>MAX(0,MIN(AB453,Parámetros!$B$11)-MAX(X453,0))+MAX(0,MIN(AB453,1+Parámetros!$B$11)-MAX(X453,AD453))+MAX(0,MIN(AB453,2)-MAX(X453,1+AD453))</f>
        <v>0</v>
      </c>
      <c r="AJ453" s="20">
        <f t="shared" ref="AJ453:AJ504" si="157">AE453*MAX(0,MIN(AB453,1)-MAX(X453,0))+AF453*MAX(0,MIN(AB453,2)-MAX(X453,1))</f>
        <v>0</v>
      </c>
      <c r="AK453" s="20">
        <f>AE453*(MAX(0,MIN(AB453,Parámetros!$B$11)-MAX(X453,0))+MAX(0,MIN(AB453,1)-MAX(X453,AD453)))+AF453*(MAX(0,MIN(AB453,1+Parámetros!$B$11)-MAX(X453,1))+MAX(0,MIN(AB453,2)-MAX(X453,1+AD453)))</f>
        <v>0</v>
      </c>
      <c r="AL453" s="20">
        <f t="shared" ref="AL453:AL504" si="158">AC453-AB453</f>
        <v>0</v>
      </c>
      <c r="AM453" s="20">
        <f>MAX(0,MIN(AC453,Parámetros!$B$11)-MAX(AB453,0))+MAX(0,MIN(AC453,1+Parámetros!$B$11)-MAX(AB453,AD453))+MAX(0,MIN(AC453,2)-MAX(AB453,1+AD453))</f>
        <v>0</v>
      </c>
      <c r="AN453" s="20">
        <f t="shared" ref="AN453:AN504" si="159">AE453*MAX(0,MIN(AC453,1)-MAX(AB453,0))+AF453*MAX(0,MIN(AC453,2)-MAX(AB453,1))</f>
        <v>0</v>
      </c>
      <c r="AO453" s="20">
        <f>AE453*(MAX(0,MIN(AC453,Parámetros!$B$11)-MAX(AB453,0))+MAX(0,MIN(AC453,1)-MAX(AB453,AD453)))+AF453*(MAX(0,MIN(AC453,1+Parámetros!$B$11)-MAX(AB453,1))+MAX(0,MIN(AC453,2)-MAX(AB453,1+AD453)))</f>
        <v>0</v>
      </c>
    </row>
    <row r="454" spans="1:41" x14ac:dyDescent="0.25">
      <c r="A454" s="15"/>
      <c r="B454" s="8"/>
      <c r="C454" s="5" t="str">
        <f>IF(B454="","",IFERROR(INDEX(Trabajadores!$B$5:$B$204,MATCH(B454,Trabajadores!$A$5:$A$204,0)),"Cédula no registrada"))</f>
        <v/>
      </c>
      <c r="D454" s="11"/>
      <c r="E454" s="11"/>
      <c r="F454" s="8"/>
      <c r="G454" s="18" t="str">
        <f>IF(A454="","",IFERROR(INDEX(Trabajadores!$E$5:$E$204,MATCH(B454,Trabajadores!$A$5:$A$204,0))/Parámetros!$B$6,0)+IF(IFERROR(INDEX(Trabajadores!$E$5:$E$204,MATCH(B454,Trabajadores!$A$5:$A$204,0)),"")="",Parámetros!$B$7,0))</f>
        <v/>
      </c>
      <c r="H454" s="5" t="str">
        <f t="shared" si="140"/>
        <v/>
      </c>
      <c r="I454" s="5" t="str">
        <f>IF(A454="","",IF(COUNTIF(Festivos!$A$5:$A$451,A454)&gt;0,"Festivo",IF(WEEKDAY(A454,2)=7,"Domingo",IF(AND(AF454=1,AC454&gt;1),IF(COUNTIF(Festivos!$A$5:$A$451,A454+1)&gt;0,"Festivo","Domingo")&amp;" desde las 00:00",""))))</f>
        <v/>
      </c>
      <c r="J454" s="19" t="str">
        <f t="shared" si="141"/>
        <v/>
      </c>
      <c r="K454" s="19" t="str">
        <f t="shared" si="142"/>
        <v/>
      </c>
      <c r="L454" s="19" t="str">
        <f t="shared" si="143"/>
        <v/>
      </c>
      <c r="M454" s="19" t="str">
        <f t="shared" si="144"/>
        <v/>
      </c>
      <c r="N454" s="19" t="str">
        <f t="shared" si="145"/>
        <v/>
      </c>
      <c r="O454" s="19" t="str">
        <f t="shared" si="146"/>
        <v/>
      </c>
      <c r="P454" s="19" t="str">
        <f t="shared" si="147"/>
        <v/>
      </c>
      <c r="Q454" s="19" t="str">
        <f t="shared" si="148"/>
        <v/>
      </c>
      <c r="R454" s="19" t="str">
        <f t="shared" si="149"/>
        <v/>
      </c>
      <c r="S454" s="17" t="str">
        <f>IF(B454="","",IFERROR(INDEX(Trabajadores!$G$5:$G$204,MATCH(B454,Trabajadores!$A$5:$A$204,0)),""))</f>
        <v/>
      </c>
      <c r="T454" s="17" t="str">
        <f>IF(OR(OR(A454="",D454="",E454=""),S454=""),"",ROUND(S454*(N(L454)*Parámetros!$B$8+N(M454)*(1+Parámetros!$B$9)+N(N454)*(1+Parámetros!$B$10)+N(O454)*(1+AG454)+N(P454)*(1+AG454+Parámetros!$B$8)+N(Q454)*(1+AG454+Parámetros!$B$9)+N(R454)*(1+AG454+Parámetros!$B$10)),0))</f>
        <v/>
      </c>
      <c r="U454" s="5" t="str">
        <f>IF(OR(A454="",D454="",E454=""),"",IF(N(M454)+N(N454)+N(Q454)+N(R454)&gt;Parámetros!$B$12,"Supera el límite de horas extras diarias",IF(C454="Cédula no registrada","Registre la cédula en «Trabajadores»","")))</f>
        <v/>
      </c>
      <c r="X454" s="20">
        <f t="shared" si="150"/>
        <v>0</v>
      </c>
      <c r="Y454" s="20">
        <f t="shared" si="151"/>
        <v>0</v>
      </c>
      <c r="Z454" s="20">
        <f t="shared" si="152"/>
        <v>0</v>
      </c>
      <c r="AA454" s="20">
        <f t="shared" si="153"/>
        <v>0</v>
      </c>
      <c r="AB454" s="20">
        <f t="shared" si="154"/>
        <v>0</v>
      </c>
      <c r="AC454" s="20">
        <f t="shared" si="155"/>
        <v>0</v>
      </c>
      <c r="AD454" s="20">
        <f>IF(A454="",21/24,MOD(VLOOKUP(A454,Parámetros!$A$24:$B$25,2,TRUE()),1))</f>
        <v>0.875</v>
      </c>
      <c r="AE454" s="5">
        <f>IF(A454="",0,IF(OR(WEEKDAY(A454,2)=7,COUNTIF(Festivos!$A$5:$A$451,A454)&gt;0),1,0))</f>
        <v>0</v>
      </c>
      <c r="AF454" s="5">
        <f>IF(A454="",0,IF(OR(WEEKDAY(A454+1,2)=7,COUNTIF(Festivos!$A$5:$A$451,A454+1)&gt;0),1,0))</f>
        <v>0</v>
      </c>
      <c r="AG454" s="9">
        <f>IF(A454="",0,VLOOKUP(A454,Parámetros!$A$18:$B$21,2,TRUE()))</f>
        <v>0</v>
      </c>
      <c r="AH454" s="20">
        <f t="shared" si="156"/>
        <v>0</v>
      </c>
      <c r="AI454" s="20">
        <f>MAX(0,MIN(AB454,Parámetros!$B$11)-MAX(X454,0))+MAX(0,MIN(AB454,1+Parámetros!$B$11)-MAX(X454,AD454))+MAX(0,MIN(AB454,2)-MAX(X454,1+AD454))</f>
        <v>0</v>
      </c>
      <c r="AJ454" s="20">
        <f t="shared" si="157"/>
        <v>0</v>
      </c>
      <c r="AK454" s="20">
        <f>AE454*(MAX(0,MIN(AB454,Parámetros!$B$11)-MAX(X454,0))+MAX(0,MIN(AB454,1)-MAX(X454,AD454)))+AF454*(MAX(0,MIN(AB454,1+Parámetros!$B$11)-MAX(X454,1))+MAX(0,MIN(AB454,2)-MAX(X454,1+AD454)))</f>
        <v>0</v>
      </c>
      <c r="AL454" s="20">
        <f t="shared" si="158"/>
        <v>0</v>
      </c>
      <c r="AM454" s="20">
        <f>MAX(0,MIN(AC454,Parámetros!$B$11)-MAX(AB454,0))+MAX(0,MIN(AC454,1+Parámetros!$B$11)-MAX(AB454,AD454))+MAX(0,MIN(AC454,2)-MAX(AB454,1+AD454))</f>
        <v>0</v>
      </c>
      <c r="AN454" s="20">
        <f t="shared" si="159"/>
        <v>0</v>
      </c>
      <c r="AO454" s="20">
        <f>AE454*(MAX(0,MIN(AC454,Parámetros!$B$11)-MAX(AB454,0))+MAX(0,MIN(AC454,1)-MAX(AB454,AD454)))+AF454*(MAX(0,MIN(AC454,1+Parámetros!$B$11)-MAX(AB454,1))+MAX(0,MIN(AC454,2)-MAX(AB454,1+AD454)))</f>
        <v>0</v>
      </c>
    </row>
    <row r="455" spans="1:41" x14ac:dyDescent="0.25">
      <c r="A455" s="15"/>
      <c r="B455" s="8"/>
      <c r="C455" s="5" t="str">
        <f>IF(B455="","",IFERROR(INDEX(Trabajadores!$B$5:$B$204,MATCH(B455,Trabajadores!$A$5:$A$204,0)),"Cédula no registrada"))</f>
        <v/>
      </c>
      <c r="D455" s="11"/>
      <c r="E455" s="11"/>
      <c r="F455" s="8"/>
      <c r="G455" s="18" t="str">
        <f>IF(A455="","",IFERROR(INDEX(Trabajadores!$E$5:$E$204,MATCH(B455,Trabajadores!$A$5:$A$204,0))/Parámetros!$B$6,0)+IF(IFERROR(INDEX(Trabajadores!$E$5:$E$204,MATCH(B455,Trabajadores!$A$5:$A$204,0)),"")="",Parámetros!$B$7,0))</f>
        <v/>
      </c>
      <c r="H455" s="5" t="str">
        <f t="shared" si="140"/>
        <v/>
      </c>
      <c r="I455" s="5" t="str">
        <f>IF(A455="","",IF(COUNTIF(Festivos!$A$5:$A$451,A455)&gt;0,"Festivo",IF(WEEKDAY(A455,2)=7,"Domingo",IF(AND(AF455=1,AC455&gt;1),IF(COUNTIF(Festivos!$A$5:$A$451,A455+1)&gt;0,"Festivo","Domingo")&amp;" desde las 00:00",""))))</f>
        <v/>
      </c>
      <c r="J455" s="19" t="str">
        <f t="shared" si="141"/>
        <v/>
      </c>
      <c r="K455" s="19" t="str">
        <f t="shared" si="142"/>
        <v/>
      </c>
      <c r="L455" s="19" t="str">
        <f t="shared" si="143"/>
        <v/>
      </c>
      <c r="M455" s="19" t="str">
        <f t="shared" si="144"/>
        <v/>
      </c>
      <c r="N455" s="19" t="str">
        <f t="shared" si="145"/>
        <v/>
      </c>
      <c r="O455" s="19" t="str">
        <f t="shared" si="146"/>
        <v/>
      </c>
      <c r="P455" s="19" t="str">
        <f t="shared" si="147"/>
        <v/>
      </c>
      <c r="Q455" s="19" t="str">
        <f t="shared" si="148"/>
        <v/>
      </c>
      <c r="R455" s="19" t="str">
        <f t="shared" si="149"/>
        <v/>
      </c>
      <c r="S455" s="17" t="str">
        <f>IF(B455="","",IFERROR(INDEX(Trabajadores!$G$5:$G$204,MATCH(B455,Trabajadores!$A$5:$A$204,0)),""))</f>
        <v/>
      </c>
      <c r="T455" s="17" t="str">
        <f>IF(OR(OR(A455="",D455="",E455=""),S455=""),"",ROUND(S455*(N(L455)*Parámetros!$B$8+N(M455)*(1+Parámetros!$B$9)+N(N455)*(1+Parámetros!$B$10)+N(O455)*(1+AG455)+N(P455)*(1+AG455+Parámetros!$B$8)+N(Q455)*(1+AG455+Parámetros!$B$9)+N(R455)*(1+AG455+Parámetros!$B$10)),0))</f>
        <v/>
      </c>
      <c r="U455" s="5" t="str">
        <f>IF(OR(A455="",D455="",E455=""),"",IF(N(M455)+N(N455)+N(Q455)+N(R455)&gt;Parámetros!$B$12,"Supera el límite de horas extras diarias",IF(C455="Cédula no registrada","Registre la cédula en «Trabajadores»","")))</f>
        <v/>
      </c>
      <c r="X455" s="20">
        <f t="shared" si="150"/>
        <v>0</v>
      </c>
      <c r="Y455" s="20">
        <f t="shared" si="151"/>
        <v>0</v>
      </c>
      <c r="Z455" s="20">
        <f t="shared" si="152"/>
        <v>0</v>
      </c>
      <c r="AA455" s="20">
        <f t="shared" si="153"/>
        <v>0</v>
      </c>
      <c r="AB455" s="20">
        <f t="shared" si="154"/>
        <v>0</v>
      </c>
      <c r="AC455" s="20">
        <f t="shared" si="155"/>
        <v>0</v>
      </c>
      <c r="AD455" s="20">
        <f>IF(A455="",21/24,MOD(VLOOKUP(A455,Parámetros!$A$24:$B$25,2,TRUE()),1))</f>
        <v>0.875</v>
      </c>
      <c r="AE455" s="5">
        <f>IF(A455="",0,IF(OR(WEEKDAY(A455,2)=7,COUNTIF(Festivos!$A$5:$A$451,A455)&gt;0),1,0))</f>
        <v>0</v>
      </c>
      <c r="AF455" s="5">
        <f>IF(A455="",0,IF(OR(WEEKDAY(A455+1,2)=7,COUNTIF(Festivos!$A$5:$A$451,A455+1)&gt;0),1,0))</f>
        <v>0</v>
      </c>
      <c r="AG455" s="9">
        <f>IF(A455="",0,VLOOKUP(A455,Parámetros!$A$18:$B$21,2,TRUE()))</f>
        <v>0</v>
      </c>
      <c r="AH455" s="20">
        <f t="shared" si="156"/>
        <v>0</v>
      </c>
      <c r="AI455" s="20">
        <f>MAX(0,MIN(AB455,Parámetros!$B$11)-MAX(X455,0))+MAX(0,MIN(AB455,1+Parámetros!$B$11)-MAX(X455,AD455))+MAX(0,MIN(AB455,2)-MAX(X455,1+AD455))</f>
        <v>0</v>
      </c>
      <c r="AJ455" s="20">
        <f t="shared" si="157"/>
        <v>0</v>
      </c>
      <c r="AK455" s="20">
        <f>AE455*(MAX(0,MIN(AB455,Parámetros!$B$11)-MAX(X455,0))+MAX(0,MIN(AB455,1)-MAX(X455,AD455)))+AF455*(MAX(0,MIN(AB455,1+Parámetros!$B$11)-MAX(X455,1))+MAX(0,MIN(AB455,2)-MAX(X455,1+AD455)))</f>
        <v>0</v>
      </c>
      <c r="AL455" s="20">
        <f t="shared" si="158"/>
        <v>0</v>
      </c>
      <c r="AM455" s="20">
        <f>MAX(0,MIN(AC455,Parámetros!$B$11)-MAX(AB455,0))+MAX(0,MIN(AC455,1+Parámetros!$B$11)-MAX(AB455,AD455))+MAX(0,MIN(AC455,2)-MAX(AB455,1+AD455))</f>
        <v>0</v>
      </c>
      <c r="AN455" s="20">
        <f t="shared" si="159"/>
        <v>0</v>
      </c>
      <c r="AO455" s="20">
        <f>AE455*(MAX(0,MIN(AC455,Parámetros!$B$11)-MAX(AB455,0))+MAX(0,MIN(AC455,1)-MAX(AB455,AD455)))+AF455*(MAX(0,MIN(AC455,1+Parámetros!$B$11)-MAX(AB455,1))+MAX(0,MIN(AC455,2)-MAX(AB455,1+AD455)))</f>
        <v>0</v>
      </c>
    </row>
    <row r="456" spans="1:41" x14ac:dyDescent="0.25">
      <c r="A456" s="15"/>
      <c r="B456" s="8"/>
      <c r="C456" s="5" t="str">
        <f>IF(B456="","",IFERROR(INDEX(Trabajadores!$B$5:$B$204,MATCH(B456,Trabajadores!$A$5:$A$204,0)),"Cédula no registrada"))</f>
        <v/>
      </c>
      <c r="D456" s="11"/>
      <c r="E456" s="11"/>
      <c r="F456" s="8"/>
      <c r="G456" s="18" t="str">
        <f>IF(A456="","",IFERROR(INDEX(Trabajadores!$E$5:$E$204,MATCH(B456,Trabajadores!$A$5:$A$204,0))/Parámetros!$B$6,0)+IF(IFERROR(INDEX(Trabajadores!$E$5:$E$204,MATCH(B456,Trabajadores!$A$5:$A$204,0)),"")="",Parámetros!$B$7,0))</f>
        <v/>
      </c>
      <c r="H456" s="5" t="str">
        <f t="shared" si="140"/>
        <v/>
      </c>
      <c r="I456" s="5" t="str">
        <f>IF(A456="","",IF(COUNTIF(Festivos!$A$5:$A$451,A456)&gt;0,"Festivo",IF(WEEKDAY(A456,2)=7,"Domingo",IF(AND(AF456=1,AC456&gt;1),IF(COUNTIF(Festivos!$A$5:$A$451,A456+1)&gt;0,"Festivo","Domingo")&amp;" desde las 00:00",""))))</f>
        <v/>
      </c>
      <c r="J456" s="19" t="str">
        <f t="shared" si="141"/>
        <v/>
      </c>
      <c r="K456" s="19" t="str">
        <f t="shared" si="142"/>
        <v/>
      </c>
      <c r="L456" s="19" t="str">
        <f t="shared" si="143"/>
        <v/>
      </c>
      <c r="M456" s="19" t="str">
        <f t="shared" si="144"/>
        <v/>
      </c>
      <c r="N456" s="19" t="str">
        <f t="shared" si="145"/>
        <v/>
      </c>
      <c r="O456" s="19" t="str">
        <f t="shared" si="146"/>
        <v/>
      </c>
      <c r="P456" s="19" t="str">
        <f t="shared" si="147"/>
        <v/>
      </c>
      <c r="Q456" s="19" t="str">
        <f t="shared" si="148"/>
        <v/>
      </c>
      <c r="R456" s="19" t="str">
        <f t="shared" si="149"/>
        <v/>
      </c>
      <c r="S456" s="17" t="str">
        <f>IF(B456="","",IFERROR(INDEX(Trabajadores!$G$5:$G$204,MATCH(B456,Trabajadores!$A$5:$A$204,0)),""))</f>
        <v/>
      </c>
      <c r="T456" s="17" t="str">
        <f>IF(OR(OR(A456="",D456="",E456=""),S456=""),"",ROUND(S456*(N(L456)*Parámetros!$B$8+N(M456)*(1+Parámetros!$B$9)+N(N456)*(1+Parámetros!$B$10)+N(O456)*(1+AG456)+N(P456)*(1+AG456+Parámetros!$B$8)+N(Q456)*(1+AG456+Parámetros!$B$9)+N(R456)*(1+AG456+Parámetros!$B$10)),0))</f>
        <v/>
      </c>
      <c r="U456" s="5" t="str">
        <f>IF(OR(A456="",D456="",E456=""),"",IF(N(M456)+N(N456)+N(Q456)+N(R456)&gt;Parámetros!$B$12,"Supera el límite de horas extras diarias",IF(C456="Cédula no registrada","Registre la cédula en «Trabajadores»","")))</f>
        <v/>
      </c>
      <c r="X456" s="20">
        <f t="shared" si="150"/>
        <v>0</v>
      </c>
      <c r="Y456" s="20">
        <f t="shared" si="151"/>
        <v>0</v>
      </c>
      <c r="Z456" s="20">
        <f t="shared" si="152"/>
        <v>0</v>
      </c>
      <c r="AA456" s="20">
        <f t="shared" si="153"/>
        <v>0</v>
      </c>
      <c r="AB456" s="20">
        <f t="shared" si="154"/>
        <v>0</v>
      </c>
      <c r="AC456" s="20">
        <f t="shared" si="155"/>
        <v>0</v>
      </c>
      <c r="AD456" s="20">
        <f>IF(A456="",21/24,MOD(VLOOKUP(A456,Parámetros!$A$24:$B$25,2,TRUE()),1))</f>
        <v>0.875</v>
      </c>
      <c r="AE456" s="5">
        <f>IF(A456="",0,IF(OR(WEEKDAY(A456,2)=7,COUNTIF(Festivos!$A$5:$A$451,A456)&gt;0),1,0))</f>
        <v>0</v>
      </c>
      <c r="AF456" s="5">
        <f>IF(A456="",0,IF(OR(WEEKDAY(A456+1,2)=7,COUNTIF(Festivos!$A$5:$A$451,A456+1)&gt;0),1,0))</f>
        <v>0</v>
      </c>
      <c r="AG456" s="9">
        <f>IF(A456="",0,VLOOKUP(A456,Parámetros!$A$18:$B$21,2,TRUE()))</f>
        <v>0</v>
      </c>
      <c r="AH456" s="20">
        <f t="shared" si="156"/>
        <v>0</v>
      </c>
      <c r="AI456" s="20">
        <f>MAX(0,MIN(AB456,Parámetros!$B$11)-MAX(X456,0))+MAX(0,MIN(AB456,1+Parámetros!$B$11)-MAX(X456,AD456))+MAX(0,MIN(AB456,2)-MAX(X456,1+AD456))</f>
        <v>0</v>
      </c>
      <c r="AJ456" s="20">
        <f t="shared" si="157"/>
        <v>0</v>
      </c>
      <c r="AK456" s="20">
        <f>AE456*(MAX(0,MIN(AB456,Parámetros!$B$11)-MAX(X456,0))+MAX(0,MIN(AB456,1)-MAX(X456,AD456)))+AF456*(MAX(0,MIN(AB456,1+Parámetros!$B$11)-MAX(X456,1))+MAX(0,MIN(AB456,2)-MAX(X456,1+AD456)))</f>
        <v>0</v>
      </c>
      <c r="AL456" s="20">
        <f t="shared" si="158"/>
        <v>0</v>
      </c>
      <c r="AM456" s="20">
        <f>MAX(0,MIN(AC456,Parámetros!$B$11)-MAX(AB456,0))+MAX(0,MIN(AC456,1+Parámetros!$B$11)-MAX(AB456,AD456))+MAX(0,MIN(AC456,2)-MAX(AB456,1+AD456))</f>
        <v>0</v>
      </c>
      <c r="AN456" s="20">
        <f t="shared" si="159"/>
        <v>0</v>
      </c>
      <c r="AO456" s="20">
        <f>AE456*(MAX(0,MIN(AC456,Parámetros!$B$11)-MAX(AB456,0))+MAX(0,MIN(AC456,1)-MAX(AB456,AD456)))+AF456*(MAX(0,MIN(AC456,1+Parámetros!$B$11)-MAX(AB456,1))+MAX(0,MIN(AC456,2)-MAX(AB456,1+AD456)))</f>
        <v>0</v>
      </c>
    </row>
    <row r="457" spans="1:41" x14ac:dyDescent="0.25">
      <c r="A457" s="15"/>
      <c r="B457" s="8"/>
      <c r="C457" s="5" t="str">
        <f>IF(B457="","",IFERROR(INDEX(Trabajadores!$B$5:$B$204,MATCH(B457,Trabajadores!$A$5:$A$204,0)),"Cédula no registrada"))</f>
        <v/>
      </c>
      <c r="D457" s="11"/>
      <c r="E457" s="11"/>
      <c r="F457" s="8"/>
      <c r="G457" s="18" t="str">
        <f>IF(A457="","",IFERROR(INDEX(Trabajadores!$E$5:$E$204,MATCH(B457,Trabajadores!$A$5:$A$204,0))/Parámetros!$B$6,0)+IF(IFERROR(INDEX(Trabajadores!$E$5:$E$204,MATCH(B457,Trabajadores!$A$5:$A$204,0)),"")="",Parámetros!$B$7,0))</f>
        <v/>
      </c>
      <c r="H457" s="5" t="str">
        <f t="shared" si="140"/>
        <v/>
      </c>
      <c r="I457" s="5" t="str">
        <f>IF(A457="","",IF(COUNTIF(Festivos!$A$5:$A$451,A457)&gt;0,"Festivo",IF(WEEKDAY(A457,2)=7,"Domingo",IF(AND(AF457=1,AC457&gt;1),IF(COUNTIF(Festivos!$A$5:$A$451,A457+1)&gt;0,"Festivo","Domingo")&amp;" desde las 00:00",""))))</f>
        <v/>
      </c>
      <c r="J457" s="19" t="str">
        <f t="shared" si="141"/>
        <v/>
      </c>
      <c r="K457" s="19" t="str">
        <f t="shared" si="142"/>
        <v/>
      </c>
      <c r="L457" s="19" t="str">
        <f t="shared" si="143"/>
        <v/>
      </c>
      <c r="M457" s="19" t="str">
        <f t="shared" si="144"/>
        <v/>
      </c>
      <c r="N457" s="19" t="str">
        <f t="shared" si="145"/>
        <v/>
      </c>
      <c r="O457" s="19" t="str">
        <f t="shared" si="146"/>
        <v/>
      </c>
      <c r="P457" s="19" t="str">
        <f t="shared" si="147"/>
        <v/>
      </c>
      <c r="Q457" s="19" t="str">
        <f t="shared" si="148"/>
        <v/>
      </c>
      <c r="R457" s="19" t="str">
        <f t="shared" si="149"/>
        <v/>
      </c>
      <c r="S457" s="17" t="str">
        <f>IF(B457="","",IFERROR(INDEX(Trabajadores!$G$5:$G$204,MATCH(B457,Trabajadores!$A$5:$A$204,0)),""))</f>
        <v/>
      </c>
      <c r="T457" s="17" t="str">
        <f>IF(OR(OR(A457="",D457="",E457=""),S457=""),"",ROUND(S457*(N(L457)*Parámetros!$B$8+N(M457)*(1+Parámetros!$B$9)+N(N457)*(1+Parámetros!$B$10)+N(O457)*(1+AG457)+N(P457)*(1+AG457+Parámetros!$B$8)+N(Q457)*(1+AG457+Parámetros!$B$9)+N(R457)*(1+AG457+Parámetros!$B$10)),0))</f>
        <v/>
      </c>
      <c r="U457" s="5" t="str">
        <f>IF(OR(A457="",D457="",E457=""),"",IF(N(M457)+N(N457)+N(Q457)+N(R457)&gt;Parámetros!$B$12,"Supera el límite de horas extras diarias",IF(C457="Cédula no registrada","Registre la cédula en «Trabajadores»","")))</f>
        <v/>
      </c>
      <c r="X457" s="20">
        <f t="shared" si="150"/>
        <v>0</v>
      </c>
      <c r="Y457" s="20">
        <f t="shared" si="151"/>
        <v>0</v>
      </c>
      <c r="Z457" s="20">
        <f t="shared" si="152"/>
        <v>0</v>
      </c>
      <c r="AA457" s="20">
        <f t="shared" si="153"/>
        <v>0</v>
      </c>
      <c r="AB457" s="20">
        <f t="shared" si="154"/>
        <v>0</v>
      </c>
      <c r="AC457" s="20">
        <f t="shared" si="155"/>
        <v>0</v>
      </c>
      <c r="AD457" s="20">
        <f>IF(A457="",21/24,MOD(VLOOKUP(A457,Parámetros!$A$24:$B$25,2,TRUE()),1))</f>
        <v>0.875</v>
      </c>
      <c r="AE457" s="5">
        <f>IF(A457="",0,IF(OR(WEEKDAY(A457,2)=7,COUNTIF(Festivos!$A$5:$A$451,A457)&gt;0),1,0))</f>
        <v>0</v>
      </c>
      <c r="AF457" s="5">
        <f>IF(A457="",0,IF(OR(WEEKDAY(A457+1,2)=7,COUNTIF(Festivos!$A$5:$A$451,A457+1)&gt;0),1,0))</f>
        <v>0</v>
      </c>
      <c r="AG457" s="9">
        <f>IF(A457="",0,VLOOKUP(A457,Parámetros!$A$18:$B$21,2,TRUE()))</f>
        <v>0</v>
      </c>
      <c r="AH457" s="20">
        <f t="shared" si="156"/>
        <v>0</v>
      </c>
      <c r="AI457" s="20">
        <f>MAX(0,MIN(AB457,Parámetros!$B$11)-MAX(X457,0))+MAX(0,MIN(AB457,1+Parámetros!$B$11)-MAX(X457,AD457))+MAX(0,MIN(AB457,2)-MAX(X457,1+AD457))</f>
        <v>0</v>
      </c>
      <c r="AJ457" s="20">
        <f t="shared" si="157"/>
        <v>0</v>
      </c>
      <c r="AK457" s="20">
        <f>AE457*(MAX(0,MIN(AB457,Parámetros!$B$11)-MAX(X457,0))+MAX(0,MIN(AB457,1)-MAX(X457,AD457)))+AF457*(MAX(0,MIN(AB457,1+Parámetros!$B$11)-MAX(X457,1))+MAX(0,MIN(AB457,2)-MAX(X457,1+AD457)))</f>
        <v>0</v>
      </c>
      <c r="AL457" s="20">
        <f t="shared" si="158"/>
        <v>0</v>
      </c>
      <c r="AM457" s="20">
        <f>MAX(0,MIN(AC457,Parámetros!$B$11)-MAX(AB457,0))+MAX(0,MIN(AC457,1+Parámetros!$B$11)-MAX(AB457,AD457))+MAX(0,MIN(AC457,2)-MAX(AB457,1+AD457))</f>
        <v>0</v>
      </c>
      <c r="AN457" s="20">
        <f t="shared" si="159"/>
        <v>0</v>
      </c>
      <c r="AO457" s="20">
        <f>AE457*(MAX(0,MIN(AC457,Parámetros!$B$11)-MAX(AB457,0))+MAX(0,MIN(AC457,1)-MAX(AB457,AD457)))+AF457*(MAX(0,MIN(AC457,1+Parámetros!$B$11)-MAX(AB457,1))+MAX(0,MIN(AC457,2)-MAX(AB457,1+AD457)))</f>
        <v>0</v>
      </c>
    </row>
    <row r="458" spans="1:41" x14ac:dyDescent="0.25">
      <c r="A458" s="15"/>
      <c r="B458" s="8"/>
      <c r="C458" s="5" t="str">
        <f>IF(B458="","",IFERROR(INDEX(Trabajadores!$B$5:$B$204,MATCH(B458,Trabajadores!$A$5:$A$204,0)),"Cédula no registrada"))</f>
        <v/>
      </c>
      <c r="D458" s="11"/>
      <c r="E458" s="11"/>
      <c r="F458" s="8"/>
      <c r="G458" s="18" t="str">
        <f>IF(A458="","",IFERROR(INDEX(Trabajadores!$E$5:$E$204,MATCH(B458,Trabajadores!$A$5:$A$204,0))/Parámetros!$B$6,0)+IF(IFERROR(INDEX(Trabajadores!$E$5:$E$204,MATCH(B458,Trabajadores!$A$5:$A$204,0)),"")="",Parámetros!$B$7,0))</f>
        <v/>
      </c>
      <c r="H458" s="5" t="str">
        <f t="shared" si="140"/>
        <v/>
      </c>
      <c r="I458" s="5" t="str">
        <f>IF(A458="","",IF(COUNTIF(Festivos!$A$5:$A$451,A458)&gt;0,"Festivo",IF(WEEKDAY(A458,2)=7,"Domingo",IF(AND(AF458=1,AC458&gt;1),IF(COUNTIF(Festivos!$A$5:$A$451,A458+1)&gt;0,"Festivo","Domingo")&amp;" desde las 00:00",""))))</f>
        <v/>
      </c>
      <c r="J458" s="19" t="str">
        <f t="shared" si="141"/>
        <v/>
      </c>
      <c r="K458" s="19" t="str">
        <f t="shared" si="142"/>
        <v/>
      </c>
      <c r="L458" s="19" t="str">
        <f t="shared" si="143"/>
        <v/>
      </c>
      <c r="M458" s="19" t="str">
        <f t="shared" si="144"/>
        <v/>
      </c>
      <c r="N458" s="19" t="str">
        <f t="shared" si="145"/>
        <v/>
      </c>
      <c r="O458" s="19" t="str">
        <f t="shared" si="146"/>
        <v/>
      </c>
      <c r="P458" s="19" t="str">
        <f t="shared" si="147"/>
        <v/>
      </c>
      <c r="Q458" s="19" t="str">
        <f t="shared" si="148"/>
        <v/>
      </c>
      <c r="R458" s="19" t="str">
        <f t="shared" si="149"/>
        <v/>
      </c>
      <c r="S458" s="17" t="str">
        <f>IF(B458="","",IFERROR(INDEX(Trabajadores!$G$5:$G$204,MATCH(B458,Trabajadores!$A$5:$A$204,0)),""))</f>
        <v/>
      </c>
      <c r="T458" s="17" t="str">
        <f>IF(OR(OR(A458="",D458="",E458=""),S458=""),"",ROUND(S458*(N(L458)*Parámetros!$B$8+N(M458)*(1+Parámetros!$B$9)+N(N458)*(1+Parámetros!$B$10)+N(O458)*(1+AG458)+N(P458)*(1+AG458+Parámetros!$B$8)+N(Q458)*(1+AG458+Parámetros!$B$9)+N(R458)*(1+AG458+Parámetros!$B$10)),0))</f>
        <v/>
      </c>
      <c r="U458" s="5" t="str">
        <f>IF(OR(A458="",D458="",E458=""),"",IF(N(M458)+N(N458)+N(Q458)+N(R458)&gt;Parámetros!$B$12,"Supera el límite de horas extras diarias",IF(C458="Cédula no registrada","Registre la cédula en «Trabajadores»","")))</f>
        <v/>
      </c>
      <c r="X458" s="20">
        <f t="shared" si="150"/>
        <v>0</v>
      </c>
      <c r="Y458" s="20">
        <f t="shared" si="151"/>
        <v>0</v>
      </c>
      <c r="Z458" s="20">
        <f t="shared" si="152"/>
        <v>0</v>
      </c>
      <c r="AA458" s="20">
        <f t="shared" si="153"/>
        <v>0</v>
      </c>
      <c r="AB458" s="20">
        <f t="shared" si="154"/>
        <v>0</v>
      </c>
      <c r="AC458" s="20">
        <f t="shared" si="155"/>
        <v>0</v>
      </c>
      <c r="AD458" s="20">
        <f>IF(A458="",21/24,MOD(VLOOKUP(A458,Parámetros!$A$24:$B$25,2,TRUE()),1))</f>
        <v>0.875</v>
      </c>
      <c r="AE458" s="5">
        <f>IF(A458="",0,IF(OR(WEEKDAY(A458,2)=7,COUNTIF(Festivos!$A$5:$A$451,A458)&gt;0),1,0))</f>
        <v>0</v>
      </c>
      <c r="AF458" s="5">
        <f>IF(A458="",0,IF(OR(WEEKDAY(A458+1,2)=7,COUNTIF(Festivos!$A$5:$A$451,A458+1)&gt;0),1,0))</f>
        <v>0</v>
      </c>
      <c r="AG458" s="9">
        <f>IF(A458="",0,VLOOKUP(A458,Parámetros!$A$18:$B$21,2,TRUE()))</f>
        <v>0</v>
      </c>
      <c r="AH458" s="20">
        <f t="shared" si="156"/>
        <v>0</v>
      </c>
      <c r="AI458" s="20">
        <f>MAX(0,MIN(AB458,Parámetros!$B$11)-MAX(X458,0))+MAX(0,MIN(AB458,1+Parámetros!$B$11)-MAX(X458,AD458))+MAX(0,MIN(AB458,2)-MAX(X458,1+AD458))</f>
        <v>0</v>
      </c>
      <c r="AJ458" s="20">
        <f t="shared" si="157"/>
        <v>0</v>
      </c>
      <c r="AK458" s="20">
        <f>AE458*(MAX(0,MIN(AB458,Parámetros!$B$11)-MAX(X458,0))+MAX(0,MIN(AB458,1)-MAX(X458,AD458)))+AF458*(MAX(0,MIN(AB458,1+Parámetros!$B$11)-MAX(X458,1))+MAX(0,MIN(AB458,2)-MAX(X458,1+AD458)))</f>
        <v>0</v>
      </c>
      <c r="AL458" s="20">
        <f t="shared" si="158"/>
        <v>0</v>
      </c>
      <c r="AM458" s="20">
        <f>MAX(0,MIN(AC458,Parámetros!$B$11)-MAX(AB458,0))+MAX(0,MIN(AC458,1+Parámetros!$B$11)-MAX(AB458,AD458))+MAX(0,MIN(AC458,2)-MAX(AB458,1+AD458))</f>
        <v>0</v>
      </c>
      <c r="AN458" s="20">
        <f t="shared" si="159"/>
        <v>0</v>
      </c>
      <c r="AO458" s="20">
        <f>AE458*(MAX(0,MIN(AC458,Parámetros!$B$11)-MAX(AB458,0))+MAX(0,MIN(AC458,1)-MAX(AB458,AD458)))+AF458*(MAX(0,MIN(AC458,1+Parámetros!$B$11)-MAX(AB458,1))+MAX(0,MIN(AC458,2)-MAX(AB458,1+AD458)))</f>
        <v>0</v>
      </c>
    </row>
    <row r="459" spans="1:41" x14ac:dyDescent="0.25">
      <c r="A459" s="15"/>
      <c r="B459" s="8"/>
      <c r="C459" s="5" t="str">
        <f>IF(B459="","",IFERROR(INDEX(Trabajadores!$B$5:$B$204,MATCH(B459,Trabajadores!$A$5:$A$204,0)),"Cédula no registrada"))</f>
        <v/>
      </c>
      <c r="D459" s="11"/>
      <c r="E459" s="11"/>
      <c r="F459" s="8"/>
      <c r="G459" s="18" t="str">
        <f>IF(A459="","",IFERROR(INDEX(Trabajadores!$E$5:$E$204,MATCH(B459,Trabajadores!$A$5:$A$204,0))/Parámetros!$B$6,0)+IF(IFERROR(INDEX(Trabajadores!$E$5:$E$204,MATCH(B459,Trabajadores!$A$5:$A$204,0)),"")="",Parámetros!$B$7,0))</f>
        <v/>
      </c>
      <c r="H459" s="5" t="str">
        <f t="shared" si="140"/>
        <v/>
      </c>
      <c r="I459" s="5" t="str">
        <f>IF(A459="","",IF(COUNTIF(Festivos!$A$5:$A$451,A459)&gt;0,"Festivo",IF(WEEKDAY(A459,2)=7,"Domingo",IF(AND(AF459=1,AC459&gt;1),IF(COUNTIF(Festivos!$A$5:$A$451,A459+1)&gt;0,"Festivo","Domingo")&amp;" desde las 00:00",""))))</f>
        <v/>
      </c>
      <c r="J459" s="19" t="str">
        <f t="shared" si="141"/>
        <v/>
      </c>
      <c r="K459" s="19" t="str">
        <f t="shared" si="142"/>
        <v/>
      </c>
      <c r="L459" s="19" t="str">
        <f t="shared" si="143"/>
        <v/>
      </c>
      <c r="M459" s="19" t="str">
        <f t="shared" si="144"/>
        <v/>
      </c>
      <c r="N459" s="19" t="str">
        <f t="shared" si="145"/>
        <v/>
      </c>
      <c r="O459" s="19" t="str">
        <f t="shared" si="146"/>
        <v/>
      </c>
      <c r="P459" s="19" t="str">
        <f t="shared" si="147"/>
        <v/>
      </c>
      <c r="Q459" s="19" t="str">
        <f t="shared" si="148"/>
        <v/>
      </c>
      <c r="R459" s="19" t="str">
        <f t="shared" si="149"/>
        <v/>
      </c>
      <c r="S459" s="17" t="str">
        <f>IF(B459="","",IFERROR(INDEX(Trabajadores!$G$5:$G$204,MATCH(B459,Trabajadores!$A$5:$A$204,0)),""))</f>
        <v/>
      </c>
      <c r="T459" s="17" t="str">
        <f>IF(OR(OR(A459="",D459="",E459=""),S459=""),"",ROUND(S459*(N(L459)*Parámetros!$B$8+N(M459)*(1+Parámetros!$B$9)+N(N459)*(1+Parámetros!$B$10)+N(O459)*(1+AG459)+N(P459)*(1+AG459+Parámetros!$B$8)+N(Q459)*(1+AG459+Parámetros!$B$9)+N(R459)*(1+AG459+Parámetros!$B$10)),0))</f>
        <v/>
      </c>
      <c r="U459" s="5" t="str">
        <f>IF(OR(A459="",D459="",E459=""),"",IF(N(M459)+N(N459)+N(Q459)+N(R459)&gt;Parámetros!$B$12,"Supera el límite de horas extras diarias",IF(C459="Cédula no registrada","Registre la cédula en «Trabajadores»","")))</f>
        <v/>
      </c>
      <c r="X459" s="20">
        <f t="shared" si="150"/>
        <v>0</v>
      </c>
      <c r="Y459" s="20">
        <f t="shared" si="151"/>
        <v>0</v>
      </c>
      <c r="Z459" s="20">
        <f t="shared" si="152"/>
        <v>0</v>
      </c>
      <c r="AA459" s="20">
        <f t="shared" si="153"/>
        <v>0</v>
      </c>
      <c r="AB459" s="20">
        <f t="shared" si="154"/>
        <v>0</v>
      </c>
      <c r="AC459" s="20">
        <f t="shared" si="155"/>
        <v>0</v>
      </c>
      <c r="AD459" s="20">
        <f>IF(A459="",21/24,MOD(VLOOKUP(A459,Parámetros!$A$24:$B$25,2,TRUE()),1))</f>
        <v>0.875</v>
      </c>
      <c r="AE459" s="5">
        <f>IF(A459="",0,IF(OR(WEEKDAY(A459,2)=7,COUNTIF(Festivos!$A$5:$A$451,A459)&gt;0),1,0))</f>
        <v>0</v>
      </c>
      <c r="AF459" s="5">
        <f>IF(A459="",0,IF(OR(WEEKDAY(A459+1,2)=7,COUNTIF(Festivos!$A$5:$A$451,A459+1)&gt;0),1,0))</f>
        <v>0</v>
      </c>
      <c r="AG459" s="9">
        <f>IF(A459="",0,VLOOKUP(A459,Parámetros!$A$18:$B$21,2,TRUE()))</f>
        <v>0</v>
      </c>
      <c r="AH459" s="20">
        <f t="shared" si="156"/>
        <v>0</v>
      </c>
      <c r="AI459" s="20">
        <f>MAX(0,MIN(AB459,Parámetros!$B$11)-MAX(X459,0))+MAX(0,MIN(AB459,1+Parámetros!$B$11)-MAX(X459,AD459))+MAX(0,MIN(AB459,2)-MAX(X459,1+AD459))</f>
        <v>0</v>
      </c>
      <c r="AJ459" s="20">
        <f t="shared" si="157"/>
        <v>0</v>
      </c>
      <c r="AK459" s="20">
        <f>AE459*(MAX(0,MIN(AB459,Parámetros!$B$11)-MAX(X459,0))+MAX(0,MIN(AB459,1)-MAX(X459,AD459)))+AF459*(MAX(0,MIN(AB459,1+Parámetros!$B$11)-MAX(X459,1))+MAX(0,MIN(AB459,2)-MAX(X459,1+AD459)))</f>
        <v>0</v>
      </c>
      <c r="AL459" s="20">
        <f t="shared" si="158"/>
        <v>0</v>
      </c>
      <c r="AM459" s="20">
        <f>MAX(0,MIN(AC459,Parámetros!$B$11)-MAX(AB459,0))+MAX(0,MIN(AC459,1+Parámetros!$B$11)-MAX(AB459,AD459))+MAX(0,MIN(AC459,2)-MAX(AB459,1+AD459))</f>
        <v>0</v>
      </c>
      <c r="AN459" s="20">
        <f t="shared" si="159"/>
        <v>0</v>
      </c>
      <c r="AO459" s="20">
        <f>AE459*(MAX(0,MIN(AC459,Parámetros!$B$11)-MAX(AB459,0))+MAX(0,MIN(AC459,1)-MAX(AB459,AD459)))+AF459*(MAX(0,MIN(AC459,1+Parámetros!$B$11)-MAX(AB459,1))+MAX(0,MIN(AC459,2)-MAX(AB459,1+AD459)))</f>
        <v>0</v>
      </c>
    </row>
    <row r="460" spans="1:41" x14ac:dyDescent="0.25">
      <c r="A460" s="15"/>
      <c r="B460" s="8"/>
      <c r="C460" s="5" t="str">
        <f>IF(B460="","",IFERROR(INDEX(Trabajadores!$B$5:$B$204,MATCH(B460,Trabajadores!$A$5:$A$204,0)),"Cédula no registrada"))</f>
        <v/>
      </c>
      <c r="D460" s="11"/>
      <c r="E460" s="11"/>
      <c r="F460" s="8"/>
      <c r="G460" s="18" t="str">
        <f>IF(A460="","",IFERROR(INDEX(Trabajadores!$E$5:$E$204,MATCH(B460,Trabajadores!$A$5:$A$204,0))/Parámetros!$B$6,0)+IF(IFERROR(INDEX(Trabajadores!$E$5:$E$204,MATCH(B460,Trabajadores!$A$5:$A$204,0)),"")="",Parámetros!$B$7,0))</f>
        <v/>
      </c>
      <c r="H460" s="5" t="str">
        <f t="shared" si="140"/>
        <v/>
      </c>
      <c r="I460" s="5" t="str">
        <f>IF(A460="","",IF(COUNTIF(Festivos!$A$5:$A$451,A460)&gt;0,"Festivo",IF(WEEKDAY(A460,2)=7,"Domingo",IF(AND(AF460=1,AC460&gt;1),IF(COUNTIF(Festivos!$A$5:$A$451,A460+1)&gt;0,"Festivo","Domingo")&amp;" desde las 00:00",""))))</f>
        <v/>
      </c>
      <c r="J460" s="19" t="str">
        <f t="shared" si="141"/>
        <v/>
      </c>
      <c r="K460" s="19" t="str">
        <f t="shared" si="142"/>
        <v/>
      </c>
      <c r="L460" s="19" t="str">
        <f t="shared" si="143"/>
        <v/>
      </c>
      <c r="M460" s="19" t="str">
        <f t="shared" si="144"/>
        <v/>
      </c>
      <c r="N460" s="19" t="str">
        <f t="shared" si="145"/>
        <v/>
      </c>
      <c r="O460" s="19" t="str">
        <f t="shared" si="146"/>
        <v/>
      </c>
      <c r="P460" s="19" t="str">
        <f t="shared" si="147"/>
        <v/>
      </c>
      <c r="Q460" s="19" t="str">
        <f t="shared" si="148"/>
        <v/>
      </c>
      <c r="R460" s="19" t="str">
        <f t="shared" si="149"/>
        <v/>
      </c>
      <c r="S460" s="17" t="str">
        <f>IF(B460="","",IFERROR(INDEX(Trabajadores!$G$5:$G$204,MATCH(B460,Trabajadores!$A$5:$A$204,0)),""))</f>
        <v/>
      </c>
      <c r="T460" s="17" t="str">
        <f>IF(OR(OR(A460="",D460="",E460=""),S460=""),"",ROUND(S460*(N(L460)*Parámetros!$B$8+N(M460)*(1+Parámetros!$B$9)+N(N460)*(1+Parámetros!$B$10)+N(O460)*(1+AG460)+N(P460)*(1+AG460+Parámetros!$B$8)+N(Q460)*(1+AG460+Parámetros!$B$9)+N(R460)*(1+AG460+Parámetros!$B$10)),0))</f>
        <v/>
      </c>
      <c r="U460" s="5" t="str">
        <f>IF(OR(A460="",D460="",E460=""),"",IF(N(M460)+N(N460)+N(Q460)+N(R460)&gt;Parámetros!$B$12,"Supera el límite de horas extras diarias",IF(C460="Cédula no registrada","Registre la cédula en «Trabajadores»","")))</f>
        <v/>
      </c>
      <c r="X460" s="20">
        <f t="shared" si="150"/>
        <v>0</v>
      </c>
      <c r="Y460" s="20">
        <f t="shared" si="151"/>
        <v>0</v>
      </c>
      <c r="Z460" s="20">
        <f t="shared" si="152"/>
        <v>0</v>
      </c>
      <c r="AA460" s="20">
        <f t="shared" si="153"/>
        <v>0</v>
      </c>
      <c r="AB460" s="20">
        <f t="shared" si="154"/>
        <v>0</v>
      </c>
      <c r="AC460" s="20">
        <f t="shared" si="155"/>
        <v>0</v>
      </c>
      <c r="AD460" s="20">
        <f>IF(A460="",21/24,MOD(VLOOKUP(A460,Parámetros!$A$24:$B$25,2,TRUE()),1))</f>
        <v>0.875</v>
      </c>
      <c r="AE460" s="5">
        <f>IF(A460="",0,IF(OR(WEEKDAY(A460,2)=7,COUNTIF(Festivos!$A$5:$A$451,A460)&gt;0),1,0))</f>
        <v>0</v>
      </c>
      <c r="AF460" s="5">
        <f>IF(A460="",0,IF(OR(WEEKDAY(A460+1,2)=7,COUNTIF(Festivos!$A$5:$A$451,A460+1)&gt;0),1,0))</f>
        <v>0</v>
      </c>
      <c r="AG460" s="9">
        <f>IF(A460="",0,VLOOKUP(A460,Parámetros!$A$18:$B$21,2,TRUE()))</f>
        <v>0</v>
      </c>
      <c r="AH460" s="20">
        <f t="shared" si="156"/>
        <v>0</v>
      </c>
      <c r="AI460" s="20">
        <f>MAX(0,MIN(AB460,Parámetros!$B$11)-MAX(X460,0))+MAX(0,MIN(AB460,1+Parámetros!$B$11)-MAX(X460,AD460))+MAX(0,MIN(AB460,2)-MAX(X460,1+AD460))</f>
        <v>0</v>
      </c>
      <c r="AJ460" s="20">
        <f t="shared" si="157"/>
        <v>0</v>
      </c>
      <c r="AK460" s="20">
        <f>AE460*(MAX(0,MIN(AB460,Parámetros!$B$11)-MAX(X460,0))+MAX(0,MIN(AB460,1)-MAX(X460,AD460)))+AF460*(MAX(0,MIN(AB460,1+Parámetros!$B$11)-MAX(X460,1))+MAX(0,MIN(AB460,2)-MAX(X460,1+AD460)))</f>
        <v>0</v>
      </c>
      <c r="AL460" s="20">
        <f t="shared" si="158"/>
        <v>0</v>
      </c>
      <c r="AM460" s="20">
        <f>MAX(0,MIN(AC460,Parámetros!$B$11)-MAX(AB460,0))+MAX(0,MIN(AC460,1+Parámetros!$B$11)-MAX(AB460,AD460))+MAX(0,MIN(AC460,2)-MAX(AB460,1+AD460))</f>
        <v>0</v>
      </c>
      <c r="AN460" s="20">
        <f t="shared" si="159"/>
        <v>0</v>
      </c>
      <c r="AO460" s="20">
        <f>AE460*(MAX(0,MIN(AC460,Parámetros!$B$11)-MAX(AB460,0))+MAX(0,MIN(AC460,1)-MAX(AB460,AD460)))+AF460*(MAX(0,MIN(AC460,1+Parámetros!$B$11)-MAX(AB460,1))+MAX(0,MIN(AC460,2)-MAX(AB460,1+AD460)))</f>
        <v>0</v>
      </c>
    </row>
    <row r="461" spans="1:41" x14ac:dyDescent="0.25">
      <c r="A461" s="15"/>
      <c r="B461" s="8"/>
      <c r="C461" s="5" t="str">
        <f>IF(B461="","",IFERROR(INDEX(Trabajadores!$B$5:$B$204,MATCH(B461,Trabajadores!$A$5:$A$204,0)),"Cédula no registrada"))</f>
        <v/>
      </c>
      <c r="D461" s="11"/>
      <c r="E461" s="11"/>
      <c r="F461" s="8"/>
      <c r="G461" s="18" t="str">
        <f>IF(A461="","",IFERROR(INDEX(Trabajadores!$E$5:$E$204,MATCH(B461,Trabajadores!$A$5:$A$204,0))/Parámetros!$B$6,0)+IF(IFERROR(INDEX(Trabajadores!$E$5:$E$204,MATCH(B461,Trabajadores!$A$5:$A$204,0)),"")="",Parámetros!$B$7,0))</f>
        <v/>
      </c>
      <c r="H461" s="5" t="str">
        <f t="shared" si="140"/>
        <v/>
      </c>
      <c r="I461" s="5" t="str">
        <f>IF(A461="","",IF(COUNTIF(Festivos!$A$5:$A$451,A461)&gt;0,"Festivo",IF(WEEKDAY(A461,2)=7,"Domingo",IF(AND(AF461=1,AC461&gt;1),IF(COUNTIF(Festivos!$A$5:$A$451,A461+1)&gt;0,"Festivo","Domingo")&amp;" desde las 00:00",""))))</f>
        <v/>
      </c>
      <c r="J461" s="19" t="str">
        <f t="shared" si="141"/>
        <v/>
      </c>
      <c r="K461" s="19" t="str">
        <f t="shared" si="142"/>
        <v/>
      </c>
      <c r="L461" s="19" t="str">
        <f t="shared" si="143"/>
        <v/>
      </c>
      <c r="M461" s="19" t="str">
        <f t="shared" si="144"/>
        <v/>
      </c>
      <c r="N461" s="19" t="str">
        <f t="shared" si="145"/>
        <v/>
      </c>
      <c r="O461" s="19" t="str">
        <f t="shared" si="146"/>
        <v/>
      </c>
      <c r="P461" s="19" t="str">
        <f t="shared" si="147"/>
        <v/>
      </c>
      <c r="Q461" s="19" t="str">
        <f t="shared" si="148"/>
        <v/>
      </c>
      <c r="R461" s="19" t="str">
        <f t="shared" si="149"/>
        <v/>
      </c>
      <c r="S461" s="17" t="str">
        <f>IF(B461="","",IFERROR(INDEX(Trabajadores!$G$5:$G$204,MATCH(B461,Trabajadores!$A$5:$A$204,0)),""))</f>
        <v/>
      </c>
      <c r="T461" s="17" t="str">
        <f>IF(OR(OR(A461="",D461="",E461=""),S461=""),"",ROUND(S461*(N(L461)*Parámetros!$B$8+N(M461)*(1+Parámetros!$B$9)+N(N461)*(1+Parámetros!$B$10)+N(O461)*(1+AG461)+N(P461)*(1+AG461+Parámetros!$B$8)+N(Q461)*(1+AG461+Parámetros!$B$9)+N(R461)*(1+AG461+Parámetros!$B$10)),0))</f>
        <v/>
      </c>
      <c r="U461" s="5" t="str">
        <f>IF(OR(A461="",D461="",E461=""),"",IF(N(M461)+N(N461)+N(Q461)+N(R461)&gt;Parámetros!$B$12,"Supera el límite de horas extras diarias",IF(C461="Cédula no registrada","Registre la cédula en «Trabajadores»","")))</f>
        <v/>
      </c>
      <c r="X461" s="20">
        <f t="shared" si="150"/>
        <v>0</v>
      </c>
      <c r="Y461" s="20">
        <f t="shared" si="151"/>
        <v>0</v>
      </c>
      <c r="Z461" s="20">
        <f t="shared" si="152"/>
        <v>0</v>
      </c>
      <c r="AA461" s="20">
        <f t="shared" si="153"/>
        <v>0</v>
      </c>
      <c r="AB461" s="20">
        <f t="shared" si="154"/>
        <v>0</v>
      </c>
      <c r="AC461" s="20">
        <f t="shared" si="155"/>
        <v>0</v>
      </c>
      <c r="AD461" s="20">
        <f>IF(A461="",21/24,MOD(VLOOKUP(A461,Parámetros!$A$24:$B$25,2,TRUE()),1))</f>
        <v>0.875</v>
      </c>
      <c r="AE461" s="5">
        <f>IF(A461="",0,IF(OR(WEEKDAY(A461,2)=7,COUNTIF(Festivos!$A$5:$A$451,A461)&gt;0),1,0))</f>
        <v>0</v>
      </c>
      <c r="AF461" s="5">
        <f>IF(A461="",0,IF(OR(WEEKDAY(A461+1,2)=7,COUNTIF(Festivos!$A$5:$A$451,A461+1)&gt;0),1,0))</f>
        <v>0</v>
      </c>
      <c r="AG461" s="9">
        <f>IF(A461="",0,VLOOKUP(A461,Parámetros!$A$18:$B$21,2,TRUE()))</f>
        <v>0</v>
      </c>
      <c r="AH461" s="20">
        <f t="shared" si="156"/>
        <v>0</v>
      </c>
      <c r="AI461" s="20">
        <f>MAX(0,MIN(AB461,Parámetros!$B$11)-MAX(X461,0))+MAX(0,MIN(AB461,1+Parámetros!$B$11)-MAX(X461,AD461))+MAX(0,MIN(AB461,2)-MAX(X461,1+AD461))</f>
        <v>0</v>
      </c>
      <c r="AJ461" s="20">
        <f t="shared" si="157"/>
        <v>0</v>
      </c>
      <c r="AK461" s="20">
        <f>AE461*(MAX(0,MIN(AB461,Parámetros!$B$11)-MAX(X461,0))+MAX(0,MIN(AB461,1)-MAX(X461,AD461)))+AF461*(MAX(0,MIN(AB461,1+Parámetros!$B$11)-MAX(X461,1))+MAX(0,MIN(AB461,2)-MAX(X461,1+AD461)))</f>
        <v>0</v>
      </c>
      <c r="AL461" s="20">
        <f t="shared" si="158"/>
        <v>0</v>
      </c>
      <c r="AM461" s="20">
        <f>MAX(0,MIN(AC461,Parámetros!$B$11)-MAX(AB461,0))+MAX(0,MIN(AC461,1+Parámetros!$B$11)-MAX(AB461,AD461))+MAX(0,MIN(AC461,2)-MAX(AB461,1+AD461))</f>
        <v>0</v>
      </c>
      <c r="AN461" s="20">
        <f t="shared" si="159"/>
        <v>0</v>
      </c>
      <c r="AO461" s="20">
        <f>AE461*(MAX(0,MIN(AC461,Parámetros!$B$11)-MAX(AB461,0))+MAX(0,MIN(AC461,1)-MAX(AB461,AD461)))+AF461*(MAX(0,MIN(AC461,1+Parámetros!$B$11)-MAX(AB461,1))+MAX(0,MIN(AC461,2)-MAX(AB461,1+AD461)))</f>
        <v>0</v>
      </c>
    </row>
    <row r="462" spans="1:41" x14ac:dyDescent="0.25">
      <c r="A462" s="15"/>
      <c r="B462" s="8"/>
      <c r="C462" s="5" t="str">
        <f>IF(B462="","",IFERROR(INDEX(Trabajadores!$B$5:$B$204,MATCH(B462,Trabajadores!$A$5:$A$204,0)),"Cédula no registrada"))</f>
        <v/>
      </c>
      <c r="D462" s="11"/>
      <c r="E462" s="11"/>
      <c r="F462" s="8"/>
      <c r="G462" s="18" t="str">
        <f>IF(A462="","",IFERROR(INDEX(Trabajadores!$E$5:$E$204,MATCH(B462,Trabajadores!$A$5:$A$204,0))/Parámetros!$B$6,0)+IF(IFERROR(INDEX(Trabajadores!$E$5:$E$204,MATCH(B462,Trabajadores!$A$5:$A$204,0)),"")="",Parámetros!$B$7,0))</f>
        <v/>
      </c>
      <c r="H462" s="5" t="str">
        <f t="shared" si="140"/>
        <v/>
      </c>
      <c r="I462" s="5" t="str">
        <f>IF(A462="","",IF(COUNTIF(Festivos!$A$5:$A$451,A462)&gt;0,"Festivo",IF(WEEKDAY(A462,2)=7,"Domingo",IF(AND(AF462=1,AC462&gt;1),IF(COUNTIF(Festivos!$A$5:$A$451,A462+1)&gt;0,"Festivo","Domingo")&amp;" desde las 00:00",""))))</f>
        <v/>
      </c>
      <c r="J462" s="19" t="str">
        <f t="shared" si="141"/>
        <v/>
      </c>
      <c r="K462" s="19" t="str">
        <f t="shared" si="142"/>
        <v/>
      </c>
      <c r="L462" s="19" t="str">
        <f t="shared" si="143"/>
        <v/>
      </c>
      <c r="M462" s="19" t="str">
        <f t="shared" si="144"/>
        <v/>
      </c>
      <c r="N462" s="19" t="str">
        <f t="shared" si="145"/>
        <v/>
      </c>
      <c r="O462" s="19" t="str">
        <f t="shared" si="146"/>
        <v/>
      </c>
      <c r="P462" s="19" t="str">
        <f t="shared" si="147"/>
        <v/>
      </c>
      <c r="Q462" s="19" t="str">
        <f t="shared" si="148"/>
        <v/>
      </c>
      <c r="R462" s="19" t="str">
        <f t="shared" si="149"/>
        <v/>
      </c>
      <c r="S462" s="17" t="str">
        <f>IF(B462="","",IFERROR(INDEX(Trabajadores!$G$5:$G$204,MATCH(B462,Trabajadores!$A$5:$A$204,0)),""))</f>
        <v/>
      </c>
      <c r="T462" s="17" t="str">
        <f>IF(OR(OR(A462="",D462="",E462=""),S462=""),"",ROUND(S462*(N(L462)*Parámetros!$B$8+N(M462)*(1+Parámetros!$B$9)+N(N462)*(1+Parámetros!$B$10)+N(O462)*(1+AG462)+N(P462)*(1+AG462+Parámetros!$B$8)+N(Q462)*(1+AG462+Parámetros!$B$9)+N(R462)*(1+AG462+Parámetros!$B$10)),0))</f>
        <v/>
      </c>
      <c r="U462" s="5" t="str">
        <f>IF(OR(A462="",D462="",E462=""),"",IF(N(M462)+N(N462)+N(Q462)+N(R462)&gt;Parámetros!$B$12,"Supera el límite de horas extras diarias",IF(C462="Cédula no registrada","Registre la cédula en «Trabajadores»","")))</f>
        <v/>
      </c>
      <c r="X462" s="20">
        <f t="shared" si="150"/>
        <v>0</v>
      </c>
      <c r="Y462" s="20">
        <f t="shared" si="151"/>
        <v>0</v>
      </c>
      <c r="Z462" s="20">
        <f t="shared" si="152"/>
        <v>0</v>
      </c>
      <c r="AA462" s="20">
        <f t="shared" si="153"/>
        <v>0</v>
      </c>
      <c r="AB462" s="20">
        <f t="shared" si="154"/>
        <v>0</v>
      </c>
      <c r="AC462" s="20">
        <f t="shared" si="155"/>
        <v>0</v>
      </c>
      <c r="AD462" s="20">
        <f>IF(A462="",21/24,MOD(VLOOKUP(A462,Parámetros!$A$24:$B$25,2,TRUE()),1))</f>
        <v>0.875</v>
      </c>
      <c r="AE462" s="5">
        <f>IF(A462="",0,IF(OR(WEEKDAY(A462,2)=7,COUNTIF(Festivos!$A$5:$A$451,A462)&gt;0),1,0))</f>
        <v>0</v>
      </c>
      <c r="AF462" s="5">
        <f>IF(A462="",0,IF(OR(WEEKDAY(A462+1,2)=7,COUNTIF(Festivos!$A$5:$A$451,A462+1)&gt;0),1,0))</f>
        <v>0</v>
      </c>
      <c r="AG462" s="9">
        <f>IF(A462="",0,VLOOKUP(A462,Parámetros!$A$18:$B$21,2,TRUE()))</f>
        <v>0</v>
      </c>
      <c r="AH462" s="20">
        <f t="shared" si="156"/>
        <v>0</v>
      </c>
      <c r="AI462" s="20">
        <f>MAX(0,MIN(AB462,Parámetros!$B$11)-MAX(X462,0))+MAX(0,MIN(AB462,1+Parámetros!$B$11)-MAX(X462,AD462))+MAX(0,MIN(AB462,2)-MAX(X462,1+AD462))</f>
        <v>0</v>
      </c>
      <c r="AJ462" s="20">
        <f t="shared" si="157"/>
        <v>0</v>
      </c>
      <c r="AK462" s="20">
        <f>AE462*(MAX(0,MIN(AB462,Parámetros!$B$11)-MAX(X462,0))+MAX(0,MIN(AB462,1)-MAX(X462,AD462)))+AF462*(MAX(0,MIN(AB462,1+Parámetros!$B$11)-MAX(X462,1))+MAX(0,MIN(AB462,2)-MAX(X462,1+AD462)))</f>
        <v>0</v>
      </c>
      <c r="AL462" s="20">
        <f t="shared" si="158"/>
        <v>0</v>
      </c>
      <c r="AM462" s="20">
        <f>MAX(0,MIN(AC462,Parámetros!$B$11)-MAX(AB462,0))+MAX(0,MIN(AC462,1+Parámetros!$B$11)-MAX(AB462,AD462))+MAX(0,MIN(AC462,2)-MAX(AB462,1+AD462))</f>
        <v>0</v>
      </c>
      <c r="AN462" s="20">
        <f t="shared" si="159"/>
        <v>0</v>
      </c>
      <c r="AO462" s="20">
        <f>AE462*(MAX(0,MIN(AC462,Parámetros!$B$11)-MAX(AB462,0))+MAX(0,MIN(AC462,1)-MAX(AB462,AD462)))+AF462*(MAX(0,MIN(AC462,1+Parámetros!$B$11)-MAX(AB462,1))+MAX(0,MIN(AC462,2)-MAX(AB462,1+AD462)))</f>
        <v>0</v>
      </c>
    </row>
    <row r="463" spans="1:41" x14ac:dyDescent="0.25">
      <c r="A463" s="15"/>
      <c r="B463" s="8"/>
      <c r="C463" s="5" t="str">
        <f>IF(B463="","",IFERROR(INDEX(Trabajadores!$B$5:$B$204,MATCH(B463,Trabajadores!$A$5:$A$204,0)),"Cédula no registrada"))</f>
        <v/>
      </c>
      <c r="D463" s="11"/>
      <c r="E463" s="11"/>
      <c r="F463" s="8"/>
      <c r="G463" s="18" t="str">
        <f>IF(A463="","",IFERROR(INDEX(Trabajadores!$E$5:$E$204,MATCH(B463,Trabajadores!$A$5:$A$204,0))/Parámetros!$B$6,0)+IF(IFERROR(INDEX(Trabajadores!$E$5:$E$204,MATCH(B463,Trabajadores!$A$5:$A$204,0)),"")="",Parámetros!$B$7,0))</f>
        <v/>
      </c>
      <c r="H463" s="5" t="str">
        <f t="shared" si="140"/>
        <v/>
      </c>
      <c r="I463" s="5" t="str">
        <f>IF(A463="","",IF(COUNTIF(Festivos!$A$5:$A$451,A463)&gt;0,"Festivo",IF(WEEKDAY(A463,2)=7,"Domingo",IF(AND(AF463=1,AC463&gt;1),IF(COUNTIF(Festivos!$A$5:$A$451,A463+1)&gt;0,"Festivo","Domingo")&amp;" desde las 00:00",""))))</f>
        <v/>
      </c>
      <c r="J463" s="19" t="str">
        <f t="shared" si="141"/>
        <v/>
      </c>
      <c r="K463" s="19" t="str">
        <f t="shared" si="142"/>
        <v/>
      </c>
      <c r="L463" s="19" t="str">
        <f t="shared" si="143"/>
        <v/>
      </c>
      <c r="M463" s="19" t="str">
        <f t="shared" si="144"/>
        <v/>
      </c>
      <c r="N463" s="19" t="str">
        <f t="shared" si="145"/>
        <v/>
      </c>
      <c r="O463" s="19" t="str">
        <f t="shared" si="146"/>
        <v/>
      </c>
      <c r="P463" s="19" t="str">
        <f t="shared" si="147"/>
        <v/>
      </c>
      <c r="Q463" s="19" t="str">
        <f t="shared" si="148"/>
        <v/>
      </c>
      <c r="R463" s="19" t="str">
        <f t="shared" si="149"/>
        <v/>
      </c>
      <c r="S463" s="17" t="str">
        <f>IF(B463="","",IFERROR(INDEX(Trabajadores!$G$5:$G$204,MATCH(B463,Trabajadores!$A$5:$A$204,0)),""))</f>
        <v/>
      </c>
      <c r="T463" s="17" t="str">
        <f>IF(OR(OR(A463="",D463="",E463=""),S463=""),"",ROUND(S463*(N(L463)*Parámetros!$B$8+N(M463)*(1+Parámetros!$B$9)+N(N463)*(1+Parámetros!$B$10)+N(O463)*(1+AG463)+N(P463)*(1+AG463+Parámetros!$B$8)+N(Q463)*(1+AG463+Parámetros!$B$9)+N(R463)*(1+AG463+Parámetros!$B$10)),0))</f>
        <v/>
      </c>
      <c r="U463" s="5" t="str">
        <f>IF(OR(A463="",D463="",E463=""),"",IF(N(M463)+N(N463)+N(Q463)+N(R463)&gt;Parámetros!$B$12,"Supera el límite de horas extras diarias",IF(C463="Cédula no registrada","Registre la cédula en «Trabajadores»","")))</f>
        <v/>
      </c>
      <c r="X463" s="20">
        <f t="shared" si="150"/>
        <v>0</v>
      </c>
      <c r="Y463" s="20">
        <f t="shared" si="151"/>
        <v>0</v>
      </c>
      <c r="Z463" s="20">
        <f t="shared" si="152"/>
        <v>0</v>
      </c>
      <c r="AA463" s="20">
        <f t="shared" si="153"/>
        <v>0</v>
      </c>
      <c r="AB463" s="20">
        <f t="shared" si="154"/>
        <v>0</v>
      </c>
      <c r="AC463" s="20">
        <f t="shared" si="155"/>
        <v>0</v>
      </c>
      <c r="AD463" s="20">
        <f>IF(A463="",21/24,MOD(VLOOKUP(A463,Parámetros!$A$24:$B$25,2,TRUE()),1))</f>
        <v>0.875</v>
      </c>
      <c r="AE463" s="5">
        <f>IF(A463="",0,IF(OR(WEEKDAY(A463,2)=7,COUNTIF(Festivos!$A$5:$A$451,A463)&gt;0),1,0))</f>
        <v>0</v>
      </c>
      <c r="AF463" s="5">
        <f>IF(A463="",0,IF(OR(WEEKDAY(A463+1,2)=7,COUNTIF(Festivos!$A$5:$A$451,A463+1)&gt;0),1,0))</f>
        <v>0</v>
      </c>
      <c r="AG463" s="9">
        <f>IF(A463="",0,VLOOKUP(A463,Parámetros!$A$18:$B$21,2,TRUE()))</f>
        <v>0</v>
      </c>
      <c r="AH463" s="20">
        <f t="shared" si="156"/>
        <v>0</v>
      </c>
      <c r="AI463" s="20">
        <f>MAX(0,MIN(AB463,Parámetros!$B$11)-MAX(X463,0))+MAX(0,MIN(AB463,1+Parámetros!$B$11)-MAX(X463,AD463))+MAX(0,MIN(AB463,2)-MAX(X463,1+AD463))</f>
        <v>0</v>
      </c>
      <c r="AJ463" s="20">
        <f t="shared" si="157"/>
        <v>0</v>
      </c>
      <c r="AK463" s="20">
        <f>AE463*(MAX(0,MIN(AB463,Parámetros!$B$11)-MAX(X463,0))+MAX(0,MIN(AB463,1)-MAX(X463,AD463)))+AF463*(MAX(0,MIN(AB463,1+Parámetros!$B$11)-MAX(X463,1))+MAX(0,MIN(AB463,2)-MAX(X463,1+AD463)))</f>
        <v>0</v>
      </c>
      <c r="AL463" s="20">
        <f t="shared" si="158"/>
        <v>0</v>
      </c>
      <c r="AM463" s="20">
        <f>MAX(0,MIN(AC463,Parámetros!$B$11)-MAX(AB463,0))+MAX(0,MIN(AC463,1+Parámetros!$B$11)-MAX(AB463,AD463))+MAX(0,MIN(AC463,2)-MAX(AB463,1+AD463))</f>
        <v>0</v>
      </c>
      <c r="AN463" s="20">
        <f t="shared" si="159"/>
        <v>0</v>
      </c>
      <c r="AO463" s="20">
        <f>AE463*(MAX(0,MIN(AC463,Parámetros!$B$11)-MAX(AB463,0))+MAX(0,MIN(AC463,1)-MAX(AB463,AD463)))+AF463*(MAX(0,MIN(AC463,1+Parámetros!$B$11)-MAX(AB463,1))+MAX(0,MIN(AC463,2)-MAX(AB463,1+AD463)))</f>
        <v>0</v>
      </c>
    </row>
    <row r="464" spans="1:41" x14ac:dyDescent="0.25">
      <c r="A464" s="15"/>
      <c r="B464" s="8"/>
      <c r="C464" s="5" t="str">
        <f>IF(B464="","",IFERROR(INDEX(Trabajadores!$B$5:$B$204,MATCH(B464,Trabajadores!$A$5:$A$204,0)),"Cédula no registrada"))</f>
        <v/>
      </c>
      <c r="D464" s="11"/>
      <c r="E464" s="11"/>
      <c r="F464" s="8"/>
      <c r="G464" s="18" t="str">
        <f>IF(A464="","",IFERROR(INDEX(Trabajadores!$E$5:$E$204,MATCH(B464,Trabajadores!$A$5:$A$204,0))/Parámetros!$B$6,0)+IF(IFERROR(INDEX(Trabajadores!$E$5:$E$204,MATCH(B464,Trabajadores!$A$5:$A$204,0)),"")="",Parámetros!$B$7,0))</f>
        <v/>
      </c>
      <c r="H464" s="5" t="str">
        <f t="shared" si="140"/>
        <v/>
      </c>
      <c r="I464" s="5" t="str">
        <f>IF(A464="","",IF(COUNTIF(Festivos!$A$5:$A$451,A464)&gt;0,"Festivo",IF(WEEKDAY(A464,2)=7,"Domingo",IF(AND(AF464=1,AC464&gt;1),IF(COUNTIF(Festivos!$A$5:$A$451,A464+1)&gt;0,"Festivo","Domingo")&amp;" desde las 00:00",""))))</f>
        <v/>
      </c>
      <c r="J464" s="19" t="str">
        <f t="shared" si="141"/>
        <v/>
      </c>
      <c r="K464" s="19" t="str">
        <f t="shared" si="142"/>
        <v/>
      </c>
      <c r="L464" s="19" t="str">
        <f t="shared" si="143"/>
        <v/>
      </c>
      <c r="M464" s="19" t="str">
        <f t="shared" si="144"/>
        <v/>
      </c>
      <c r="N464" s="19" t="str">
        <f t="shared" si="145"/>
        <v/>
      </c>
      <c r="O464" s="19" t="str">
        <f t="shared" si="146"/>
        <v/>
      </c>
      <c r="P464" s="19" t="str">
        <f t="shared" si="147"/>
        <v/>
      </c>
      <c r="Q464" s="19" t="str">
        <f t="shared" si="148"/>
        <v/>
      </c>
      <c r="R464" s="19" t="str">
        <f t="shared" si="149"/>
        <v/>
      </c>
      <c r="S464" s="17" t="str">
        <f>IF(B464="","",IFERROR(INDEX(Trabajadores!$G$5:$G$204,MATCH(B464,Trabajadores!$A$5:$A$204,0)),""))</f>
        <v/>
      </c>
      <c r="T464" s="17" t="str">
        <f>IF(OR(OR(A464="",D464="",E464=""),S464=""),"",ROUND(S464*(N(L464)*Parámetros!$B$8+N(M464)*(1+Parámetros!$B$9)+N(N464)*(1+Parámetros!$B$10)+N(O464)*(1+AG464)+N(P464)*(1+AG464+Parámetros!$B$8)+N(Q464)*(1+AG464+Parámetros!$B$9)+N(R464)*(1+AG464+Parámetros!$B$10)),0))</f>
        <v/>
      </c>
      <c r="U464" s="5" t="str">
        <f>IF(OR(A464="",D464="",E464=""),"",IF(N(M464)+N(N464)+N(Q464)+N(R464)&gt;Parámetros!$B$12,"Supera el límite de horas extras diarias",IF(C464="Cédula no registrada","Registre la cédula en «Trabajadores»","")))</f>
        <v/>
      </c>
      <c r="X464" s="20">
        <f t="shared" si="150"/>
        <v>0</v>
      </c>
      <c r="Y464" s="20">
        <f t="shared" si="151"/>
        <v>0</v>
      </c>
      <c r="Z464" s="20">
        <f t="shared" si="152"/>
        <v>0</v>
      </c>
      <c r="AA464" s="20">
        <f t="shared" si="153"/>
        <v>0</v>
      </c>
      <c r="AB464" s="20">
        <f t="shared" si="154"/>
        <v>0</v>
      </c>
      <c r="AC464" s="20">
        <f t="shared" si="155"/>
        <v>0</v>
      </c>
      <c r="AD464" s="20">
        <f>IF(A464="",21/24,MOD(VLOOKUP(A464,Parámetros!$A$24:$B$25,2,TRUE()),1))</f>
        <v>0.875</v>
      </c>
      <c r="AE464" s="5">
        <f>IF(A464="",0,IF(OR(WEEKDAY(A464,2)=7,COUNTIF(Festivos!$A$5:$A$451,A464)&gt;0),1,0))</f>
        <v>0</v>
      </c>
      <c r="AF464" s="5">
        <f>IF(A464="",0,IF(OR(WEEKDAY(A464+1,2)=7,COUNTIF(Festivos!$A$5:$A$451,A464+1)&gt;0),1,0))</f>
        <v>0</v>
      </c>
      <c r="AG464" s="9">
        <f>IF(A464="",0,VLOOKUP(A464,Parámetros!$A$18:$B$21,2,TRUE()))</f>
        <v>0</v>
      </c>
      <c r="AH464" s="20">
        <f t="shared" si="156"/>
        <v>0</v>
      </c>
      <c r="AI464" s="20">
        <f>MAX(0,MIN(AB464,Parámetros!$B$11)-MAX(X464,0))+MAX(0,MIN(AB464,1+Parámetros!$B$11)-MAX(X464,AD464))+MAX(0,MIN(AB464,2)-MAX(X464,1+AD464))</f>
        <v>0</v>
      </c>
      <c r="AJ464" s="20">
        <f t="shared" si="157"/>
        <v>0</v>
      </c>
      <c r="AK464" s="20">
        <f>AE464*(MAX(0,MIN(AB464,Parámetros!$B$11)-MAX(X464,0))+MAX(0,MIN(AB464,1)-MAX(X464,AD464)))+AF464*(MAX(0,MIN(AB464,1+Parámetros!$B$11)-MAX(X464,1))+MAX(0,MIN(AB464,2)-MAX(X464,1+AD464)))</f>
        <v>0</v>
      </c>
      <c r="AL464" s="20">
        <f t="shared" si="158"/>
        <v>0</v>
      </c>
      <c r="AM464" s="20">
        <f>MAX(0,MIN(AC464,Parámetros!$B$11)-MAX(AB464,0))+MAX(0,MIN(AC464,1+Parámetros!$B$11)-MAX(AB464,AD464))+MAX(0,MIN(AC464,2)-MAX(AB464,1+AD464))</f>
        <v>0</v>
      </c>
      <c r="AN464" s="20">
        <f t="shared" si="159"/>
        <v>0</v>
      </c>
      <c r="AO464" s="20">
        <f>AE464*(MAX(0,MIN(AC464,Parámetros!$B$11)-MAX(AB464,0))+MAX(0,MIN(AC464,1)-MAX(AB464,AD464)))+AF464*(MAX(0,MIN(AC464,1+Parámetros!$B$11)-MAX(AB464,1))+MAX(0,MIN(AC464,2)-MAX(AB464,1+AD464)))</f>
        <v>0</v>
      </c>
    </row>
    <row r="465" spans="1:41" x14ac:dyDescent="0.25">
      <c r="A465" s="15"/>
      <c r="B465" s="8"/>
      <c r="C465" s="5" t="str">
        <f>IF(B465="","",IFERROR(INDEX(Trabajadores!$B$5:$B$204,MATCH(B465,Trabajadores!$A$5:$A$204,0)),"Cédula no registrada"))</f>
        <v/>
      </c>
      <c r="D465" s="11"/>
      <c r="E465" s="11"/>
      <c r="F465" s="8"/>
      <c r="G465" s="18" t="str">
        <f>IF(A465="","",IFERROR(INDEX(Trabajadores!$E$5:$E$204,MATCH(B465,Trabajadores!$A$5:$A$204,0))/Parámetros!$B$6,0)+IF(IFERROR(INDEX(Trabajadores!$E$5:$E$204,MATCH(B465,Trabajadores!$A$5:$A$204,0)),"")="",Parámetros!$B$7,0))</f>
        <v/>
      </c>
      <c r="H465" s="5" t="str">
        <f t="shared" si="140"/>
        <v/>
      </c>
      <c r="I465" s="5" t="str">
        <f>IF(A465="","",IF(COUNTIF(Festivos!$A$5:$A$451,A465)&gt;0,"Festivo",IF(WEEKDAY(A465,2)=7,"Domingo",IF(AND(AF465=1,AC465&gt;1),IF(COUNTIF(Festivos!$A$5:$A$451,A465+1)&gt;0,"Festivo","Domingo")&amp;" desde las 00:00",""))))</f>
        <v/>
      </c>
      <c r="J465" s="19" t="str">
        <f t="shared" si="141"/>
        <v/>
      </c>
      <c r="K465" s="19" t="str">
        <f t="shared" si="142"/>
        <v/>
      </c>
      <c r="L465" s="19" t="str">
        <f t="shared" si="143"/>
        <v/>
      </c>
      <c r="M465" s="19" t="str">
        <f t="shared" si="144"/>
        <v/>
      </c>
      <c r="N465" s="19" t="str">
        <f t="shared" si="145"/>
        <v/>
      </c>
      <c r="O465" s="19" t="str">
        <f t="shared" si="146"/>
        <v/>
      </c>
      <c r="P465" s="19" t="str">
        <f t="shared" si="147"/>
        <v/>
      </c>
      <c r="Q465" s="19" t="str">
        <f t="shared" si="148"/>
        <v/>
      </c>
      <c r="R465" s="19" t="str">
        <f t="shared" si="149"/>
        <v/>
      </c>
      <c r="S465" s="17" t="str">
        <f>IF(B465="","",IFERROR(INDEX(Trabajadores!$G$5:$G$204,MATCH(B465,Trabajadores!$A$5:$A$204,0)),""))</f>
        <v/>
      </c>
      <c r="T465" s="17" t="str">
        <f>IF(OR(OR(A465="",D465="",E465=""),S465=""),"",ROUND(S465*(N(L465)*Parámetros!$B$8+N(M465)*(1+Parámetros!$B$9)+N(N465)*(1+Parámetros!$B$10)+N(O465)*(1+AG465)+N(P465)*(1+AG465+Parámetros!$B$8)+N(Q465)*(1+AG465+Parámetros!$B$9)+N(R465)*(1+AG465+Parámetros!$B$10)),0))</f>
        <v/>
      </c>
      <c r="U465" s="5" t="str">
        <f>IF(OR(A465="",D465="",E465=""),"",IF(N(M465)+N(N465)+N(Q465)+N(R465)&gt;Parámetros!$B$12,"Supera el límite de horas extras diarias",IF(C465="Cédula no registrada","Registre la cédula en «Trabajadores»","")))</f>
        <v/>
      </c>
      <c r="X465" s="20">
        <f t="shared" si="150"/>
        <v>0</v>
      </c>
      <c r="Y465" s="20">
        <f t="shared" si="151"/>
        <v>0</v>
      </c>
      <c r="Z465" s="20">
        <f t="shared" si="152"/>
        <v>0</v>
      </c>
      <c r="AA465" s="20">
        <f t="shared" si="153"/>
        <v>0</v>
      </c>
      <c r="AB465" s="20">
        <f t="shared" si="154"/>
        <v>0</v>
      </c>
      <c r="AC465" s="20">
        <f t="shared" si="155"/>
        <v>0</v>
      </c>
      <c r="AD465" s="20">
        <f>IF(A465="",21/24,MOD(VLOOKUP(A465,Parámetros!$A$24:$B$25,2,TRUE()),1))</f>
        <v>0.875</v>
      </c>
      <c r="AE465" s="5">
        <f>IF(A465="",0,IF(OR(WEEKDAY(A465,2)=7,COUNTIF(Festivos!$A$5:$A$451,A465)&gt;0),1,0))</f>
        <v>0</v>
      </c>
      <c r="AF465" s="5">
        <f>IF(A465="",0,IF(OR(WEEKDAY(A465+1,2)=7,COUNTIF(Festivos!$A$5:$A$451,A465+1)&gt;0),1,0))</f>
        <v>0</v>
      </c>
      <c r="AG465" s="9">
        <f>IF(A465="",0,VLOOKUP(A465,Parámetros!$A$18:$B$21,2,TRUE()))</f>
        <v>0</v>
      </c>
      <c r="AH465" s="20">
        <f t="shared" si="156"/>
        <v>0</v>
      </c>
      <c r="AI465" s="20">
        <f>MAX(0,MIN(AB465,Parámetros!$B$11)-MAX(X465,0))+MAX(0,MIN(AB465,1+Parámetros!$B$11)-MAX(X465,AD465))+MAX(0,MIN(AB465,2)-MAX(X465,1+AD465))</f>
        <v>0</v>
      </c>
      <c r="AJ465" s="20">
        <f t="shared" si="157"/>
        <v>0</v>
      </c>
      <c r="AK465" s="20">
        <f>AE465*(MAX(0,MIN(AB465,Parámetros!$B$11)-MAX(X465,0))+MAX(0,MIN(AB465,1)-MAX(X465,AD465)))+AF465*(MAX(0,MIN(AB465,1+Parámetros!$B$11)-MAX(X465,1))+MAX(0,MIN(AB465,2)-MAX(X465,1+AD465)))</f>
        <v>0</v>
      </c>
      <c r="AL465" s="20">
        <f t="shared" si="158"/>
        <v>0</v>
      </c>
      <c r="AM465" s="20">
        <f>MAX(0,MIN(AC465,Parámetros!$B$11)-MAX(AB465,0))+MAX(0,MIN(AC465,1+Parámetros!$B$11)-MAX(AB465,AD465))+MAX(0,MIN(AC465,2)-MAX(AB465,1+AD465))</f>
        <v>0</v>
      </c>
      <c r="AN465" s="20">
        <f t="shared" si="159"/>
        <v>0</v>
      </c>
      <c r="AO465" s="20">
        <f>AE465*(MAX(0,MIN(AC465,Parámetros!$B$11)-MAX(AB465,0))+MAX(0,MIN(AC465,1)-MAX(AB465,AD465)))+AF465*(MAX(0,MIN(AC465,1+Parámetros!$B$11)-MAX(AB465,1))+MAX(0,MIN(AC465,2)-MAX(AB465,1+AD465)))</f>
        <v>0</v>
      </c>
    </row>
    <row r="466" spans="1:41" x14ac:dyDescent="0.25">
      <c r="A466" s="15"/>
      <c r="B466" s="8"/>
      <c r="C466" s="5" t="str">
        <f>IF(B466="","",IFERROR(INDEX(Trabajadores!$B$5:$B$204,MATCH(B466,Trabajadores!$A$5:$A$204,0)),"Cédula no registrada"))</f>
        <v/>
      </c>
      <c r="D466" s="11"/>
      <c r="E466" s="11"/>
      <c r="F466" s="8"/>
      <c r="G466" s="18" t="str">
        <f>IF(A466="","",IFERROR(INDEX(Trabajadores!$E$5:$E$204,MATCH(B466,Trabajadores!$A$5:$A$204,0))/Parámetros!$B$6,0)+IF(IFERROR(INDEX(Trabajadores!$E$5:$E$204,MATCH(B466,Trabajadores!$A$5:$A$204,0)),"")="",Parámetros!$B$7,0))</f>
        <v/>
      </c>
      <c r="H466" s="5" t="str">
        <f t="shared" si="140"/>
        <v/>
      </c>
      <c r="I466" s="5" t="str">
        <f>IF(A466="","",IF(COUNTIF(Festivos!$A$5:$A$451,A466)&gt;0,"Festivo",IF(WEEKDAY(A466,2)=7,"Domingo",IF(AND(AF466=1,AC466&gt;1),IF(COUNTIF(Festivos!$A$5:$A$451,A466+1)&gt;0,"Festivo","Domingo")&amp;" desde las 00:00",""))))</f>
        <v/>
      </c>
      <c r="J466" s="19" t="str">
        <f t="shared" si="141"/>
        <v/>
      </c>
      <c r="K466" s="19" t="str">
        <f t="shared" si="142"/>
        <v/>
      </c>
      <c r="L466" s="19" t="str">
        <f t="shared" si="143"/>
        <v/>
      </c>
      <c r="M466" s="19" t="str">
        <f t="shared" si="144"/>
        <v/>
      </c>
      <c r="N466" s="19" t="str">
        <f t="shared" si="145"/>
        <v/>
      </c>
      <c r="O466" s="19" t="str">
        <f t="shared" si="146"/>
        <v/>
      </c>
      <c r="P466" s="19" t="str">
        <f t="shared" si="147"/>
        <v/>
      </c>
      <c r="Q466" s="19" t="str">
        <f t="shared" si="148"/>
        <v/>
      </c>
      <c r="R466" s="19" t="str">
        <f t="shared" si="149"/>
        <v/>
      </c>
      <c r="S466" s="17" t="str">
        <f>IF(B466="","",IFERROR(INDEX(Trabajadores!$G$5:$G$204,MATCH(B466,Trabajadores!$A$5:$A$204,0)),""))</f>
        <v/>
      </c>
      <c r="T466" s="17" t="str">
        <f>IF(OR(OR(A466="",D466="",E466=""),S466=""),"",ROUND(S466*(N(L466)*Parámetros!$B$8+N(M466)*(1+Parámetros!$B$9)+N(N466)*(1+Parámetros!$B$10)+N(O466)*(1+AG466)+N(P466)*(1+AG466+Parámetros!$B$8)+N(Q466)*(1+AG466+Parámetros!$B$9)+N(R466)*(1+AG466+Parámetros!$B$10)),0))</f>
        <v/>
      </c>
      <c r="U466" s="5" t="str">
        <f>IF(OR(A466="",D466="",E466=""),"",IF(N(M466)+N(N466)+N(Q466)+N(R466)&gt;Parámetros!$B$12,"Supera el límite de horas extras diarias",IF(C466="Cédula no registrada","Registre la cédula en «Trabajadores»","")))</f>
        <v/>
      </c>
      <c r="X466" s="20">
        <f t="shared" si="150"/>
        <v>0</v>
      </c>
      <c r="Y466" s="20">
        <f t="shared" si="151"/>
        <v>0</v>
      </c>
      <c r="Z466" s="20">
        <f t="shared" si="152"/>
        <v>0</v>
      </c>
      <c r="AA466" s="20">
        <f t="shared" si="153"/>
        <v>0</v>
      </c>
      <c r="AB466" s="20">
        <f t="shared" si="154"/>
        <v>0</v>
      </c>
      <c r="AC466" s="20">
        <f t="shared" si="155"/>
        <v>0</v>
      </c>
      <c r="AD466" s="20">
        <f>IF(A466="",21/24,MOD(VLOOKUP(A466,Parámetros!$A$24:$B$25,2,TRUE()),1))</f>
        <v>0.875</v>
      </c>
      <c r="AE466" s="5">
        <f>IF(A466="",0,IF(OR(WEEKDAY(A466,2)=7,COUNTIF(Festivos!$A$5:$A$451,A466)&gt;0),1,0))</f>
        <v>0</v>
      </c>
      <c r="AF466" s="5">
        <f>IF(A466="",0,IF(OR(WEEKDAY(A466+1,2)=7,COUNTIF(Festivos!$A$5:$A$451,A466+1)&gt;0),1,0))</f>
        <v>0</v>
      </c>
      <c r="AG466" s="9">
        <f>IF(A466="",0,VLOOKUP(A466,Parámetros!$A$18:$B$21,2,TRUE()))</f>
        <v>0</v>
      </c>
      <c r="AH466" s="20">
        <f t="shared" si="156"/>
        <v>0</v>
      </c>
      <c r="AI466" s="20">
        <f>MAX(0,MIN(AB466,Parámetros!$B$11)-MAX(X466,0))+MAX(0,MIN(AB466,1+Parámetros!$B$11)-MAX(X466,AD466))+MAX(0,MIN(AB466,2)-MAX(X466,1+AD466))</f>
        <v>0</v>
      </c>
      <c r="AJ466" s="20">
        <f t="shared" si="157"/>
        <v>0</v>
      </c>
      <c r="AK466" s="20">
        <f>AE466*(MAX(0,MIN(AB466,Parámetros!$B$11)-MAX(X466,0))+MAX(0,MIN(AB466,1)-MAX(X466,AD466)))+AF466*(MAX(0,MIN(AB466,1+Parámetros!$B$11)-MAX(X466,1))+MAX(0,MIN(AB466,2)-MAX(X466,1+AD466)))</f>
        <v>0</v>
      </c>
      <c r="AL466" s="20">
        <f t="shared" si="158"/>
        <v>0</v>
      </c>
      <c r="AM466" s="20">
        <f>MAX(0,MIN(AC466,Parámetros!$B$11)-MAX(AB466,0))+MAX(0,MIN(AC466,1+Parámetros!$B$11)-MAX(AB466,AD466))+MAX(0,MIN(AC466,2)-MAX(AB466,1+AD466))</f>
        <v>0</v>
      </c>
      <c r="AN466" s="20">
        <f t="shared" si="159"/>
        <v>0</v>
      </c>
      <c r="AO466" s="20">
        <f>AE466*(MAX(0,MIN(AC466,Parámetros!$B$11)-MAX(AB466,0))+MAX(0,MIN(AC466,1)-MAX(AB466,AD466)))+AF466*(MAX(0,MIN(AC466,1+Parámetros!$B$11)-MAX(AB466,1))+MAX(0,MIN(AC466,2)-MAX(AB466,1+AD466)))</f>
        <v>0</v>
      </c>
    </row>
    <row r="467" spans="1:41" x14ac:dyDescent="0.25">
      <c r="A467" s="15"/>
      <c r="B467" s="8"/>
      <c r="C467" s="5" t="str">
        <f>IF(B467="","",IFERROR(INDEX(Trabajadores!$B$5:$B$204,MATCH(B467,Trabajadores!$A$5:$A$204,0)),"Cédula no registrada"))</f>
        <v/>
      </c>
      <c r="D467" s="11"/>
      <c r="E467" s="11"/>
      <c r="F467" s="8"/>
      <c r="G467" s="18" t="str">
        <f>IF(A467="","",IFERROR(INDEX(Trabajadores!$E$5:$E$204,MATCH(B467,Trabajadores!$A$5:$A$204,0))/Parámetros!$B$6,0)+IF(IFERROR(INDEX(Trabajadores!$E$5:$E$204,MATCH(B467,Trabajadores!$A$5:$A$204,0)),"")="",Parámetros!$B$7,0))</f>
        <v/>
      </c>
      <c r="H467" s="5" t="str">
        <f t="shared" si="140"/>
        <v/>
      </c>
      <c r="I467" s="5" t="str">
        <f>IF(A467="","",IF(COUNTIF(Festivos!$A$5:$A$451,A467)&gt;0,"Festivo",IF(WEEKDAY(A467,2)=7,"Domingo",IF(AND(AF467=1,AC467&gt;1),IF(COUNTIF(Festivos!$A$5:$A$451,A467+1)&gt;0,"Festivo","Domingo")&amp;" desde las 00:00",""))))</f>
        <v/>
      </c>
      <c r="J467" s="19" t="str">
        <f t="shared" si="141"/>
        <v/>
      </c>
      <c r="K467" s="19" t="str">
        <f t="shared" si="142"/>
        <v/>
      </c>
      <c r="L467" s="19" t="str">
        <f t="shared" si="143"/>
        <v/>
      </c>
      <c r="M467" s="19" t="str">
        <f t="shared" si="144"/>
        <v/>
      </c>
      <c r="N467" s="19" t="str">
        <f t="shared" si="145"/>
        <v/>
      </c>
      <c r="O467" s="19" t="str">
        <f t="shared" si="146"/>
        <v/>
      </c>
      <c r="P467" s="19" t="str">
        <f t="shared" si="147"/>
        <v/>
      </c>
      <c r="Q467" s="19" t="str">
        <f t="shared" si="148"/>
        <v/>
      </c>
      <c r="R467" s="19" t="str">
        <f t="shared" si="149"/>
        <v/>
      </c>
      <c r="S467" s="17" t="str">
        <f>IF(B467="","",IFERROR(INDEX(Trabajadores!$G$5:$G$204,MATCH(B467,Trabajadores!$A$5:$A$204,0)),""))</f>
        <v/>
      </c>
      <c r="T467" s="17" t="str">
        <f>IF(OR(OR(A467="",D467="",E467=""),S467=""),"",ROUND(S467*(N(L467)*Parámetros!$B$8+N(M467)*(1+Parámetros!$B$9)+N(N467)*(1+Parámetros!$B$10)+N(O467)*(1+AG467)+N(P467)*(1+AG467+Parámetros!$B$8)+N(Q467)*(1+AG467+Parámetros!$B$9)+N(R467)*(1+AG467+Parámetros!$B$10)),0))</f>
        <v/>
      </c>
      <c r="U467" s="5" t="str">
        <f>IF(OR(A467="",D467="",E467=""),"",IF(N(M467)+N(N467)+N(Q467)+N(R467)&gt;Parámetros!$B$12,"Supera el límite de horas extras diarias",IF(C467="Cédula no registrada","Registre la cédula en «Trabajadores»","")))</f>
        <v/>
      </c>
      <c r="X467" s="20">
        <f t="shared" si="150"/>
        <v>0</v>
      </c>
      <c r="Y467" s="20">
        <f t="shared" si="151"/>
        <v>0</v>
      </c>
      <c r="Z467" s="20">
        <f t="shared" si="152"/>
        <v>0</v>
      </c>
      <c r="AA467" s="20">
        <f t="shared" si="153"/>
        <v>0</v>
      </c>
      <c r="AB467" s="20">
        <f t="shared" si="154"/>
        <v>0</v>
      </c>
      <c r="AC467" s="20">
        <f t="shared" si="155"/>
        <v>0</v>
      </c>
      <c r="AD467" s="20">
        <f>IF(A467="",21/24,MOD(VLOOKUP(A467,Parámetros!$A$24:$B$25,2,TRUE()),1))</f>
        <v>0.875</v>
      </c>
      <c r="AE467" s="5">
        <f>IF(A467="",0,IF(OR(WEEKDAY(A467,2)=7,COUNTIF(Festivos!$A$5:$A$451,A467)&gt;0),1,0))</f>
        <v>0</v>
      </c>
      <c r="AF467" s="5">
        <f>IF(A467="",0,IF(OR(WEEKDAY(A467+1,2)=7,COUNTIF(Festivos!$A$5:$A$451,A467+1)&gt;0),1,0))</f>
        <v>0</v>
      </c>
      <c r="AG467" s="9">
        <f>IF(A467="",0,VLOOKUP(A467,Parámetros!$A$18:$B$21,2,TRUE()))</f>
        <v>0</v>
      </c>
      <c r="AH467" s="20">
        <f t="shared" si="156"/>
        <v>0</v>
      </c>
      <c r="AI467" s="20">
        <f>MAX(0,MIN(AB467,Parámetros!$B$11)-MAX(X467,0))+MAX(0,MIN(AB467,1+Parámetros!$B$11)-MAX(X467,AD467))+MAX(0,MIN(AB467,2)-MAX(X467,1+AD467))</f>
        <v>0</v>
      </c>
      <c r="AJ467" s="20">
        <f t="shared" si="157"/>
        <v>0</v>
      </c>
      <c r="AK467" s="20">
        <f>AE467*(MAX(0,MIN(AB467,Parámetros!$B$11)-MAX(X467,0))+MAX(0,MIN(AB467,1)-MAX(X467,AD467)))+AF467*(MAX(0,MIN(AB467,1+Parámetros!$B$11)-MAX(X467,1))+MAX(0,MIN(AB467,2)-MAX(X467,1+AD467)))</f>
        <v>0</v>
      </c>
      <c r="AL467" s="20">
        <f t="shared" si="158"/>
        <v>0</v>
      </c>
      <c r="AM467" s="20">
        <f>MAX(0,MIN(AC467,Parámetros!$B$11)-MAX(AB467,0))+MAX(0,MIN(AC467,1+Parámetros!$B$11)-MAX(AB467,AD467))+MAX(0,MIN(AC467,2)-MAX(AB467,1+AD467))</f>
        <v>0</v>
      </c>
      <c r="AN467" s="20">
        <f t="shared" si="159"/>
        <v>0</v>
      </c>
      <c r="AO467" s="20">
        <f>AE467*(MAX(0,MIN(AC467,Parámetros!$B$11)-MAX(AB467,0))+MAX(0,MIN(AC467,1)-MAX(AB467,AD467)))+AF467*(MAX(0,MIN(AC467,1+Parámetros!$B$11)-MAX(AB467,1))+MAX(0,MIN(AC467,2)-MAX(AB467,1+AD467)))</f>
        <v>0</v>
      </c>
    </row>
    <row r="468" spans="1:41" x14ac:dyDescent="0.25">
      <c r="A468" s="15"/>
      <c r="B468" s="8"/>
      <c r="C468" s="5" t="str">
        <f>IF(B468="","",IFERROR(INDEX(Trabajadores!$B$5:$B$204,MATCH(B468,Trabajadores!$A$5:$A$204,0)),"Cédula no registrada"))</f>
        <v/>
      </c>
      <c r="D468" s="11"/>
      <c r="E468" s="11"/>
      <c r="F468" s="8"/>
      <c r="G468" s="18" t="str">
        <f>IF(A468="","",IFERROR(INDEX(Trabajadores!$E$5:$E$204,MATCH(B468,Trabajadores!$A$5:$A$204,0))/Parámetros!$B$6,0)+IF(IFERROR(INDEX(Trabajadores!$E$5:$E$204,MATCH(B468,Trabajadores!$A$5:$A$204,0)),"")="",Parámetros!$B$7,0))</f>
        <v/>
      </c>
      <c r="H468" s="5" t="str">
        <f t="shared" si="140"/>
        <v/>
      </c>
      <c r="I468" s="5" t="str">
        <f>IF(A468="","",IF(COUNTIF(Festivos!$A$5:$A$451,A468)&gt;0,"Festivo",IF(WEEKDAY(A468,2)=7,"Domingo",IF(AND(AF468=1,AC468&gt;1),IF(COUNTIF(Festivos!$A$5:$A$451,A468+1)&gt;0,"Festivo","Domingo")&amp;" desde las 00:00",""))))</f>
        <v/>
      </c>
      <c r="J468" s="19" t="str">
        <f t="shared" si="141"/>
        <v/>
      </c>
      <c r="K468" s="19" t="str">
        <f t="shared" si="142"/>
        <v/>
      </c>
      <c r="L468" s="19" t="str">
        <f t="shared" si="143"/>
        <v/>
      </c>
      <c r="M468" s="19" t="str">
        <f t="shared" si="144"/>
        <v/>
      </c>
      <c r="N468" s="19" t="str">
        <f t="shared" si="145"/>
        <v/>
      </c>
      <c r="O468" s="19" t="str">
        <f t="shared" si="146"/>
        <v/>
      </c>
      <c r="P468" s="19" t="str">
        <f t="shared" si="147"/>
        <v/>
      </c>
      <c r="Q468" s="19" t="str">
        <f t="shared" si="148"/>
        <v/>
      </c>
      <c r="R468" s="19" t="str">
        <f t="shared" si="149"/>
        <v/>
      </c>
      <c r="S468" s="17" t="str">
        <f>IF(B468="","",IFERROR(INDEX(Trabajadores!$G$5:$G$204,MATCH(B468,Trabajadores!$A$5:$A$204,0)),""))</f>
        <v/>
      </c>
      <c r="T468" s="17" t="str">
        <f>IF(OR(OR(A468="",D468="",E468=""),S468=""),"",ROUND(S468*(N(L468)*Parámetros!$B$8+N(M468)*(1+Parámetros!$B$9)+N(N468)*(1+Parámetros!$B$10)+N(O468)*(1+AG468)+N(P468)*(1+AG468+Parámetros!$B$8)+N(Q468)*(1+AG468+Parámetros!$B$9)+N(R468)*(1+AG468+Parámetros!$B$10)),0))</f>
        <v/>
      </c>
      <c r="U468" s="5" t="str">
        <f>IF(OR(A468="",D468="",E468=""),"",IF(N(M468)+N(N468)+N(Q468)+N(R468)&gt;Parámetros!$B$12,"Supera el límite de horas extras diarias",IF(C468="Cédula no registrada","Registre la cédula en «Trabajadores»","")))</f>
        <v/>
      </c>
      <c r="X468" s="20">
        <f t="shared" si="150"/>
        <v>0</v>
      </c>
      <c r="Y468" s="20">
        <f t="shared" si="151"/>
        <v>0</v>
      </c>
      <c r="Z468" s="20">
        <f t="shared" si="152"/>
        <v>0</v>
      </c>
      <c r="AA468" s="20">
        <f t="shared" si="153"/>
        <v>0</v>
      </c>
      <c r="AB468" s="20">
        <f t="shared" si="154"/>
        <v>0</v>
      </c>
      <c r="AC468" s="20">
        <f t="shared" si="155"/>
        <v>0</v>
      </c>
      <c r="AD468" s="20">
        <f>IF(A468="",21/24,MOD(VLOOKUP(A468,Parámetros!$A$24:$B$25,2,TRUE()),1))</f>
        <v>0.875</v>
      </c>
      <c r="AE468" s="5">
        <f>IF(A468="",0,IF(OR(WEEKDAY(A468,2)=7,COUNTIF(Festivos!$A$5:$A$451,A468)&gt;0),1,0))</f>
        <v>0</v>
      </c>
      <c r="AF468" s="5">
        <f>IF(A468="",0,IF(OR(WEEKDAY(A468+1,2)=7,COUNTIF(Festivos!$A$5:$A$451,A468+1)&gt;0),1,0))</f>
        <v>0</v>
      </c>
      <c r="AG468" s="9">
        <f>IF(A468="",0,VLOOKUP(A468,Parámetros!$A$18:$B$21,2,TRUE()))</f>
        <v>0</v>
      </c>
      <c r="AH468" s="20">
        <f t="shared" si="156"/>
        <v>0</v>
      </c>
      <c r="AI468" s="20">
        <f>MAX(0,MIN(AB468,Parámetros!$B$11)-MAX(X468,0))+MAX(0,MIN(AB468,1+Parámetros!$B$11)-MAX(X468,AD468))+MAX(0,MIN(AB468,2)-MAX(X468,1+AD468))</f>
        <v>0</v>
      </c>
      <c r="AJ468" s="20">
        <f t="shared" si="157"/>
        <v>0</v>
      </c>
      <c r="AK468" s="20">
        <f>AE468*(MAX(0,MIN(AB468,Parámetros!$B$11)-MAX(X468,0))+MAX(0,MIN(AB468,1)-MAX(X468,AD468)))+AF468*(MAX(0,MIN(AB468,1+Parámetros!$B$11)-MAX(X468,1))+MAX(0,MIN(AB468,2)-MAX(X468,1+AD468)))</f>
        <v>0</v>
      </c>
      <c r="AL468" s="20">
        <f t="shared" si="158"/>
        <v>0</v>
      </c>
      <c r="AM468" s="20">
        <f>MAX(0,MIN(AC468,Parámetros!$B$11)-MAX(AB468,0))+MAX(0,MIN(AC468,1+Parámetros!$B$11)-MAX(AB468,AD468))+MAX(0,MIN(AC468,2)-MAX(AB468,1+AD468))</f>
        <v>0</v>
      </c>
      <c r="AN468" s="20">
        <f t="shared" si="159"/>
        <v>0</v>
      </c>
      <c r="AO468" s="20">
        <f>AE468*(MAX(0,MIN(AC468,Parámetros!$B$11)-MAX(AB468,0))+MAX(0,MIN(AC468,1)-MAX(AB468,AD468)))+AF468*(MAX(0,MIN(AC468,1+Parámetros!$B$11)-MAX(AB468,1))+MAX(0,MIN(AC468,2)-MAX(AB468,1+AD468)))</f>
        <v>0</v>
      </c>
    </row>
    <row r="469" spans="1:41" x14ac:dyDescent="0.25">
      <c r="A469" s="15"/>
      <c r="B469" s="8"/>
      <c r="C469" s="5" t="str">
        <f>IF(B469="","",IFERROR(INDEX(Trabajadores!$B$5:$B$204,MATCH(B469,Trabajadores!$A$5:$A$204,0)),"Cédula no registrada"))</f>
        <v/>
      </c>
      <c r="D469" s="11"/>
      <c r="E469" s="11"/>
      <c r="F469" s="8"/>
      <c r="G469" s="18" t="str">
        <f>IF(A469="","",IFERROR(INDEX(Trabajadores!$E$5:$E$204,MATCH(B469,Trabajadores!$A$5:$A$204,0))/Parámetros!$B$6,0)+IF(IFERROR(INDEX(Trabajadores!$E$5:$E$204,MATCH(B469,Trabajadores!$A$5:$A$204,0)),"")="",Parámetros!$B$7,0))</f>
        <v/>
      </c>
      <c r="H469" s="5" t="str">
        <f t="shared" si="140"/>
        <v/>
      </c>
      <c r="I469" s="5" t="str">
        <f>IF(A469="","",IF(COUNTIF(Festivos!$A$5:$A$451,A469)&gt;0,"Festivo",IF(WEEKDAY(A469,2)=7,"Domingo",IF(AND(AF469=1,AC469&gt;1),IF(COUNTIF(Festivos!$A$5:$A$451,A469+1)&gt;0,"Festivo","Domingo")&amp;" desde las 00:00",""))))</f>
        <v/>
      </c>
      <c r="J469" s="19" t="str">
        <f t="shared" si="141"/>
        <v/>
      </c>
      <c r="K469" s="19" t="str">
        <f t="shared" si="142"/>
        <v/>
      </c>
      <c r="L469" s="19" t="str">
        <f t="shared" si="143"/>
        <v/>
      </c>
      <c r="M469" s="19" t="str">
        <f t="shared" si="144"/>
        <v/>
      </c>
      <c r="N469" s="19" t="str">
        <f t="shared" si="145"/>
        <v/>
      </c>
      <c r="O469" s="19" t="str">
        <f t="shared" si="146"/>
        <v/>
      </c>
      <c r="P469" s="19" t="str">
        <f t="shared" si="147"/>
        <v/>
      </c>
      <c r="Q469" s="19" t="str">
        <f t="shared" si="148"/>
        <v/>
      </c>
      <c r="R469" s="19" t="str">
        <f t="shared" si="149"/>
        <v/>
      </c>
      <c r="S469" s="17" t="str">
        <f>IF(B469="","",IFERROR(INDEX(Trabajadores!$G$5:$G$204,MATCH(B469,Trabajadores!$A$5:$A$204,0)),""))</f>
        <v/>
      </c>
      <c r="T469" s="17" t="str">
        <f>IF(OR(OR(A469="",D469="",E469=""),S469=""),"",ROUND(S469*(N(L469)*Parámetros!$B$8+N(M469)*(1+Parámetros!$B$9)+N(N469)*(1+Parámetros!$B$10)+N(O469)*(1+AG469)+N(P469)*(1+AG469+Parámetros!$B$8)+N(Q469)*(1+AG469+Parámetros!$B$9)+N(R469)*(1+AG469+Parámetros!$B$10)),0))</f>
        <v/>
      </c>
      <c r="U469" s="5" t="str">
        <f>IF(OR(A469="",D469="",E469=""),"",IF(N(M469)+N(N469)+N(Q469)+N(R469)&gt;Parámetros!$B$12,"Supera el límite de horas extras diarias",IF(C469="Cédula no registrada","Registre la cédula en «Trabajadores»","")))</f>
        <v/>
      </c>
      <c r="X469" s="20">
        <f t="shared" si="150"/>
        <v>0</v>
      </c>
      <c r="Y469" s="20">
        <f t="shared" si="151"/>
        <v>0</v>
      </c>
      <c r="Z469" s="20">
        <f t="shared" si="152"/>
        <v>0</v>
      </c>
      <c r="AA469" s="20">
        <f t="shared" si="153"/>
        <v>0</v>
      </c>
      <c r="AB469" s="20">
        <f t="shared" si="154"/>
        <v>0</v>
      </c>
      <c r="AC469" s="20">
        <f t="shared" si="155"/>
        <v>0</v>
      </c>
      <c r="AD469" s="20">
        <f>IF(A469="",21/24,MOD(VLOOKUP(A469,Parámetros!$A$24:$B$25,2,TRUE()),1))</f>
        <v>0.875</v>
      </c>
      <c r="AE469" s="5">
        <f>IF(A469="",0,IF(OR(WEEKDAY(A469,2)=7,COUNTIF(Festivos!$A$5:$A$451,A469)&gt;0),1,0))</f>
        <v>0</v>
      </c>
      <c r="AF469" s="5">
        <f>IF(A469="",0,IF(OR(WEEKDAY(A469+1,2)=7,COUNTIF(Festivos!$A$5:$A$451,A469+1)&gt;0),1,0))</f>
        <v>0</v>
      </c>
      <c r="AG469" s="9">
        <f>IF(A469="",0,VLOOKUP(A469,Parámetros!$A$18:$B$21,2,TRUE()))</f>
        <v>0</v>
      </c>
      <c r="AH469" s="20">
        <f t="shared" si="156"/>
        <v>0</v>
      </c>
      <c r="AI469" s="20">
        <f>MAX(0,MIN(AB469,Parámetros!$B$11)-MAX(X469,0))+MAX(0,MIN(AB469,1+Parámetros!$B$11)-MAX(X469,AD469))+MAX(0,MIN(AB469,2)-MAX(X469,1+AD469))</f>
        <v>0</v>
      </c>
      <c r="AJ469" s="20">
        <f t="shared" si="157"/>
        <v>0</v>
      </c>
      <c r="AK469" s="20">
        <f>AE469*(MAX(0,MIN(AB469,Parámetros!$B$11)-MAX(X469,0))+MAX(0,MIN(AB469,1)-MAX(X469,AD469)))+AF469*(MAX(0,MIN(AB469,1+Parámetros!$B$11)-MAX(X469,1))+MAX(0,MIN(AB469,2)-MAX(X469,1+AD469)))</f>
        <v>0</v>
      </c>
      <c r="AL469" s="20">
        <f t="shared" si="158"/>
        <v>0</v>
      </c>
      <c r="AM469" s="20">
        <f>MAX(0,MIN(AC469,Parámetros!$B$11)-MAX(AB469,0))+MAX(0,MIN(AC469,1+Parámetros!$B$11)-MAX(AB469,AD469))+MAX(0,MIN(AC469,2)-MAX(AB469,1+AD469))</f>
        <v>0</v>
      </c>
      <c r="AN469" s="20">
        <f t="shared" si="159"/>
        <v>0</v>
      </c>
      <c r="AO469" s="20">
        <f>AE469*(MAX(0,MIN(AC469,Parámetros!$B$11)-MAX(AB469,0))+MAX(0,MIN(AC469,1)-MAX(AB469,AD469)))+AF469*(MAX(0,MIN(AC469,1+Parámetros!$B$11)-MAX(AB469,1))+MAX(0,MIN(AC469,2)-MAX(AB469,1+AD469)))</f>
        <v>0</v>
      </c>
    </row>
    <row r="470" spans="1:41" x14ac:dyDescent="0.25">
      <c r="A470" s="15"/>
      <c r="B470" s="8"/>
      <c r="C470" s="5" t="str">
        <f>IF(B470="","",IFERROR(INDEX(Trabajadores!$B$5:$B$204,MATCH(B470,Trabajadores!$A$5:$A$204,0)),"Cédula no registrada"))</f>
        <v/>
      </c>
      <c r="D470" s="11"/>
      <c r="E470" s="11"/>
      <c r="F470" s="8"/>
      <c r="G470" s="18" t="str">
        <f>IF(A470="","",IFERROR(INDEX(Trabajadores!$E$5:$E$204,MATCH(B470,Trabajadores!$A$5:$A$204,0))/Parámetros!$B$6,0)+IF(IFERROR(INDEX(Trabajadores!$E$5:$E$204,MATCH(B470,Trabajadores!$A$5:$A$204,0)),"")="",Parámetros!$B$7,0))</f>
        <v/>
      </c>
      <c r="H470" s="5" t="str">
        <f t="shared" si="140"/>
        <v/>
      </c>
      <c r="I470" s="5" t="str">
        <f>IF(A470="","",IF(COUNTIF(Festivos!$A$5:$A$451,A470)&gt;0,"Festivo",IF(WEEKDAY(A470,2)=7,"Domingo",IF(AND(AF470=1,AC470&gt;1),IF(COUNTIF(Festivos!$A$5:$A$451,A470+1)&gt;0,"Festivo","Domingo")&amp;" desde las 00:00",""))))</f>
        <v/>
      </c>
      <c r="J470" s="19" t="str">
        <f t="shared" si="141"/>
        <v/>
      </c>
      <c r="K470" s="19" t="str">
        <f t="shared" si="142"/>
        <v/>
      </c>
      <c r="L470" s="19" t="str">
        <f t="shared" si="143"/>
        <v/>
      </c>
      <c r="M470" s="19" t="str">
        <f t="shared" si="144"/>
        <v/>
      </c>
      <c r="N470" s="19" t="str">
        <f t="shared" si="145"/>
        <v/>
      </c>
      <c r="O470" s="19" t="str">
        <f t="shared" si="146"/>
        <v/>
      </c>
      <c r="P470" s="19" t="str">
        <f t="shared" si="147"/>
        <v/>
      </c>
      <c r="Q470" s="19" t="str">
        <f t="shared" si="148"/>
        <v/>
      </c>
      <c r="R470" s="19" t="str">
        <f t="shared" si="149"/>
        <v/>
      </c>
      <c r="S470" s="17" t="str">
        <f>IF(B470="","",IFERROR(INDEX(Trabajadores!$G$5:$G$204,MATCH(B470,Trabajadores!$A$5:$A$204,0)),""))</f>
        <v/>
      </c>
      <c r="T470" s="17" t="str">
        <f>IF(OR(OR(A470="",D470="",E470=""),S470=""),"",ROUND(S470*(N(L470)*Parámetros!$B$8+N(M470)*(1+Parámetros!$B$9)+N(N470)*(1+Parámetros!$B$10)+N(O470)*(1+AG470)+N(P470)*(1+AG470+Parámetros!$B$8)+N(Q470)*(1+AG470+Parámetros!$B$9)+N(R470)*(1+AG470+Parámetros!$B$10)),0))</f>
        <v/>
      </c>
      <c r="U470" s="5" t="str">
        <f>IF(OR(A470="",D470="",E470=""),"",IF(N(M470)+N(N470)+N(Q470)+N(R470)&gt;Parámetros!$B$12,"Supera el límite de horas extras diarias",IF(C470="Cédula no registrada","Registre la cédula en «Trabajadores»","")))</f>
        <v/>
      </c>
      <c r="X470" s="20">
        <f t="shared" si="150"/>
        <v>0</v>
      </c>
      <c r="Y470" s="20">
        <f t="shared" si="151"/>
        <v>0</v>
      </c>
      <c r="Z470" s="20">
        <f t="shared" si="152"/>
        <v>0</v>
      </c>
      <c r="AA470" s="20">
        <f t="shared" si="153"/>
        <v>0</v>
      </c>
      <c r="AB470" s="20">
        <f t="shared" si="154"/>
        <v>0</v>
      </c>
      <c r="AC470" s="20">
        <f t="shared" si="155"/>
        <v>0</v>
      </c>
      <c r="AD470" s="20">
        <f>IF(A470="",21/24,MOD(VLOOKUP(A470,Parámetros!$A$24:$B$25,2,TRUE()),1))</f>
        <v>0.875</v>
      </c>
      <c r="AE470" s="5">
        <f>IF(A470="",0,IF(OR(WEEKDAY(A470,2)=7,COUNTIF(Festivos!$A$5:$A$451,A470)&gt;0),1,0))</f>
        <v>0</v>
      </c>
      <c r="AF470" s="5">
        <f>IF(A470="",0,IF(OR(WEEKDAY(A470+1,2)=7,COUNTIF(Festivos!$A$5:$A$451,A470+1)&gt;0),1,0))</f>
        <v>0</v>
      </c>
      <c r="AG470" s="9">
        <f>IF(A470="",0,VLOOKUP(A470,Parámetros!$A$18:$B$21,2,TRUE()))</f>
        <v>0</v>
      </c>
      <c r="AH470" s="20">
        <f t="shared" si="156"/>
        <v>0</v>
      </c>
      <c r="AI470" s="20">
        <f>MAX(0,MIN(AB470,Parámetros!$B$11)-MAX(X470,0))+MAX(0,MIN(AB470,1+Parámetros!$B$11)-MAX(X470,AD470))+MAX(0,MIN(AB470,2)-MAX(X470,1+AD470))</f>
        <v>0</v>
      </c>
      <c r="AJ470" s="20">
        <f t="shared" si="157"/>
        <v>0</v>
      </c>
      <c r="AK470" s="20">
        <f>AE470*(MAX(0,MIN(AB470,Parámetros!$B$11)-MAX(X470,0))+MAX(0,MIN(AB470,1)-MAX(X470,AD470)))+AF470*(MAX(0,MIN(AB470,1+Parámetros!$B$11)-MAX(X470,1))+MAX(0,MIN(AB470,2)-MAX(X470,1+AD470)))</f>
        <v>0</v>
      </c>
      <c r="AL470" s="20">
        <f t="shared" si="158"/>
        <v>0</v>
      </c>
      <c r="AM470" s="20">
        <f>MAX(0,MIN(AC470,Parámetros!$B$11)-MAX(AB470,0))+MAX(0,MIN(AC470,1+Parámetros!$B$11)-MAX(AB470,AD470))+MAX(0,MIN(AC470,2)-MAX(AB470,1+AD470))</f>
        <v>0</v>
      </c>
      <c r="AN470" s="20">
        <f t="shared" si="159"/>
        <v>0</v>
      </c>
      <c r="AO470" s="20">
        <f>AE470*(MAX(0,MIN(AC470,Parámetros!$B$11)-MAX(AB470,0))+MAX(0,MIN(AC470,1)-MAX(AB470,AD470)))+AF470*(MAX(0,MIN(AC470,1+Parámetros!$B$11)-MAX(AB470,1))+MAX(0,MIN(AC470,2)-MAX(AB470,1+AD470)))</f>
        <v>0</v>
      </c>
    </row>
    <row r="471" spans="1:41" x14ac:dyDescent="0.25">
      <c r="A471" s="15"/>
      <c r="B471" s="8"/>
      <c r="C471" s="5" t="str">
        <f>IF(B471="","",IFERROR(INDEX(Trabajadores!$B$5:$B$204,MATCH(B471,Trabajadores!$A$5:$A$204,0)),"Cédula no registrada"))</f>
        <v/>
      </c>
      <c r="D471" s="11"/>
      <c r="E471" s="11"/>
      <c r="F471" s="8"/>
      <c r="G471" s="18" t="str">
        <f>IF(A471="","",IFERROR(INDEX(Trabajadores!$E$5:$E$204,MATCH(B471,Trabajadores!$A$5:$A$204,0))/Parámetros!$B$6,0)+IF(IFERROR(INDEX(Trabajadores!$E$5:$E$204,MATCH(B471,Trabajadores!$A$5:$A$204,0)),"")="",Parámetros!$B$7,0))</f>
        <v/>
      </c>
      <c r="H471" s="5" t="str">
        <f t="shared" si="140"/>
        <v/>
      </c>
      <c r="I471" s="5" t="str">
        <f>IF(A471="","",IF(COUNTIF(Festivos!$A$5:$A$451,A471)&gt;0,"Festivo",IF(WEEKDAY(A471,2)=7,"Domingo",IF(AND(AF471=1,AC471&gt;1),IF(COUNTIF(Festivos!$A$5:$A$451,A471+1)&gt;0,"Festivo","Domingo")&amp;" desde las 00:00",""))))</f>
        <v/>
      </c>
      <c r="J471" s="19" t="str">
        <f t="shared" si="141"/>
        <v/>
      </c>
      <c r="K471" s="19" t="str">
        <f t="shared" si="142"/>
        <v/>
      </c>
      <c r="L471" s="19" t="str">
        <f t="shared" si="143"/>
        <v/>
      </c>
      <c r="M471" s="19" t="str">
        <f t="shared" si="144"/>
        <v/>
      </c>
      <c r="N471" s="19" t="str">
        <f t="shared" si="145"/>
        <v/>
      </c>
      <c r="O471" s="19" t="str">
        <f t="shared" si="146"/>
        <v/>
      </c>
      <c r="P471" s="19" t="str">
        <f t="shared" si="147"/>
        <v/>
      </c>
      <c r="Q471" s="19" t="str">
        <f t="shared" si="148"/>
        <v/>
      </c>
      <c r="R471" s="19" t="str">
        <f t="shared" si="149"/>
        <v/>
      </c>
      <c r="S471" s="17" t="str">
        <f>IF(B471="","",IFERROR(INDEX(Trabajadores!$G$5:$G$204,MATCH(B471,Trabajadores!$A$5:$A$204,0)),""))</f>
        <v/>
      </c>
      <c r="T471" s="17" t="str">
        <f>IF(OR(OR(A471="",D471="",E471=""),S471=""),"",ROUND(S471*(N(L471)*Parámetros!$B$8+N(M471)*(1+Parámetros!$B$9)+N(N471)*(1+Parámetros!$B$10)+N(O471)*(1+AG471)+N(P471)*(1+AG471+Parámetros!$B$8)+N(Q471)*(1+AG471+Parámetros!$B$9)+N(R471)*(1+AG471+Parámetros!$B$10)),0))</f>
        <v/>
      </c>
      <c r="U471" s="5" t="str">
        <f>IF(OR(A471="",D471="",E471=""),"",IF(N(M471)+N(N471)+N(Q471)+N(R471)&gt;Parámetros!$B$12,"Supera el límite de horas extras diarias",IF(C471="Cédula no registrada","Registre la cédula en «Trabajadores»","")))</f>
        <v/>
      </c>
      <c r="X471" s="20">
        <f t="shared" si="150"/>
        <v>0</v>
      </c>
      <c r="Y471" s="20">
        <f t="shared" si="151"/>
        <v>0</v>
      </c>
      <c r="Z471" s="20">
        <f t="shared" si="152"/>
        <v>0</v>
      </c>
      <c r="AA471" s="20">
        <f t="shared" si="153"/>
        <v>0</v>
      </c>
      <c r="AB471" s="20">
        <f t="shared" si="154"/>
        <v>0</v>
      </c>
      <c r="AC471" s="20">
        <f t="shared" si="155"/>
        <v>0</v>
      </c>
      <c r="AD471" s="20">
        <f>IF(A471="",21/24,MOD(VLOOKUP(A471,Parámetros!$A$24:$B$25,2,TRUE()),1))</f>
        <v>0.875</v>
      </c>
      <c r="AE471" s="5">
        <f>IF(A471="",0,IF(OR(WEEKDAY(A471,2)=7,COUNTIF(Festivos!$A$5:$A$451,A471)&gt;0),1,0))</f>
        <v>0</v>
      </c>
      <c r="AF471" s="5">
        <f>IF(A471="",0,IF(OR(WEEKDAY(A471+1,2)=7,COUNTIF(Festivos!$A$5:$A$451,A471+1)&gt;0),1,0))</f>
        <v>0</v>
      </c>
      <c r="AG471" s="9">
        <f>IF(A471="",0,VLOOKUP(A471,Parámetros!$A$18:$B$21,2,TRUE()))</f>
        <v>0</v>
      </c>
      <c r="AH471" s="20">
        <f t="shared" si="156"/>
        <v>0</v>
      </c>
      <c r="AI471" s="20">
        <f>MAX(0,MIN(AB471,Parámetros!$B$11)-MAX(X471,0))+MAX(0,MIN(AB471,1+Parámetros!$B$11)-MAX(X471,AD471))+MAX(0,MIN(AB471,2)-MAX(X471,1+AD471))</f>
        <v>0</v>
      </c>
      <c r="AJ471" s="20">
        <f t="shared" si="157"/>
        <v>0</v>
      </c>
      <c r="AK471" s="20">
        <f>AE471*(MAX(0,MIN(AB471,Parámetros!$B$11)-MAX(X471,0))+MAX(0,MIN(AB471,1)-MAX(X471,AD471)))+AF471*(MAX(0,MIN(AB471,1+Parámetros!$B$11)-MAX(X471,1))+MAX(0,MIN(AB471,2)-MAX(X471,1+AD471)))</f>
        <v>0</v>
      </c>
      <c r="AL471" s="20">
        <f t="shared" si="158"/>
        <v>0</v>
      </c>
      <c r="AM471" s="20">
        <f>MAX(0,MIN(AC471,Parámetros!$B$11)-MAX(AB471,0))+MAX(0,MIN(AC471,1+Parámetros!$B$11)-MAX(AB471,AD471))+MAX(0,MIN(AC471,2)-MAX(AB471,1+AD471))</f>
        <v>0</v>
      </c>
      <c r="AN471" s="20">
        <f t="shared" si="159"/>
        <v>0</v>
      </c>
      <c r="AO471" s="20">
        <f>AE471*(MAX(0,MIN(AC471,Parámetros!$B$11)-MAX(AB471,0))+MAX(0,MIN(AC471,1)-MAX(AB471,AD471)))+AF471*(MAX(0,MIN(AC471,1+Parámetros!$B$11)-MAX(AB471,1))+MAX(0,MIN(AC471,2)-MAX(AB471,1+AD471)))</f>
        <v>0</v>
      </c>
    </row>
    <row r="472" spans="1:41" x14ac:dyDescent="0.25">
      <c r="A472" s="15"/>
      <c r="B472" s="8"/>
      <c r="C472" s="5" t="str">
        <f>IF(B472="","",IFERROR(INDEX(Trabajadores!$B$5:$B$204,MATCH(B472,Trabajadores!$A$5:$A$204,0)),"Cédula no registrada"))</f>
        <v/>
      </c>
      <c r="D472" s="11"/>
      <c r="E472" s="11"/>
      <c r="F472" s="8"/>
      <c r="G472" s="18" t="str">
        <f>IF(A472="","",IFERROR(INDEX(Trabajadores!$E$5:$E$204,MATCH(B472,Trabajadores!$A$5:$A$204,0))/Parámetros!$B$6,0)+IF(IFERROR(INDEX(Trabajadores!$E$5:$E$204,MATCH(B472,Trabajadores!$A$5:$A$204,0)),"")="",Parámetros!$B$7,0))</f>
        <v/>
      </c>
      <c r="H472" s="5" t="str">
        <f t="shared" si="140"/>
        <v/>
      </c>
      <c r="I472" s="5" t="str">
        <f>IF(A472="","",IF(COUNTIF(Festivos!$A$5:$A$451,A472)&gt;0,"Festivo",IF(WEEKDAY(A472,2)=7,"Domingo",IF(AND(AF472=1,AC472&gt;1),IF(COUNTIF(Festivos!$A$5:$A$451,A472+1)&gt;0,"Festivo","Domingo")&amp;" desde las 00:00",""))))</f>
        <v/>
      </c>
      <c r="J472" s="19" t="str">
        <f t="shared" si="141"/>
        <v/>
      </c>
      <c r="K472" s="19" t="str">
        <f t="shared" si="142"/>
        <v/>
      </c>
      <c r="L472" s="19" t="str">
        <f t="shared" si="143"/>
        <v/>
      </c>
      <c r="M472" s="19" t="str">
        <f t="shared" si="144"/>
        <v/>
      </c>
      <c r="N472" s="19" t="str">
        <f t="shared" si="145"/>
        <v/>
      </c>
      <c r="O472" s="19" t="str">
        <f t="shared" si="146"/>
        <v/>
      </c>
      <c r="P472" s="19" t="str">
        <f t="shared" si="147"/>
        <v/>
      </c>
      <c r="Q472" s="19" t="str">
        <f t="shared" si="148"/>
        <v/>
      </c>
      <c r="R472" s="19" t="str">
        <f t="shared" si="149"/>
        <v/>
      </c>
      <c r="S472" s="17" t="str">
        <f>IF(B472="","",IFERROR(INDEX(Trabajadores!$G$5:$G$204,MATCH(B472,Trabajadores!$A$5:$A$204,0)),""))</f>
        <v/>
      </c>
      <c r="T472" s="17" t="str">
        <f>IF(OR(OR(A472="",D472="",E472=""),S472=""),"",ROUND(S472*(N(L472)*Parámetros!$B$8+N(M472)*(1+Parámetros!$B$9)+N(N472)*(1+Parámetros!$B$10)+N(O472)*(1+AG472)+N(P472)*(1+AG472+Parámetros!$B$8)+N(Q472)*(1+AG472+Parámetros!$B$9)+N(R472)*(1+AG472+Parámetros!$B$10)),0))</f>
        <v/>
      </c>
      <c r="U472" s="5" t="str">
        <f>IF(OR(A472="",D472="",E472=""),"",IF(N(M472)+N(N472)+N(Q472)+N(R472)&gt;Parámetros!$B$12,"Supera el límite de horas extras diarias",IF(C472="Cédula no registrada","Registre la cédula en «Trabajadores»","")))</f>
        <v/>
      </c>
      <c r="X472" s="20">
        <f t="shared" si="150"/>
        <v>0</v>
      </c>
      <c r="Y472" s="20">
        <f t="shared" si="151"/>
        <v>0</v>
      </c>
      <c r="Z472" s="20">
        <f t="shared" si="152"/>
        <v>0</v>
      </c>
      <c r="AA472" s="20">
        <f t="shared" si="153"/>
        <v>0</v>
      </c>
      <c r="AB472" s="20">
        <f t="shared" si="154"/>
        <v>0</v>
      </c>
      <c r="AC472" s="20">
        <f t="shared" si="155"/>
        <v>0</v>
      </c>
      <c r="AD472" s="20">
        <f>IF(A472="",21/24,MOD(VLOOKUP(A472,Parámetros!$A$24:$B$25,2,TRUE()),1))</f>
        <v>0.875</v>
      </c>
      <c r="AE472" s="5">
        <f>IF(A472="",0,IF(OR(WEEKDAY(A472,2)=7,COUNTIF(Festivos!$A$5:$A$451,A472)&gt;0),1,0))</f>
        <v>0</v>
      </c>
      <c r="AF472" s="5">
        <f>IF(A472="",0,IF(OR(WEEKDAY(A472+1,2)=7,COUNTIF(Festivos!$A$5:$A$451,A472+1)&gt;0),1,0))</f>
        <v>0</v>
      </c>
      <c r="AG472" s="9">
        <f>IF(A472="",0,VLOOKUP(A472,Parámetros!$A$18:$B$21,2,TRUE()))</f>
        <v>0</v>
      </c>
      <c r="AH472" s="20">
        <f t="shared" si="156"/>
        <v>0</v>
      </c>
      <c r="AI472" s="20">
        <f>MAX(0,MIN(AB472,Parámetros!$B$11)-MAX(X472,0))+MAX(0,MIN(AB472,1+Parámetros!$B$11)-MAX(X472,AD472))+MAX(0,MIN(AB472,2)-MAX(X472,1+AD472))</f>
        <v>0</v>
      </c>
      <c r="AJ472" s="20">
        <f t="shared" si="157"/>
        <v>0</v>
      </c>
      <c r="AK472" s="20">
        <f>AE472*(MAX(0,MIN(AB472,Parámetros!$B$11)-MAX(X472,0))+MAX(0,MIN(AB472,1)-MAX(X472,AD472)))+AF472*(MAX(0,MIN(AB472,1+Parámetros!$B$11)-MAX(X472,1))+MAX(0,MIN(AB472,2)-MAX(X472,1+AD472)))</f>
        <v>0</v>
      </c>
      <c r="AL472" s="20">
        <f t="shared" si="158"/>
        <v>0</v>
      </c>
      <c r="AM472" s="20">
        <f>MAX(0,MIN(AC472,Parámetros!$B$11)-MAX(AB472,0))+MAX(0,MIN(AC472,1+Parámetros!$B$11)-MAX(AB472,AD472))+MAX(0,MIN(AC472,2)-MAX(AB472,1+AD472))</f>
        <v>0</v>
      </c>
      <c r="AN472" s="20">
        <f t="shared" si="159"/>
        <v>0</v>
      </c>
      <c r="AO472" s="20">
        <f>AE472*(MAX(0,MIN(AC472,Parámetros!$B$11)-MAX(AB472,0))+MAX(0,MIN(AC472,1)-MAX(AB472,AD472)))+AF472*(MAX(0,MIN(AC472,1+Parámetros!$B$11)-MAX(AB472,1))+MAX(0,MIN(AC472,2)-MAX(AB472,1+AD472)))</f>
        <v>0</v>
      </c>
    </row>
    <row r="473" spans="1:41" x14ac:dyDescent="0.25">
      <c r="A473" s="15"/>
      <c r="B473" s="8"/>
      <c r="C473" s="5" t="str">
        <f>IF(B473="","",IFERROR(INDEX(Trabajadores!$B$5:$B$204,MATCH(B473,Trabajadores!$A$5:$A$204,0)),"Cédula no registrada"))</f>
        <v/>
      </c>
      <c r="D473" s="11"/>
      <c r="E473" s="11"/>
      <c r="F473" s="8"/>
      <c r="G473" s="18" t="str">
        <f>IF(A473="","",IFERROR(INDEX(Trabajadores!$E$5:$E$204,MATCH(B473,Trabajadores!$A$5:$A$204,0))/Parámetros!$B$6,0)+IF(IFERROR(INDEX(Trabajadores!$E$5:$E$204,MATCH(B473,Trabajadores!$A$5:$A$204,0)),"")="",Parámetros!$B$7,0))</f>
        <v/>
      </c>
      <c r="H473" s="5" t="str">
        <f t="shared" si="140"/>
        <v/>
      </c>
      <c r="I473" s="5" t="str">
        <f>IF(A473="","",IF(COUNTIF(Festivos!$A$5:$A$451,A473)&gt;0,"Festivo",IF(WEEKDAY(A473,2)=7,"Domingo",IF(AND(AF473=1,AC473&gt;1),IF(COUNTIF(Festivos!$A$5:$A$451,A473+1)&gt;0,"Festivo","Domingo")&amp;" desde las 00:00",""))))</f>
        <v/>
      </c>
      <c r="J473" s="19" t="str">
        <f t="shared" si="141"/>
        <v/>
      </c>
      <c r="K473" s="19" t="str">
        <f t="shared" si="142"/>
        <v/>
      </c>
      <c r="L473" s="19" t="str">
        <f t="shared" si="143"/>
        <v/>
      </c>
      <c r="M473" s="19" t="str">
        <f t="shared" si="144"/>
        <v/>
      </c>
      <c r="N473" s="19" t="str">
        <f t="shared" si="145"/>
        <v/>
      </c>
      <c r="O473" s="19" t="str">
        <f t="shared" si="146"/>
        <v/>
      </c>
      <c r="P473" s="19" t="str">
        <f t="shared" si="147"/>
        <v/>
      </c>
      <c r="Q473" s="19" t="str">
        <f t="shared" si="148"/>
        <v/>
      </c>
      <c r="R473" s="19" t="str">
        <f t="shared" si="149"/>
        <v/>
      </c>
      <c r="S473" s="17" t="str">
        <f>IF(B473="","",IFERROR(INDEX(Trabajadores!$G$5:$G$204,MATCH(B473,Trabajadores!$A$5:$A$204,0)),""))</f>
        <v/>
      </c>
      <c r="T473" s="17" t="str">
        <f>IF(OR(OR(A473="",D473="",E473=""),S473=""),"",ROUND(S473*(N(L473)*Parámetros!$B$8+N(M473)*(1+Parámetros!$B$9)+N(N473)*(1+Parámetros!$B$10)+N(O473)*(1+AG473)+N(P473)*(1+AG473+Parámetros!$B$8)+N(Q473)*(1+AG473+Parámetros!$B$9)+N(R473)*(1+AG473+Parámetros!$B$10)),0))</f>
        <v/>
      </c>
      <c r="U473" s="5" t="str">
        <f>IF(OR(A473="",D473="",E473=""),"",IF(N(M473)+N(N473)+N(Q473)+N(R473)&gt;Parámetros!$B$12,"Supera el límite de horas extras diarias",IF(C473="Cédula no registrada","Registre la cédula en «Trabajadores»","")))</f>
        <v/>
      </c>
      <c r="X473" s="20">
        <f t="shared" si="150"/>
        <v>0</v>
      </c>
      <c r="Y473" s="20">
        <f t="shared" si="151"/>
        <v>0</v>
      </c>
      <c r="Z473" s="20">
        <f t="shared" si="152"/>
        <v>0</v>
      </c>
      <c r="AA473" s="20">
        <f t="shared" si="153"/>
        <v>0</v>
      </c>
      <c r="AB473" s="20">
        <f t="shared" si="154"/>
        <v>0</v>
      </c>
      <c r="AC473" s="20">
        <f t="shared" si="155"/>
        <v>0</v>
      </c>
      <c r="AD473" s="20">
        <f>IF(A473="",21/24,MOD(VLOOKUP(A473,Parámetros!$A$24:$B$25,2,TRUE()),1))</f>
        <v>0.875</v>
      </c>
      <c r="AE473" s="5">
        <f>IF(A473="",0,IF(OR(WEEKDAY(A473,2)=7,COUNTIF(Festivos!$A$5:$A$451,A473)&gt;0),1,0))</f>
        <v>0</v>
      </c>
      <c r="AF473" s="5">
        <f>IF(A473="",0,IF(OR(WEEKDAY(A473+1,2)=7,COUNTIF(Festivos!$A$5:$A$451,A473+1)&gt;0),1,0))</f>
        <v>0</v>
      </c>
      <c r="AG473" s="9">
        <f>IF(A473="",0,VLOOKUP(A473,Parámetros!$A$18:$B$21,2,TRUE()))</f>
        <v>0</v>
      </c>
      <c r="AH473" s="20">
        <f t="shared" si="156"/>
        <v>0</v>
      </c>
      <c r="AI473" s="20">
        <f>MAX(0,MIN(AB473,Parámetros!$B$11)-MAX(X473,0))+MAX(0,MIN(AB473,1+Parámetros!$B$11)-MAX(X473,AD473))+MAX(0,MIN(AB473,2)-MAX(X473,1+AD473))</f>
        <v>0</v>
      </c>
      <c r="AJ473" s="20">
        <f t="shared" si="157"/>
        <v>0</v>
      </c>
      <c r="AK473" s="20">
        <f>AE473*(MAX(0,MIN(AB473,Parámetros!$B$11)-MAX(X473,0))+MAX(0,MIN(AB473,1)-MAX(X473,AD473)))+AF473*(MAX(0,MIN(AB473,1+Parámetros!$B$11)-MAX(X473,1))+MAX(0,MIN(AB473,2)-MAX(X473,1+AD473)))</f>
        <v>0</v>
      </c>
      <c r="AL473" s="20">
        <f t="shared" si="158"/>
        <v>0</v>
      </c>
      <c r="AM473" s="20">
        <f>MAX(0,MIN(AC473,Parámetros!$B$11)-MAX(AB473,0))+MAX(0,MIN(AC473,1+Parámetros!$B$11)-MAX(AB473,AD473))+MAX(0,MIN(AC473,2)-MAX(AB473,1+AD473))</f>
        <v>0</v>
      </c>
      <c r="AN473" s="20">
        <f t="shared" si="159"/>
        <v>0</v>
      </c>
      <c r="AO473" s="20">
        <f>AE473*(MAX(0,MIN(AC473,Parámetros!$B$11)-MAX(AB473,0))+MAX(0,MIN(AC473,1)-MAX(AB473,AD473)))+AF473*(MAX(0,MIN(AC473,1+Parámetros!$B$11)-MAX(AB473,1))+MAX(0,MIN(AC473,2)-MAX(AB473,1+AD473)))</f>
        <v>0</v>
      </c>
    </row>
    <row r="474" spans="1:41" x14ac:dyDescent="0.25">
      <c r="A474" s="15"/>
      <c r="B474" s="8"/>
      <c r="C474" s="5" t="str">
        <f>IF(B474="","",IFERROR(INDEX(Trabajadores!$B$5:$B$204,MATCH(B474,Trabajadores!$A$5:$A$204,0)),"Cédula no registrada"))</f>
        <v/>
      </c>
      <c r="D474" s="11"/>
      <c r="E474" s="11"/>
      <c r="F474" s="8"/>
      <c r="G474" s="18" t="str">
        <f>IF(A474="","",IFERROR(INDEX(Trabajadores!$E$5:$E$204,MATCH(B474,Trabajadores!$A$5:$A$204,0))/Parámetros!$B$6,0)+IF(IFERROR(INDEX(Trabajadores!$E$5:$E$204,MATCH(B474,Trabajadores!$A$5:$A$204,0)),"")="",Parámetros!$B$7,0))</f>
        <v/>
      </c>
      <c r="H474" s="5" t="str">
        <f t="shared" si="140"/>
        <v/>
      </c>
      <c r="I474" s="5" t="str">
        <f>IF(A474="","",IF(COUNTIF(Festivos!$A$5:$A$451,A474)&gt;0,"Festivo",IF(WEEKDAY(A474,2)=7,"Domingo",IF(AND(AF474=1,AC474&gt;1),IF(COUNTIF(Festivos!$A$5:$A$451,A474+1)&gt;0,"Festivo","Domingo")&amp;" desde las 00:00",""))))</f>
        <v/>
      </c>
      <c r="J474" s="19" t="str">
        <f t="shared" si="141"/>
        <v/>
      </c>
      <c r="K474" s="19" t="str">
        <f t="shared" si="142"/>
        <v/>
      </c>
      <c r="L474" s="19" t="str">
        <f t="shared" si="143"/>
        <v/>
      </c>
      <c r="M474" s="19" t="str">
        <f t="shared" si="144"/>
        <v/>
      </c>
      <c r="N474" s="19" t="str">
        <f t="shared" si="145"/>
        <v/>
      </c>
      <c r="O474" s="19" t="str">
        <f t="shared" si="146"/>
        <v/>
      </c>
      <c r="P474" s="19" t="str">
        <f t="shared" si="147"/>
        <v/>
      </c>
      <c r="Q474" s="19" t="str">
        <f t="shared" si="148"/>
        <v/>
      </c>
      <c r="R474" s="19" t="str">
        <f t="shared" si="149"/>
        <v/>
      </c>
      <c r="S474" s="17" t="str">
        <f>IF(B474="","",IFERROR(INDEX(Trabajadores!$G$5:$G$204,MATCH(B474,Trabajadores!$A$5:$A$204,0)),""))</f>
        <v/>
      </c>
      <c r="T474" s="17" t="str">
        <f>IF(OR(OR(A474="",D474="",E474=""),S474=""),"",ROUND(S474*(N(L474)*Parámetros!$B$8+N(M474)*(1+Parámetros!$B$9)+N(N474)*(1+Parámetros!$B$10)+N(O474)*(1+AG474)+N(P474)*(1+AG474+Parámetros!$B$8)+N(Q474)*(1+AG474+Parámetros!$B$9)+N(R474)*(1+AG474+Parámetros!$B$10)),0))</f>
        <v/>
      </c>
      <c r="U474" s="5" t="str">
        <f>IF(OR(A474="",D474="",E474=""),"",IF(N(M474)+N(N474)+N(Q474)+N(R474)&gt;Parámetros!$B$12,"Supera el límite de horas extras diarias",IF(C474="Cédula no registrada","Registre la cédula en «Trabajadores»","")))</f>
        <v/>
      </c>
      <c r="X474" s="20">
        <f t="shared" si="150"/>
        <v>0</v>
      </c>
      <c r="Y474" s="20">
        <f t="shared" si="151"/>
        <v>0</v>
      </c>
      <c r="Z474" s="20">
        <f t="shared" si="152"/>
        <v>0</v>
      </c>
      <c r="AA474" s="20">
        <f t="shared" si="153"/>
        <v>0</v>
      </c>
      <c r="AB474" s="20">
        <f t="shared" si="154"/>
        <v>0</v>
      </c>
      <c r="AC474" s="20">
        <f t="shared" si="155"/>
        <v>0</v>
      </c>
      <c r="AD474" s="20">
        <f>IF(A474="",21/24,MOD(VLOOKUP(A474,Parámetros!$A$24:$B$25,2,TRUE()),1))</f>
        <v>0.875</v>
      </c>
      <c r="AE474" s="5">
        <f>IF(A474="",0,IF(OR(WEEKDAY(A474,2)=7,COUNTIF(Festivos!$A$5:$A$451,A474)&gt;0),1,0))</f>
        <v>0</v>
      </c>
      <c r="AF474" s="5">
        <f>IF(A474="",0,IF(OR(WEEKDAY(A474+1,2)=7,COUNTIF(Festivos!$A$5:$A$451,A474+1)&gt;0),1,0))</f>
        <v>0</v>
      </c>
      <c r="AG474" s="9">
        <f>IF(A474="",0,VLOOKUP(A474,Parámetros!$A$18:$B$21,2,TRUE()))</f>
        <v>0</v>
      </c>
      <c r="AH474" s="20">
        <f t="shared" si="156"/>
        <v>0</v>
      </c>
      <c r="AI474" s="20">
        <f>MAX(0,MIN(AB474,Parámetros!$B$11)-MAX(X474,0))+MAX(0,MIN(AB474,1+Parámetros!$B$11)-MAX(X474,AD474))+MAX(0,MIN(AB474,2)-MAX(X474,1+AD474))</f>
        <v>0</v>
      </c>
      <c r="AJ474" s="20">
        <f t="shared" si="157"/>
        <v>0</v>
      </c>
      <c r="AK474" s="20">
        <f>AE474*(MAX(0,MIN(AB474,Parámetros!$B$11)-MAX(X474,0))+MAX(0,MIN(AB474,1)-MAX(X474,AD474)))+AF474*(MAX(0,MIN(AB474,1+Parámetros!$B$11)-MAX(X474,1))+MAX(0,MIN(AB474,2)-MAX(X474,1+AD474)))</f>
        <v>0</v>
      </c>
      <c r="AL474" s="20">
        <f t="shared" si="158"/>
        <v>0</v>
      </c>
      <c r="AM474" s="20">
        <f>MAX(0,MIN(AC474,Parámetros!$B$11)-MAX(AB474,0))+MAX(0,MIN(AC474,1+Parámetros!$B$11)-MAX(AB474,AD474))+MAX(0,MIN(AC474,2)-MAX(AB474,1+AD474))</f>
        <v>0</v>
      </c>
      <c r="AN474" s="20">
        <f t="shared" si="159"/>
        <v>0</v>
      </c>
      <c r="AO474" s="20">
        <f>AE474*(MAX(0,MIN(AC474,Parámetros!$B$11)-MAX(AB474,0))+MAX(0,MIN(AC474,1)-MAX(AB474,AD474)))+AF474*(MAX(0,MIN(AC474,1+Parámetros!$B$11)-MAX(AB474,1))+MAX(0,MIN(AC474,2)-MAX(AB474,1+AD474)))</f>
        <v>0</v>
      </c>
    </row>
    <row r="475" spans="1:41" x14ac:dyDescent="0.25">
      <c r="A475" s="15"/>
      <c r="B475" s="8"/>
      <c r="C475" s="5" t="str">
        <f>IF(B475="","",IFERROR(INDEX(Trabajadores!$B$5:$B$204,MATCH(B475,Trabajadores!$A$5:$A$204,0)),"Cédula no registrada"))</f>
        <v/>
      </c>
      <c r="D475" s="11"/>
      <c r="E475" s="11"/>
      <c r="F475" s="8"/>
      <c r="G475" s="18" t="str">
        <f>IF(A475="","",IFERROR(INDEX(Trabajadores!$E$5:$E$204,MATCH(B475,Trabajadores!$A$5:$A$204,0))/Parámetros!$B$6,0)+IF(IFERROR(INDEX(Trabajadores!$E$5:$E$204,MATCH(B475,Trabajadores!$A$5:$A$204,0)),"")="",Parámetros!$B$7,0))</f>
        <v/>
      </c>
      <c r="H475" s="5" t="str">
        <f t="shared" si="140"/>
        <v/>
      </c>
      <c r="I475" s="5" t="str">
        <f>IF(A475="","",IF(COUNTIF(Festivos!$A$5:$A$451,A475)&gt;0,"Festivo",IF(WEEKDAY(A475,2)=7,"Domingo",IF(AND(AF475=1,AC475&gt;1),IF(COUNTIF(Festivos!$A$5:$A$451,A475+1)&gt;0,"Festivo","Domingo")&amp;" desde las 00:00",""))))</f>
        <v/>
      </c>
      <c r="J475" s="19" t="str">
        <f t="shared" si="141"/>
        <v/>
      </c>
      <c r="K475" s="19" t="str">
        <f t="shared" si="142"/>
        <v/>
      </c>
      <c r="L475" s="19" t="str">
        <f t="shared" si="143"/>
        <v/>
      </c>
      <c r="M475" s="19" t="str">
        <f t="shared" si="144"/>
        <v/>
      </c>
      <c r="N475" s="19" t="str">
        <f t="shared" si="145"/>
        <v/>
      </c>
      <c r="O475" s="19" t="str">
        <f t="shared" si="146"/>
        <v/>
      </c>
      <c r="P475" s="19" t="str">
        <f t="shared" si="147"/>
        <v/>
      </c>
      <c r="Q475" s="19" t="str">
        <f t="shared" si="148"/>
        <v/>
      </c>
      <c r="R475" s="19" t="str">
        <f t="shared" si="149"/>
        <v/>
      </c>
      <c r="S475" s="17" t="str">
        <f>IF(B475="","",IFERROR(INDEX(Trabajadores!$G$5:$G$204,MATCH(B475,Trabajadores!$A$5:$A$204,0)),""))</f>
        <v/>
      </c>
      <c r="T475" s="17" t="str">
        <f>IF(OR(OR(A475="",D475="",E475=""),S475=""),"",ROUND(S475*(N(L475)*Parámetros!$B$8+N(M475)*(1+Parámetros!$B$9)+N(N475)*(1+Parámetros!$B$10)+N(O475)*(1+AG475)+N(P475)*(1+AG475+Parámetros!$B$8)+N(Q475)*(1+AG475+Parámetros!$B$9)+N(R475)*(1+AG475+Parámetros!$B$10)),0))</f>
        <v/>
      </c>
      <c r="U475" s="5" t="str">
        <f>IF(OR(A475="",D475="",E475=""),"",IF(N(M475)+N(N475)+N(Q475)+N(R475)&gt;Parámetros!$B$12,"Supera el límite de horas extras diarias",IF(C475="Cédula no registrada","Registre la cédula en «Trabajadores»","")))</f>
        <v/>
      </c>
      <c r="X475" s="20">
        <f t="shared" si="150"/>
        <v>0</v>
      </c>
      <c r="Y475" s="20">
        <f t="shared" si="151"/>
        <v>0</v>
      </c>
      <c r="Z475" s="20">
        <f t="shared" si="152"/>
        <v>0</v>
      </c>
      <c r="AA475" s="20">
        <f t="shared" si="153"/>
        <v>0</v>
      </c>
      <c r="AB475" s="20">
        <f t="shared" si="154"/>
        <v>0</v>
      </c>
      <c r="AC475" s="20">
        <f t="shared" si="155"/>
        <v>0</v>
      </c>
      <c r="AD475" s="20">
        <f>IF(A475="",21/24,MOD(VLOOKUP(A475,Parámetros!$A$24:$B$25,2,TRUE()),1))</f>
        <v>0.875</v>
      </c>
      <c r="AE475" s="5">
        <f>IF(A475="",0,IF(OR(WEEKDAY(A475,2)=7,COUNTIF(Festivos!$A$5:$A$451,A475)&gt;0),1,0))</f>
        <v>0</v>
      </c>
      <c r="AF475" s="5">
        <f>IF(A475="",0,IF(OR(WEEKDAY(A475+1,2)=7,COUNTIF(Festivos!$A$5:$A$451,A475+1)&gt;0),1,0))</f>
        <v>0</v>
      </c>
      <c r="AG475" s="9">
        <f>IF(A475="",0,VLOOKUP(A475,Parámetros!$A$18:$B$21,2,TRUE()))</f>
        <v>0</v>
      </c>
      <c r="AH475" s="20">
        <f t="shared" si="156"/>
        <v>0</v>
      </c>
      <c r="AI475" s="20">
        <f>MAX(0,MIN(AB475,Parámetros!$B$11)-MAX(X475,0))+MAX(0,MIN(AB475,1+Parámetros!$B$11)-MAX(X475,AD475))+MAX(0,MIN(AB475,2)-MAX(X475,1+AD475))</f>
        <v>0</v>
      </c>
      <c r="AJ475" s="20">
        <f t="shared" si="157"/>
        <v>0</v>
      </c>
      <c r="AK475" s="20">
        <f>AE475*(MAX(0,MIN(AB475,Parámetros!$B$11)-MAX(X475,0))+MAX(0,MIN(AB475,1)-MAX(X475,AD475)))+AF475*(MAX(0,MIN(AB475,1+Parámetros!$B$11)-MAX(X475,1))+MAX(0,MIN(AB475,2)-MAX(X475,1+AD475)))</f>
        <v>0</v>
      </c>
      <c r="AL475" s="20">
        <f t="shared" si="158"/>
        <v>0</v>
      </c>
      <c r="AM475" s="20">
        <f>MAX(0,MIN(AC475,Parámetros!$B$11)-MAX(AB475,0))+MAX(0,MIN(AC475,1+Parámetros!$B$11)-MAX(AB475,AD475))+MAX(0,MIN(AC475,2)-MAX(AB475,1+AD475))</f>
        <v>0</v>
      </c>
      <c r="AN475" s="20">
        <f t="shared" si="159"/>
        <v>0</v>
      </c>
      <c r="AO475" s="20">
        <f>AE475*(MAX(0,MIN(AC475,Parámetros!$B$11)-MAX(AB475,0))+MAX(0,MIN(AC475,1)-MAX(AB475,AD475)))+AF475*(MAX(0,MIN(AC475,1+Parámetros!$B$11)-MAX(AB475,1))+MAX(0,MIN(AC475,2)-MAX(AB475,1+AD475)))</f>
        <v>0</v>
      </c>
    </row>
    <row r="476" spans="1:41" x14ac:dyDescent="0.25">
      <c r="A476" s="15"/>
      <c r="B476" s="8"/>
      <c r="C476" s="5" t="str">
        <f>IF(B476="","",IFERROR(INDEX(Trabajadores!$B$5:$B$204,MATCH(B476,Trabajadores!$A$5:$A$204,0)),"Cédula no registrada"))</f>
        <v/>
      </c>
      <c r="D476" s="11"/>
      <c r="E476" s="11"/>
      <c r="F476" s="8"/>
      <c r="G476" s="18" t="str">
        <f>IF(A476="","",IFERROR(INDEX(Trabajadores!$E$5:$E$204,MATCH(B476,Trabajadores!$A$5:$A$204,0))/Parámetros!$B$6,0)+IF(IFERROR(INDEX(Trabajadores!$E$5:$E$204,MATCH(B476,Trabajadores!$A$5:$A$204,0)),"")="",Parámetros!$B$7,0))</f>
        <v/>
      </c>
      <c r="H476" s="5" t="str">
        <f t="shared" si="140"/>
        <v/>
      </c>
      <c r="I476" s="5" t="str">
        <f>IF(A476="","",IF(COUNTIF(Festivos!$A$5:$A$451,A476)&gt;0,"Festivo",IF(WEEKDAY(A476,2)=7,"Domingo",IF(AND(AF476=1,AC476&gt;1),IF(COUNTIF(Festivos!$A$5:$A$451,A476+1)&gt;0,"Festivo","Domingo")&amp;" desde las 00:00",""))))</f>
        <v/>
      </c>
      <c r="J476" s="19" t="str">
        <f t="shared" si="141"/>
        <v/>
      </c>
      <c r="K476" s="19" t="str">
        <f t="shared" si="142"/>
        <v/>
      </c>
      <c r="L476" s="19" t="str">
        <f t="shared" si="143"/>
        <v/>
      </c>
      <c r="M476" s="19" t="str">
        <f t="shared" si="144"/>
        <v/>
      </c>
      <c r="N476" s="19" t="str">
        <f t="shared" si="145"/>
        <v/>
      </c>
      <c r="O476" s="19" t="str">
        <f t="shared" si="146"/>
        <v/>
      </c>
      <c r="P476" s="19" t="str">
        <f t="shared" si="147"/>
        <v/>
      </c>
      <c r="Q476" s="19" t="str">
        <f t="shared" si="148"/>
        <v/>
      </c>
      <c r="R476" s="19" t="str">
        <f t="shared" si="149"/>
        <v/>
      </c>
      <c r="S476" s="17" t="str">
        <f>IF(B476="","",IFERROR(INDEX(Trabajadores!$G$5:$G$204,MATCH(B476,Trabajadores!$A$5:$A$204,0)),""))</f>
        <v/>
      </c>
      <c r="T476" s="17" t="str">
        <f>IF(OR(OR(A476="",D476="",E476=""),S476=""),"",ROUND(S476*(N(L476)*Parámetros!$B$8+N(M476)*(1+Parámetros!$B$9)+N(N476)*(1+Parámetros!$B$10)+N(O476)*(1+AG476)+N(P476)*(1+AG476+Parámetros!$B$8)+N(Q476)*(1+AG476+Parámetros!$B$9)+N(R476)*(1+AG476+Parámetros!$B$10)),0))</f>
        <v/>
      </c>
      <c r="U476" s="5" t="str">
        <f>IF(OR(A476="",D476="",E476=""),"",IF(N(M476)+N(N476)+N(Q476)+N(R476)&gt;Parámetros!$B$12,"Supera el límite de horas extras diarias",IF(C476="Cédula no registrada","Registre la cédula en «Trabajadores»","")))</f>
        <v/>
      </c>
      <c r="X476" s="20">
        <f t="shared" si="150"/>
        <v>0</v>
      </c>
      <c r="Y476" s="20">
        <f t="shared" si="151"/>
        <v>0</v>
      </c>
      <c r="Z476" s="20">
        <f t="shared" si="152"/>
        <v>0</v>
      </c>
      <c r="AA476" s="20">
        <f t="shared" si="153"/>
        <v>0</v>
      </c>
      <c r="AB476" s="20">
        <f t="shared" si="154"/>
        <v>0</v>
      </c>
      <c r="AC476" s="20">
        <f t="shared" si="155"/>
        <v>0</v>
      </c>
      <c r="AD476" s="20">
        <f>IF(A476="",21/24,MOD(VLOOKUP(A476,Parámetros!$A$24:$B$25,2,TRUE()),1))</f>
        <v>0.875</v>
      </c>
      <c r="AE476" s="5">
        <f>IF(A476="",0,IF(OR(WEEKDAY(A476,2)=7,COUNTIF(Festivos!$A$5:$A$451,A476)&gt;0),1,0))</f>
        <v>0</v>
      </c>
      <c r="AF476" s="5">
        <f>IF(A476="",0,IF(OR(WEEKDAY(A476+1,2)=7,COUNTIF(Festivos!$A$5:$A$451,A476+1)&gt;0),1,0))</f>
        <v>0</v>
      </c>
      <c r="AG476" s="9">
        <f>IF(A476="",0,VLOOKUP(A476,Parámetros!$A$18:$B$21,2,TRUE()))</f>
        <v>0</v>
      </c>
      <c r="AH476" s="20">
        <f t="shared" si="156"/>
        <v>0</v>
      </c>
      <c r="AI476" s="20">
        <f>MAX(0,MIN(AB476,Parámetros!$B$11)-MAX(X476,0))+MAX(0,MIN(AB476,1+Parámetros!$B$11)-MAX(X476,AD476))+MAX(0,MIN(AB476,2)-MAX(X476,1+AD476))</f>
        <v>0</v>
      </c>
      <c r="AJ476" s="20">
        <f t="shared" si="157"/>
        <v>0</v>
      </c>
      <c r="AK476" s="20">
        <f>AE476*(MAX(0,MIN(AB476,Parámetros!$B$11)-MAX(X476,0))+MAX(0,MIN(AB476,1)-MAX(X476,AD476)))+AF476*(MAX(0,MIN(AB476,1+Parámetros!$B$11)-MAX(X476,1))+MAX(0,MIN(AB476,2)-MAX(X476,1+AD476)))</f>
        <v>0</v>
      </c>
      <c r="AL476" s="20">
        <f t="shared" si="158"/>
        <v>0</v>
      </c>
      <c r="AM476" s="20">
        <f>MAX(0,MIN(AC476,Parámetros!$B$11)-MAX(AB476,0))+MAX(0,MIN(AC476,1+Parámetros!$B$11)-MAX(AB476,AD476))+MAX(0,MIN(AC476,2)-MAX(AB476,1+AD476))</f>
        <v>0</v>
      </c>
      <c r="AN476" s="20">
        <f t="shared" si="159"/>
        <v>0</v>
      </c>
      <c r="AO476" s="20">
        <f>AE476*(MAX(0,MIN(AC476,Parámetros!$B$11)-MAX(AB476,0))+MAX(0,MIN(AC476,1)-MAX(AB476,AD476)))+AF476*(MAX(0,MIN(AC476,1+Parámetros!$B$11)-MAX(AB476,1))+MAX(0,MIN(AC476,2)-MAX(AB476,1+AD476)))</f>
        <v>0</v>
      </c>
    </row>
    <row r="477" spans="1:41" x14ac:dyDescent="0.25">
      <c r="A477" s="15"/>
      <c r="B477" s="8"/>
      <c r="C477" s="5" t="str">
        <f>IF(B477="","",IFERROR(INDEX(Trabajadores!$B$5:$B$204,MATCH(B477,Trabajadores!$A$5:$A$204,0)),"Cédula no registrada"))</f>
        <v/>
      </c>
      <c r="D477" s="11"/>
      <c r="E477" s="11"/>
      <c r="F477" s="8"/>
      <c r="G477" s="18" t="str">
        <f>IF(A477="","",IFERROR(INDEX(Trabajadores!$E$5:$E$204,MATCH(B477,Trabajadores!$A$5:$A$204,0))/Parámetros!$B$6,0)+IF(IFERROR(INDEX(Trabajadores!$E$5:$E$204,MATCH(B477,Trabajadores!$A$5:$A$204,0)),"")="",Parámetros!$B$7,0))</f>
        <v/>
      </c>
      <c r="H477" s="5" t="str">
        <f t="shared" si="140"/>
        <v/>
      </c>
      <c r="I477" s="5" t="str">
        <f>IF(A477="","",IF(COUNTIF(Festivos!$A$5:$A$451,A477)&gt;0,"Festivo",IF(WEEKDAY(A477,2)=7,"Domingo",IF(AND(AF477=1,AC477&gt;1),IF(COUNTIF(Festivos!$A$5:$A$451,A477+1)&gt;0,"Festivo","Domingo")&amp;" desde las 00:00",""))))</f>
        <v/>
      </c>
      <c r="J477" s="19" t="str">
        <f t="shared" si="141"/>
        <v/>
      </c>
      <c r="K477" s="19" t="str">
        <f t="shared" si="142"/>
        <v/>
      </c>
      <c r="L477" s="19" t="str">
        <f t="shared" si="143"/>
        <v/>
      </c>
      <c r="M477" s="19" t="str">
        <f t="shared" si="144"/>
        <v/>
      </c>
      <c r="N477" s="19" t="str">
        <f t="shared" si="145"/>
        <v/>
      </c>
      <c r="O477" s="19" t="str">
        <f t="shared" si="146"/>
        <v/>
      </c>
      <c r="P477" s="19" t="str">
        <f t="shared" si="147"/>
        <v/>
      </c>
      <c r="Q477" s="19" t="str">
        <f t="shared" si="148"/>
        <v/>
      </c>
      <c r="R477" s="19" t="str">
        <f t="shared" si="149"/>
        <v/>
      </c>
      <c r="S477" s="17" t="str">
        <f>IF(B477="","",IFERROR(INDEX(Trabajadores!$G$5:$G$204,MATCH(B477,Trabajadores!$A$5:$A$204,0)),""))</f>
        <v/>
      </c>
      <c r="T477" s="17" t="str">
        <f>IF(OR(OR(A477="",D477="",E477=""),S477=""),"",ROUND(S477*(N(L477)*Parámetros!$B$8+N(M477)*(1+Parámetros!$B$9)+N(N477)*(1+Parámetros!$B$10)+N(O477)*(1+AG477)+N(P477)*(1+AG477+Parámetros!$B$8)+N(Q477)*(1+AG477+Parámetros!$B$9)+N(R477)*(1+AG477+Parámetros!$B$10)),0))</f>
        <v/>
      </c>
      <c r="U477" s="5" t="str">
        <f>IF(OR(A477="",D477="",E477=""),"",IF(N(M477)+N(N477)+N(Q477)+N(R477)&gt;Parámetros!$B$12,"Supera el límite de horas extras diarias",IF(C477="Cédula no registrada","Registre la cédula en «Trabajadores»","")))</f>
        <v/>
      </c>
      <c r="X477" s="20">
        <f t="shared" si="150"/>
        <v>0</v>
      </c>
      <c r="Y477" s="20">
        <f t="shared" si="151"/>
        <v>0</v>
      </c>
      <c r="Z477" s="20">
        <f t="shared" si="152"/>
        <v>0</v>
      </c>
      <c r="AA477" s="20">
        <f t="shared" si="153"/>
        <v>0</v>
      </c>
      <c r="AB477" s="20">
        <f t="shared" si="154"/>
        <v>0</v>
      </c>
      <c r="AC477" s="20">
        <f t="shared" si="155"/>
        <v>0</v>
      </c>
      <c r="AD477" s="20">
        <f>IF(A477="",21/24,MOD(VLOOKUP(A477,Parámetros!$A$24:$B$25,2,TRUE()),1))</f>
        <v>0.875</v>
      </c>
      <c r="AE477" s="5">
        <f>IF(A477="",0,IF(OR(WEEKDAY(A477,2)=7,COUNTIF(Festivos!$A$5:$A$451,A477)&gt;0),1,0))</f>
        <v>0</v>
      </c>
      <c r="AF477" s="5">
        <f>IF(A477="",0,IF(OR(WEEKDAY(A477+1,2)=7,COUNTIF(Festivos!$A$5:$A$451,A477+1)&gt;0),1,0))</f>
        <v>0</v>
      </c>
      <c r="AG477" s="9">
        <f>IF(A477="",0,VLOOKUP(A477,Parámetros!$A$18:$B$21,2,TRUE()))</f>
        <v>0</v>
      </c>
      <c r="AH477" s="20">
        <f t="shared" si="156"/>
        <v>0</v>
      </c>
      <c r="AI477" s="20">
        <f>MAX(0,MIN(AB477,Parámetros!$B$11)-MAX(X477,0))+MAX(0,MIN(AB477,1+Parámetros!$B$11)-MAX(X477,AD477))+MAX(0,MIN(AB477,2)-MAX(X477,1+AD477))</f>
        <v>0</v>
      </c>
      <c r="AJ477" s="20">
        <f t="shared" si="157"/>
        <v>0</v>
      </c>
      <c r="AK477" s="20">
        <f>AE477*(MAX(0,MIN(AB477,Parámetros!$B$11)-MAX(X477,0))+MAX(0,MIN(AB477,1)-MAX(X477,AD477)))+AF477*(MAX(0,MIN(AB477,1+Parámetros!$B$11)-MAX(X477,1))+MAX(0,MIN(AB477,2)-MAX(X477,1+AD477)))</f>
        <v>0</v>
      </c>
      <c r="AL477" s="20">
        <f t="shared" si="158"/>
        <v>0</v>
      </c>
      <c r="AM477" s="20">
        <f>MAX(0,MIN(AC477,Parámetros!$B$11)-MAX(AB477,0))+MAX(0,MIN(AC477,1+Parámetros!$B$11)-MAX(AB477,AD477))+MAX(0,MIN(AC477,2)-MAX(AB477,1+AD477))</f>
        <v>0</v>
      </c>
      <c r="AN477" s="20">
        <f t="shared" si="159"/>
        <v>0</v>
      </c>
      <c r="AO477" s="20">
        <f>AE477*(MAX(0,MIN(AC477,Parámetros!$B$11)-MAX(AB477,0))+MAX(0,MIN(AC477,1)-MAX(AB477,AD477)))+AF477*(MAX(0,MIN(AC477,1+Parámetros!$B$11)-MAX(AB477,1))+MAX(0,MIN(AC477,2)-MAX(AB477,1+AD477)))</f>
        <v>0</v>
      </c>
    </row>
    <row r="478" spans="1:41" x14ac:dyDescent="0.25">
      <c r="A478" s="15"/>
      <c r="B478" s="8"/>
      <c r="C478" s="5" t="str">
        <f>IF(B478="","",IFERROR(INDEX(Trabajadores!$B$5:$B$204,MATCH(B478,Trabajadores!$A$5:$A$204,0)),"Cédula no registrada"))</f>
        <v/>
      </c>
      <c r="D478" s="11"/>
      <c r="E478" s="11"/>
      <c r="F478" s="8"/>
      <c r="G478" s="18" t="str">
        <f>IF(A478="","",IFERROR(INDEX(Trabajadores!$E$5:$E$204,MATCH(B478,Trabajadores!$A$5:$A$204,0))/Parámetros!$B$6,0)+IF(IFERROR(INDEX(Trabajadores!$E$5:$E$204,MATCH(B478,Trabajadores!$A$5:$A$204,0)),"")="",Parámetros!$B$7,0))</f>
        <v/>
      </c>
      <c r="H478" s="5" t="str">
        <f t="shared" si="140"/>
        <v/>
      </c>
      <c r="I478" s="5" t="str">
        <f>IF(A478="","",IF(COUNTIF(Festivos!$A$5:$A$451,A478)&gt;0,"Festivo",IF(WEEKDAY(A478,2)=7,"Domingo",IF(AND(AF478=1,AC478&gt;1),IF(COUNTIF(Festivos!$A$5:$A$451,A478+1)&gt;0,"Festivo","Domingo")&amp;" desde las 00:00",""))))</f>
        <v/>
      </c>
      <c r="J478" s="19" t="str">
        <f t="shared" si="141"/>
        <v/>
      </c>
      <c r="K478" s="19" t="str">
        <f t="shared" si="142"/>
        <v/>
      </c>
      <c r="L478" s="19" t="str">
        <f t="shared" si="143"/>
        <v/>
      </c>
      <c r="M478" s="19" t="str">
        <f t="shared" si="144"/>
        <v/>
      </c>
      <c r="N478" s="19" t="str">
        <f t="shared" si="145"/>
        <v/>
      </c>
      <c r="O478" s="19" t="str">
        <f t="shared" si="146"/>
        <v/>
      </c>
      <c r="P478" s="19" t="str">
        <f t="shared" si="147"/>
        <v/>
      </c>
      <c r="Q478" s="19" t="str">
        <f t="shared" si="148"/>
        <v/>
      </c>
      <c r="R478" s="19" t="str">
        <f t="shared" si="149"/>
        <v/>
      </c>
      <c r="S478" s="17" t="str">
        <f>IF(B478="","",IFERROR(INDEX(Trabajadores!$G$5:$G$204,MATCH(B478,Trabajadores!$A$5:$A$204,0)),""))</f>
        <v/>
      </c>
      <c r="T478" s="17" t="str">
        <f>IF(OR(OR(A478="",D478="",E478=""),S478=""),"",ROUND(S478*(N(L478)*Parámetros!$B$8+N(M478)*(1+Parámetros!$B$9)+N(N478)*(1+Parámetros!$B$10)+N(O478)*(1+AG478)+N(P478)*(1+AG478+Parámetros!$B$8)+N(Q478)*(1+AG478+Parámetros!$B$9)+N(R478)*(1+AG478+Parámetros!$B$10)),0))</f>
        <v/>
      </c>
      <c r="U478" s="5" t="str">
        <f>IF(OR(A478="",D478="",E478=""),"",IF(N(M478)+N(N478)+N(Q478)+N(R478)&gt;Parámetros!$B$12,"Supera el límite de horas extras diarias",IF(C478="Cédula no registrada","Registre la cédula en «Trabajadores»","")))</f>
        <v/>
      </c>
      <c r="X478" s="20">
        <f t="shared" si="150"/>
        <v>0</v>
      </c>
      <c r="Y478" s="20">
        <f t="shared" si="151"/>
        <v>0</v>
      </c>
      <c r="Z478" s="20">
        <f t="shared" si="152"/>
        <v>0</v>
      </c>
      <c r="AA478" s="20">
        <f t="shared" si="153"/>
        <v>0</v>
      </c>
      <c r="AB478" s="20">
        <f t="shared" si="154"/>
        <v>0</v>
      </c>
      <c r="AC478" s="20">
        <f t="shared" si="155"/>
        <v>0</v>
      </c>
      <c r="AD478" s="20">
        <f>IF(A478="",21/24,MOD(VLOOKUP(A478,Parámetros!$A$24:$B$25,2,TRUE()),1))</f>
        <v>0.875</v>
      </c>
      <c r="AE478" s="5">
        <f>IF(A478="",0,IF(OR(WEEKDAY(A478,2)=7,COUNTIF(Festivos!$A$5:$A$451,A478)&gt;0),1,0))</f>
        <v>0</v>
      </c>
      <c r="AF478" s="5">
        <f>IF(A478="",0,IF(OR(WEEKDAY(A478+1,2)=7,COUNTIF(Festivos!$A$5:$A$451,A478+1)&gt;0),1,0))</f>
        <v>0</v>
      </c>
      <c r="AG478" s="9">
        <f>IF(A478="",0,VLOOKUP(A478,Parámetros!$A$18:$B$21,2,TRUE()))</f>
        <v>0</v>
      </c>
      <c r="AH478" s="20">
        <f t="shared" si="156"/>
        <v>0</v>
      </c>
      <c r="AI478" s="20">
        <f>MAX(0,MIN(AB478,Parámetros!$B$11)-MAX(X478,0))+MAX(0,MIN(AB478,1+Parámetros!$B$11)-MAX(X478,AD478))+MAX(0,MIN(AB478,2)-MAX(X478,1+AD478))</f>
        <v>0</v>
      </c>
      <c r="AJ478" s="20">
        <f t="shared" si="157"/>
        <v>0</v>
      </c>
      <c r="AK478" s="20">
        <f>AE478*(MAX(0,MIN(AB478,Parámetros!$B$11)-MAX(X478,0))+MAX(0,MIN(AB478,1)-MAX(X478,AD478)))+AF478*(MAX(0,MIN(AB478,1+Parámetros!$B$11)-MAX(X478,1))+MAX(0,MIN(AB478,2)-MAX(X478,1+AD478)))</f>
        <v>0</v>
      </c>
      <c r="AL478" s="20">
        <f t="shared" si="158"/>
        <v>0</v>
      </c>
      <c r="AM478" s="20">
        <f>MAX(0,MIN(AC478,Parámetros!$B$11)-MAX(AB478,0))+MAX(0,MIN(AC478,1+Parámetros!$B$11)-MAX(AB478,AD478))+MAX(0,MIN(AC478,2)-MAX(AB478,1+AD478))</f>
        <v>0</v>
      </c>
      <c r="AN478" s="20">
        <f t="shared" si="159"/>
        <v>0</v>
      </c>
      <c r="AO478" s="20">
        <f>AE478*(MAX(0,MIN(AC478,Parámetros!$B$11)-MAX(AB478,0))+MAX(0,MIN(AC478,1)-MAX(AB478,AD478)))+AF478*(MAX(0,MIN(AC478,1+Parámetros!$B$11)-MAX(AB478,1))+MAX(0,MIN(AC478,2)-MAX(AB478,1+AD478)))</f>
        <v>0</v>
      </c>
    </row>
    <row r="479" spans="1:41" x14ac:dyDescent="0.25">
      <c r="A479" s="15"/>
      <c r="B479" s="8"/>
      <c r="C479" s="5" t="str">
        <f>IF(B479="","",IFERROR(INDEX(Trabajadores!$B$5:$B$204,MATCH(B479,Trabajadores!$A$5:$A$204,0)),"Cédula no registrada"))</f>
        <v/>
      </c>
      <c r="D479" s="11"/>
      <c r="E479" s="11"/>
      <c r="F479" s="8"/>
      <c r="G479" s="18" t="str">
        <f>IF(A479="","",IFERROR(INDEX(Trabajadores!$E$5:$E$204,MATCH(B479,Trabajadores!$A$5:$A$204,0))/Parámetros!$B$6,0)+IF(IFERROR(INDEX(Trabajadores!$E$5:$E$204,MATCH(B479,Trabajadores!$A$5:$A$204,0)),"")="",Parámetros!$B$7,0))</f>
        <v/>
      </c>
      <c r="H479" s="5" t="str">
        <f t="shared" si="140"/>
        <v/>
      </c>
      <c r="I479" s="5" t="str">
        <f>IF(A479="","",IF(COUNTIF(Festivos!$A$5:$A$451,A479)&gt;0,"Festivo",IF(WEEKDAY(A479,2)=7,"Domingo",IF(AND(AF479=1,AC479&gt;1),IF(COUNTIF(Festivos!$A$5:$A$451,A479+1)&gt;0,"Festivo","Domingo")&amp;" desde las 00:00",""))))</f>
        <v/>
      </c>
      <c r="J479" s="19" t="str">
        <f t="shared" si="141"/>
        <v/>
      </c>
      <c r="K479" s="19" t="str">
        <f t="shared" si="142"/>
        <v/>
      </c>
      <c r="L479" s="19" t="str">
        <f t="shared" si="143"/>
        <v/>
      </c>
      <c r="M479" s="19" t="str">
        <f t="shared" si="144"/>
        <v/>
      </c>
      <c r="N479" s="19" t="str">
        <f t="shared" si="145"/>
        <v/>
      </c>
      <c r="O479" s="19" t="str">
        <f t="shared" si="146"/>
        <v/>
      </c>
      <c r="P479" s="19" t="str">
        <f t="shared" si="147"/>
        <v/>
      </c>
      <c r="Q479" s="19" t="str">
        <f t="shared" si="148"/>
        <v/>
      </c>
      <c r="R479" s="19" t="str">
        <f t="shared" si="149"/>
        <v/>
      </c>
      <c r="S479" s="17" t="str">
        <f>IF(B479="","",IFERROR(INDEX(Trabajadores!$G$5:$G$204,MATCH(B479,Trabajadores!$A$5:$A$204,0)),""))</f>
        <v/>
      </c>
      <c r="T479" s="17" t="str">
        <f>IF(OR(OR(A479="",D479="",E479=""),S479=""),"",ROUND(S479*(N(L479)*Parámetros!$B$8+N(M479)*(1+Parámetros!$B$9)+N(N479)*(1+Parámetros!$B$10)+N(O479)*(1+AG479)+N(P479)*(1+AG479+Parámetros!$B$8)+N(Q479)*(1+AG479+Parámetros!$B$9)+N(R479)*(1+AG479+Parámetros!$B$10)),0))</f>
        <v/>
      </c>
      <c r="U479" s="5" t="str">
        <f>IF(OR(A479="",D479="",E479=""),"",IF(N(M479)+N(N479)+N(Q479)+N(R479)&gt;Parámetros!$B$12,"Supera el límite de horas extras diarias",IF(C479="Cédula no registrada","Registre la cédula en «Trabajadores»","")))</f>
        <v/>
      </c>
      <c r="X479" s="20">
        <f t="shared" si="150"/>
        <v>0</v>
      </c>
      <c r="Y479" s="20">
        <f t="shared" si="151"/>
        <v>0</v>
      </c>
      <c r="Z479" s="20">
        <f t="shared" si="152"/>
        <v>0</v>
      </c>
      <c r="AA479" s="20">
        <f t="shared" si="153"/>
        <v>0</v>
      </c>
      <c r="AB479" s="20">
        <f t="shared" si="154"/>
        <v>0</v>
      </c>
      <c r="AC479" s="20">
        <f t="shared" si="155"/>
        <v>0</v>
      </c>
      <c r="AD479" s="20">
        <f>IF(A479="",21/24,MOD(VLOOKUP(A479,Parámetros!$A$24:$B$25,2,TRUE()),1))</f>
        <v>0.875</v>
      </c>
      <c r="AE479" s="5">
        <f>IF(A479="",0,IF(OR(WEEKDAY(A479,2)=7,COUNTIF(Festivos!$A$5:$A$451,A479)&gt;0),1,0))</f>
        <v>0</v>
      </c>
      <c r="AF479" s="5">
        <f>IF(A479="",0,IF(OR(WEEKDAY(A479+1,2)=7,COUNTIF(Festivos!$A$5:$A$451,A479+1)&gt;0),1,0))</f>
        <v>0</v>
      </c>
      <c r="AG479" s="9">
        <f>IF(A479="",0,VLOOKUP(A479,Parámetros!$A$18:$B$21,2,TRUE()))</f>
        <v>0</v>
      </c>
      <c r="AH479" s="20">
        <f t="shared" si="156"/>
        <v>0</v>
      </c>
      <c r="AI479" s="20">
        <f>MAX(0,MIN(AB479,Parámetros!$B$11)-MAX(X479,0))+MAX(0,MIN(AB479,1+Parámetros!$B$11)-MAX(X479,AD479))+MAX(0,MIN(AB479,2)-MAX(X479,1+AD479))</f>
        <v>0</v>
      </c>
      <c r="AJ479" s="20">
        <f t="shared" si="157"/>
        <v>0</v>
      </c>
      <c r="AK479" s="20">
        <f>AE479*(MAX(0,MIN(AB479,Parámetros!$B$11)-MAX(X479,0))+MAX(0,MIN(AB479,1)-MAX(X479,AD479)))+AF479*(MAX(0,MIN(AB479,1+Parámetros!$B$11)-MAX(X479,1))+MAX(0,MIN(AB479,2)-MAX(X479,1+AD479)))</f>
        <v>0</v>
      </c>
      <c r="AL479" s="20">
        <f t="shared" si="158"/>
        <v>0</v>
      </c>
      <c r="AM479" s="20">
        <f>MAX(0,MIN(AC479,Parámetros!$B$11)-MAX(AB479,0))+MAX(0,MIN(AC479,1+Parámetros!$B$11)-MAX(AB479,AD479))+MAX(0,MIN(AC479,2)-MAX(AB479,1+AD479))</f>
        <v>0</v>
      </c>
      <c r="AN479" s="20">
        <f t="shared" si="159"/>
        <v>0</v>
      </c>
      <c r="AO479" s="20">
        <f>AE479*(MAX(0,MIN(AC479,Parámetros!$B$11)-MAX(AB479,0))+MAX(0,MIN(AC479,1)-MAX(AB479,AD479)))+AF479*(MAX(0,MIN(AC479,1+Parámetros!$B$11)-MAX(AB479,1))+MAX(0,MIN(AC479,2)-MAX(AB479,1+AD479)))</f>
        <v>0</v>
      </c>
    </row>
    <row r="480" spans="1:41" x14ac:dyDescent="0.25">
      <c r="A480" s="15"/>
      <c r="B480" s="8"/>
      <c r="C480" s="5" t="str">
        <f>IF(B480="","",IFERROR(INDEX(Trabajadores!$B$5:$B$204,MATCH(B480,Trabajadores!$A$5:$A$204,0)),"Cédula no registrada"))</f>
        <v/>
      </c>
      <c r="D480" s="11"/>
      <c r="E480" s="11"/>
      <c r="F480" s="8"/>
      <c r="G480" s="18" t="str">
        <f>IF(A480="","",IFERROR(INDEX(Trabajadores!$E$5:$E$204,MATCH(B480,Trabajadores!$A$5:$A$204,0))/Parámetros!$B$6,0)+IF(IFERROR(INDEX(Trabajadores!$E$5:$E$204,MATCH(B480,Trabajadores!$A$5:$A$204,0)),"")="",Parámetros!$B$7,0))</f>
        <v/>
      </c>
      <c r="H480" s="5" t="str">
        <f t="shared" si="140"/>
        <v/>
      </c>
      <c r="I480" s="5" t="str">
        <f>IF(A480="","",IF(COUNTIF(Festivos!$A$5:$A$451,A480)&gt;0,"Festivo",IF(WEEKDAY(A480,2)=7,"Domingo",IF(AND(AF480=1,AC480&gt;1),IF(COUNTIF(Festivos!$A$5:$A$451,A480+1)&gt;0,"Festivo","Domingo")&amp;" desde las 00:00",""))))</f>
        <v/>
      </c>
      <c r="J480" s="19" t="str">
        <f t="shared" si="141"/>
        <v/>
      </c>
      <c r="K480" s="19" t="str">
        <f t="shared" si="142"/>
        <v/>
      </c>
      <c r="L480" s="19" t="str">
        <f t="shared" si="143"/>
        <v/>
      </c>
      <c r="M480" s="19" t="str">
        <f t="shared" si="144"/>
        <v/>
      </c>
      <c r="N480" s="19" t="str">
        <f t="shared" si="145"/>
        <v/>
      </c>
      <c r="O480" s="19" t="str">
        <f t="shared" si="146"/>
        <v/>
      </c>
      <c r="P480" s="19" t="str">
        <f t="shared" si="147"/>
        <v/>
      </c>
      <c r="Q480" s="19" t="str">
        <f t="shared" si="148"/>
        <v/>
      </c>
      <c r="R480" s="19" t="str">
        <f t="shared" si="149"/>
        <v/>
      </c>
      <c r="S480" s="17" t="str">
        <f>IF(B480="","",IFERROR(INDEX(Trabajadores!$G$5:$G$204,MATCH(B480,Trabajadores!$A$5:$A$204,0)),""))</f>
        <v/>
      </c>
      <c r="T480" s="17" t="str">
        <f>IF(OR(OR(A480="",D480="",E480=""),S480=""),"",ROUND(S480*(N(L480)*Parámetros!$B$8+N(M480)*(1+Parámetros!$B$9)+N(N480)*(1+Parámetros!$B$10)+N(O480)*(1+AG480)+N(P480)*(1+AG480+Parámetros!$B$8)+N(Q480)*(1+AG480+Parámetros!$B$9)+N(R480)*(1+AG480+Parámetros!$B$10)),0))</f>
        <v/>
      </c>
      <c r="U480" s="5" t="str">
        <f>IF(OR(A480="",D480="",E480=""),"",IF(N(M480)+N(N480)+N(Q480)+N(R480)&gt;Parámetros!$B$12,"Supera el límite de horas extras diarias",IF(C480="Cédula no registrada","Registre la cédula en «Trabajadores»","")))</f>
        <v/>
      </c>
      <c r="X480" s="20">
        <f t="shared" si="150"/>
        <v>0</v>
      </c>
      <c r="Y480" s="20">
        <f t="shared" si="151"/>
        <v>0</v>
      </c>
      <c r="Z480" s="20">
        <f t="shared" si="152"/>
        <v>0</v>
      </c>
      <c r="AA480" s="20">
        <f t="shared" si="153"/>
        <v>0</v>
      </c>
      <c r="AB480" s="20">
        <f t="shared" si="154"/>
        <v>0</v>
      </c>
      <c r="AC480" s="20">
        <f t="shared" si="155"/>
        <v>0</v>
      </c>
      <c r="AD480" s="20">
        <f>IF(A480="",21/24,MOD(VLOOKUP(A480,Parámetros!$A$24:$B$25,2,TRUE()),1))</f>
        <v>0.875</v>
      </c>
      <c r="AE480" s="5">
        <f>IF(A480="",0,IF(OR(WEEKDAY(A480,2)=7,COUNTIF(Festivos!$A$5:$A$451,A480)&gt;0),1,0))</f>
        <v>0</v>
      </c>
      <c r="AF480" s="5">
        <f>IF(A480="",0,IF(OR(WEEKDAY(A480+1,2)=7,COUNTIF(Festivos!$A$5:$A$451,A480+1)&gt;0),1,0))</f>
        <v>0</v>
      </c>
      <c r="AG480" s="9">
        <f>IF(A480="",0,VLOOKUP(A480,Parámetros!$A$18:$B$21,2,TRUE()))</f>
        <v>0</v>
      </c>
      <c r="AH480" s="20">
        <f t="shared" si="156"/>
        <v>0</v>
      </c>
      <c r="AI480" s="20">
        <f>MAX(0,MIN(AB480,Parámetros!$B$11)-MAX(X480,0))+MAX(0,MIN(AB480,1+Parámetros!$B$11)-MAX(X480,AD480))+MAX(0,MIN(AB480,2)-MAX(X480,1+AD480))</f>
        <v>0</v>
      </c>
      <c r="AJ480" s="20">
        <f t="shared" si="157"/>
        <v>0</v>
      </c>
      <c r="AK480" s="20">
        <f>AE480*(MAX(0,MIN(AB480,Parámetros!$B$11)-MAX(X480,0))+MAX(0,MIN(AB480,1)-MAX(X480,AD480)))+AF480*(MAX(0,MIN(AB480,1+Parámetros!$B$11)-MAX(X480,1))+MAX(0,MIN(AB480,2)-MAX(X480,1+AD480)))</f>
        <v>0</v>
      </c>
      <c r="AL480" s="20">
        <f t="shared" si="158"/>
        <v>0</v>
      </c>
      <c r="AM480" s="20">
        <f>MAX(0,MIN(AC480,Parámetros!$B$11)-MAX(AB480,0))+MAX(0,MIN(AC480,1+Parámetros!$B$11)-MAX(AB480,AD480))+MAX(0,MIN(AC480,2)-MAX(AB480,1+AD480))</f>
        <v>0</v>
      </c>
      <c r="AN480" s="20">
        <f t="shared" si="159"/>
        <v>0</v>
      </c>
      <c r="AO480" s="20">
        <f>AE480*(MAX(0,MIN(AC480,Parámetros!$B$11)-MAX(AB480,0))+MAX(0,MIN(AC480,1)-MAX(AB480,AD480)))+AF480*(MAX(0,MIN(AC480,1+Parámetros!$B$11)-MAX(AB480,1))+MAX(0,MIN(AC480,2)-MAX(AB480,1+AD480)))</f>
        <v>0</v>
      </c>
    </row>
    <row r="481" spans="1:41" x14ac:dyDescent="0.25">
      <c r="A481" s="15"/>
      <c r="B481" s="8"/>
      <c r="C481" s="5" t="str">
        <f>IF(B481="","",IFERROR(INDEX(Trabajadores!$B$5:$B$204,MATCH(B481,Trabajadores!$A$5:$A$204,0)),"Cédula no registrada"))</f>
        <v/>
      </c>
      <c r="D481" s="11"/>
      <c r="E481" s="11"/>
      <c r="F481" s="8"/>
      <c r="G481" s="18" t="str">
        <f>IF(A481="","",IFERROR(INDEX(Trabajadores!$E$5:$E$204,MATCH(B481,Trabajadores!$A$5:$A$204,0))/Parámetros!$B$6,0)+IF(IFERROR(INDEX(Trabajadores!$E$5:$E$204,MATCH(B481,Trabajadores!$A$5:$A$204,0)),"")="",Parámetros!$B$7,0))</f>
        <v/>
      </c>
      <c r="H481" s="5" t="str">
        <f t="shared" si="140"/>
        <v/>
      </c>
      <c r="I481" s="5" t="str">
        <f>IF(A481="","",IF(COUNTIF(Festivos!$A$5:$A$451,A481)&gt;0,"Festivo",IF(WEEKDAY(A481,2)=7,"Domingo",IF(AND(AF481=1,AC481&gt;1),IF(COUNTIF(Festivos!$A$5:$A$451,A481+1)&gt;0,"Festivo","Domingo")&amp;" desde las 00:00",""))))</f>
        <v/>
      </c>
      <c r="J481" s="19" t="str">
        <f t="shared" si="141"/>
        <v/>
      </c>
      <c r="K481" s="19" t="str">
        <f t="shared" si="142"/>
        <v/>
      </c>
      <c r="L481" s="19" t="str">
        <f t="shared" si="143"/>
        <v/>
      </c>
      <c r="M481" s="19" t="str">
        <f t="shared" si="144"/>
        <v/>
      </c>
      <c r="N481" s="19" t="str">
        <f t="shared" si="145"/>
        <v/>
      </c>
      <c r="O481" s="19" t="str">
        <f t="shared" si="146"/>
        <v/>
      </c>
      <c r="P481" s="19" t="str">
        <f t="shared" si="147"/>
        <v/>
      </c>
      <c r="Q481" s="19" t="str">
        <f t="shared" si="148"/>
        <v/>
      </c>
      <c r="R481" s="19" t="str">
        <f t="shared" si="149"/>
        <v/>
      </c>
      <c r="S481" s="17" t="str">
        <f>IF(B481="","",IFERROR(INDEX(Trabajadores!$G$5:$G$204,MATCH(B481,Trabajadores!$A$5:$A$204,0)),""))</f>
        <v/>
      </c>
      <c r="T481" s="17" t="str">
        <f>IF(OR(OR(A481="",D481="",E481=""),S481=""),"",ROUND(S481*(N(L481)*Parámetros!$B$8+N(M481)*(1+Parámetros!$B$9)+N(N481)*(1+Parámetros!$B$10)+N(O481)*(1+AG481)+N(P481)*(1+AG481+Parámetros!$B$8)+N(Q481)*(1+AG481+Parámetros!$B$9)+N(R481)*(1+AG481+Parámetros!$B$10)),0))</f>
        <v/>
      </c>
      <c r="U481" s="5" t="str">
        <f>IF(OR(A481="",D481="",E481=""),"",IF(N(M481)+N(N481)+N(Q481)+N(R481)&gt;Parámetros!$B$12,"Supera el límite de horas extras diarias",IF(C481="Cédula no registrada","Registre la cédula en «Trabajadores»","")))</f>
        <v/>
      </c>
      <c r="X481" s="20">
        <f t="shared" si="150"/>
        <v>0</v>
      </c>
      <c r="Y481" s="20">
        <f t="shared" si="151"/>
        <v>0</v>
      </c>
      <c r="Z481" s="20">
        <f t="shared" si="152"/>
        <v>0</v>
      </c>
      <c r="AA481" s="20">
        <f t="shared" si="153"/>
        <v>0</v>
      </c>
      <c r="AB481" s="20">
        <f t="shared" si="154"/>
        <v>0</v>
      </c>
      <c r="AC481" s="20">
        <f t="shared" si="155"/>
        <v>0</v>
      </c>
      <c r="AD481" s="20">
        <f>IF(A481="",21/24,MOD(VLOOKUP(A481,Parámetros!$A$24:$B$25,2,TRUE()),1))</f>
        <v>0.875</v>
      </c>
      <c r="AE481" s="5">
        <f>IF(A481="",0,IF(OR(WEEKDAY(A481,2)=7,COUNTIF(Festivos!$A$5:$A$451,A481)&gt;0),1,0))</f>
        <v>0</v>
      </c>
      <c r="AF481" s="5">
        <f>IF(A481="",0,IF(OR(WEEKDAY(A481+1,2)=7,COUNTIF(Festivos!$A$5:$A$451,A481+1)&gt;0),1,0))</f>
        <v>0</v>
      </c>
      <c r="AG481" s="9">
        <f>IF(A481="",0,VLOOKUP(A481,Parámetros!$A$18:$B$21,2,TRUE()))</f>
        <v>0</v>
      </c>
      <c r="AH481" s="20">
        <f t="shared" si="156"/>
        <v>0</v>
      </c>
      <c r="AI481" s="20">
        <f>MAX(0,MIN(AB481,Parámetros!$B$11)-MAX(X481,0))+MAX(0,MIN(AB481,1+Parámetros!$B$11)-MAX(X481,AD481))+MAX(0,MIN(AB481,2)-MAX(X481,1+AD481))</f>
        <v>0</v>
      </c>
      <c r="AJ481" s="20">
        <f t="shared" si="157"/>
        <v>0</v>
      </c>
      <c r="AK481" s="20">
        <f>AE481*(MAX(0,MIN(AB481,Parámetros!$B$11)-MAX(X481,0))+MAX(0,MIN(AB481,1)-MAX(X481,AD481)))+AF481*(MAX(0,MIN(AB481,1+Parámetros!$B$11)-MAX(X481,1))+MAX(0,MIN(AB481,2)-MAX(X481,1+AD481)))</f>
        <v>0</v>
      </c>
      <c r="AL481" s="20">
        <f t="shared" si="158"/>
        <v>0</v>
      </c>
      <c r="AM481" s="20">
        <f>MAX(0,MIN(AC481,Parámetros!$B$11)-MAX(AB481,0))+MAX(0,MIN(AC481,1+Parámetros!$B$11)-MAX(AB481,AD481))+MAX(0,MIN(AC481,2)-MAX(AB481,1+AD481))</f>
        <v>0</v>
      </c>
      <c r="AN481" s="20">
        <f t="shared" si="159"/>
        <v>0</v>
      </c>
      <c r="AO481" s="20">
        <f>AE481*(MAX(0,MIN(AC481,Parámetros!$B$11)-MAX(AB481,0))+MAX(0,MIN(AC481,1)-MAX(AB481,AD481)))+AF481*(MAX(0,MIN(AC481,1+Parámetros!$B$11)-MAX(AB481,1))+MAX(0,MIN(AC481,2)-MAX(AB481,1+AD481)))</f>
        <v>0</v>
      </c>
    </row>
    <row r="482" spans="1:41" x14ac:dyDescent="0.25">
      <c r="A482" s="15"/>
      <c r="B482" s="8"/>
      <c r="C482" s="5" t="str">
        <f>IF(B482="","",IFERROR(INDEX(Trabajadores!$B$5:$B$204,MATCH(B482,Trabajadores!$A$5:$A$204,0)),"Cédula no registrada"))</f>
        <v/>
      </c>
      <c r="D482" s="11"/>
      <c r="E482" s="11"/>
      <c r="F482" s="8"/>
      <c r="G482" s="18" t="str">
        <f>IF(A482="","",IFERROR(INDEX(Trabajadores!$E$5:$E$204,MATCH(B482,Trabajadores!$A$5:$A$204,0))/Parámetros!$B$6,0)+IF(IFERROR(INDEX(Trabajadores!$E$5:$E$204,MATCH(B482,Trabajadores!$A$5:$A$204,0)),"")="",Parámetros!$B$7,0))</f>
        <v/>
      </c>
      <c r="H482" s="5" t="str">
        <f t="shared" si="140"/>
        <v/>
      </c>
      <c r="I482" s="5" t="str">
        <f>IF(A482="","",IF(COUNTIF(Festivos!$A$5:$A$451,A482)&gt;0,"Festivo",IF(WEEKDAY(A482,2)=7,"Domingo",IF(AND(AF482=1,AC482&gt;1),IF(COUNTIF(Festivos!$A$5:$A$451,A482+1)&gt;0,"Festivo","Domingo")&amp;" desde las 00:00",""))))</f>
        <v/>
      </c>
      <c r="J482" s="19" t="str">
        <f t="shared" si="141"/>
        <v/>
      </c>
      <c r="K482" s="19" t="str">
        <f t="shared" si="142"/>
        <v/>
      </c>
      <c r="L482" s="19" t="str">
        <f t="shared" si="143"/>
        <v/>
      </c>
      <c r="M482" s="19" t="str">
        <f t="shared" si="144"/>
        <v/>
      </c>
      <c r="N482" s="19" t="str">
        <f t="shared" si="145"/>
        <v/>
      </c>
      <c r="O482" s="19" t="str">
        <f t="shared" si="146"/>
        <v/>
      </c>
      <c r="P482" s="19" t="str">
        <f t="shared" si="147"/>
        <v/>
      </c>
      <c r="Q482" s="19" t="str">
        <f t="shared" si="148"/>
        <v/>
      </c>
      <c r="R482" s="19" t="str">
        <f t="shared" si="149"/>
        <v/>
      </c>
      <c r="S482" s="17" t="str">
        <f>IF(B482="","",IFERROR(INDEX(Trabajadores!$G$5:$G$204,MATCH(B482,Trabajadores!$A$5:$A$204,0)),""))</f>
        <v/>
      </c>
      <c r="T482" s="17" t="str">
        <f>IF(OR(OR(A482="",D482="",E482=""),S482=""),"",ROUND(S482*(N(L482)*Parámetros!$B$8+N(M482)*(1+Parámetros!$B$9)+N(N482)*(1+Parámetros!$B$10)+N(O482)*(1+AG482)+N(P482)*(1+AG482+Parámetros!$B$8)+N(Q482)*(1+AG482+Parámetros!$B$9)+N(R482)*(1+AG482+Parámetros!$B$10)),0))</f>
        <v/>
      </c>
      <c r="U482" s="5" t="str">
        <f>IF(OR(A482="",D482="",E482=""),"",IF(N(M482)+N(N482)+N(Q482)+N(R482)&gt;Parámetros!$B$12,"Supera el límite de horas extras diarias",IF(C482="Cédula no registrada","Registre la cédula en «Trabajadores»","")))</f>
        <v/>
      </c>
      <c r="X482" s="20">
        <f t="shared" si="150"/>
        <v>0</v>
      </c>
      <c r="Y482" s="20">
        <f t="shared" si="151"/>
        <v>0</v>
      </c>
      <c r="Z482" s="20">
        <f t="shared" si="152"/>
        <v>0</v>
      </c>
      <c r="AA482" s="20">
        <f t="shared" si="153"/>
        <v>0</v>
      </c>
      <c r="AB482" s="20">
        <f t="shared" si="154"/>
        <v>0</v>
      </c>
      <c r="AC482" s="20">
        <f t="shared" si="155"/>
        <v>0</v>
      </c>
      <c r="AD482" s="20">
        <f>IF(A482="",21/24,MOD(VLOOKUP(A482,Parámetros!$A$24:$B$25,2,TRUE()),1))</f>
        <v>0.875</v>
      </c>
      <c r="AE482" s="5">
        <f>IF(A482="",0,IF(OR(WEEKDAY(A482,2)=7,COUNTIF(Festivos!$A$5:$A$451,A482)&gt;0),1,0))</f>
        <v>0</v>
      </c>
      <c r="AF482" s="5">
        <f>IF(A482="",0,IF(OR(WEEKDAY(A482+1,2)=7,COUNTIF(Festivos!$A$5:$A$451,A482+1)&gt;0),1,0))</f>
        <v>0</v>
      </c>
      <c r="AG482" s="9">
        <f>IF(A482="",0,VLOOKUP(A482,Parámetros!$A$18:$B$21,2,TRUE()))</f>
        <v>0</v>
      </c>
      <c r="AH482" s="20">
        <f t="shared" si="156"/>
        <v>0</v>
      </c>
      <c r="AI482" s="20">
        <f>MAX(0,MIN(AB482,Parámetros!$B$11)-MAX(X482,0))+MAX(0,MIN(AB482,1+Parámetros!$B$11)-MAX(X482,AD482))+MAX(0,MIN(AB482,2)-MAX(X482,1+AD482))</f>
        <v>0</v>
      </c>
      <c r="AJ482" s="20">
        <f t="shared" si="157"/>
        <v>0</v>
      </c>
      <c r="AK482" s="20">
        <f>AE482*(MAX(0,MIN(AB482,Parámetros!$B$11)-MAX(X482,0))+MAX(0,MIN(AB482,1)-MAX(X482,AD482)))+AF482*(MAX(0,MIN(AB482,1+Parámetros!$B$11)-MAX(X482,1))+MAX(0,MIN(AB482,2)-MAX(X482,1+AD482)))</f>
        <v>0</v>
      </c>
      <c r="AL482" s="20">
        <f t="shared" si="158"/>
        <v>0</v>
      </c>
      <c r="AM482" s="20">
        <f>MAX(0,MIN(AC482,Parámetros!$B$11)-MAX(AB482,0))+MAX(0,MIN(AC482,1+Parámetros!$B$11)-MAX(AB482,AD482))+MAX(0,MIN(AC482,2)-MAX(AB482,1+AD482))</f>
        <v>0</v>
      </c>
      <c r="AN482" s="20">
        <f t="shared" si="159"/>
        <v>0</v>
      </c>
      <c r="AO482" s="20">
        <f>AE482*(MAX(0,MIN(AC482,Parámetros!$B$11)-MAX(AB482,0))+MAX(0,MIN(AC482,1)-MAX(AB482,AD482)))+AF482*(MAX(0,MIN(AC482,1+Parámetros!$B$11)-MAX(AB482,1))+MAX(0,MIN(AC482,2)-MAX(AB482,1+AD482)))</f>
        <v>0</v>
      </c>
    </row>
    <row r="483" spans="1:41" x14ac:dyDescent="0.25">
      <c r="A483" s="15"/>
      <c r="B483" s="8"/>
      <c r="C483" s="5" t="str">
        <f>IF(B483="","",IFERROR(INDEX(Trabajadores!$B$5:$B$204,MATCH(B483,Trabajadores!$A$5:$A$204,0)),"Cédula no registrada"))</f>
        <v/>
      </c>
      <c r="D483" s="11"/>
      <c r="E483" s="11"/>
      <c r="F483" s="8"/>
      <c r="G483" s="18" t="str">
        <f>IF(A483="","",IFERROR(INDEX(Trabajadores!$E$5:$E$204,MATCH(B483,Trabajadores!$A$5:$A$204,0))/Parámetros!$B$6,0)+IF(IFERROR(INDEX(Trabajadores!$E$5:$E$204,MATCH(B483,Trabajadores!$A$5:$A$204,0)),"")="",Parámetros!$B$7,0))</f>
        <v/>
      </c>
      <c r="H483" s="5" t="str">
        <f t="shared" si="140"/>
        <v/>
      </c>
      <c r="I483" s="5" t="str">
        <f>IF(A483="","",IF(COUNTIF(Festivos!$A$5:$A$451,A483)&gt;0,"Festivo",IF(WEEKDAY(A483,2)=7,"Domingo",IF(AND(AF483=1,AC483&gt;1),IF(COUNTIF(Festivos!$A$5:$A$451,A483+1)&gt;0,"Festivo","Domingo")&amp;" desde las 00:00",""))))</f>
        <v/>
      </c>
      <c r="J483" s="19" t="str">
        <f t="shared" si="141"/>
        <v/>
      </c>
      <c r="K483" s="19" t="str">
        <f t="shared" si="142"/>
        <v/>
      </c>
      <c r="L483" s="19" t="str">
        <f t="shared" si="143"/>
        <v/>
      </c>
      <c r="M483" s="19" t="str">
        <f t="shared" si="144"/>
        <v/>
      </c>
      <c r="N483" s="19" t="str">
        <f t="shared" si="145"/>
        <v/>
      </c>
      <c r="O483" s="19" t="str">
        <f t="shared" si="146"/>
        <v/>
      </c>
      <c r="P483" s="19" t="str">
        <f t="shared" si="147"/>
        <v/>
      </c>
      <c r="Q483" s="19" t="str">
        <f t="shared" si="148"/>
        <v/>
      </c>
      <c r="R483" s="19" t="str">
        <f t="shared" si="149"/>
        <v/>
      </c>
      <c r="S483" s="17" t="str">
        <f>IF(B483="","",IFERROR(INDEX(Trabajadores!$G$5:$G$204,MATCH(B483,Trabajadores!$A$5:$A$204,0)),""))</f>
        <v/>
      </c>
      <c r="T483" s="17" t="str">
        <f>IF(OR(OR(A483="",D483="",E483=""),S483=""),"",ROUND(S483*(N(L483)*Parámetros!$B$8+N(M483)*(1+Parámetros!$B$9)+N(N483)*(1+Parámetros!$B$10)+N(O483)*(1+AG483)+N(P483)*(1+AG483+Parámetros!$B$8)+N(Q483)*(1+AG483+Parámetros!$B$9)+N(R483)*(1+AG483+Parámetros!$B$10)),0))</f>
        <v/>
      </c>
      <c r="U483" s="5" t="str">
        <f>IF(OR(A483="",D483="",E483=""),"",IF(N(M483)+N(N483)+N(Q483)+N(R483)&gt;Parámetros!$B$12,"Supera el límite de horas extras diarias",IF(C483="Cédula no registrada","Registre la cédula en «Trabajadores»","")))</f>
        <v/>
      </c>
      <c r="X483" s="20">
        <f t="shared" si="150"/>
        <v>0</v>
      </c>
      <c r="Y483" s="20">
        <f t="shared" si="151"/>
        <v>0</v>
      </c>
      <c r="Z483" s="20">
        <f t="shared" si="152"/>
        <v>0</v>
      </c>
      <c r="AA483" s="20">
        <f t="shared" si="153"/>
        <v>0</v>
      </c>
      <c r="AB483" s="20">
        <f t="shared" si="154"/>
        <v>0</v>
      </c>
      <c r="AC483" s="20">
        <f t="shared" si="155"/>
        <v>0</v>
      </c>
      <c r="AD483" s="20">
        <f>IF(A483="",21/24,MOD(VLOOKUP(A483,Parámetros!$A$24:$B$25,2,TRUE()),1))</f>
        <v>0.875</v>
      </c>
      <c r="AE483" s="5">
        <f>IF(A483="",0,IF(OR(WEEKDAY(A483,2)=7,COUNTIF(Festivos!$A$5:$A$451,A483)&gt;0),1,0))</f>
        <v>0</v>
      </c>
      <c r="AF483" s="5">
        <f>IF(A483="",0,IF(OR(WEEKDAY(A483+1,2)=7,COUNTIF(Festivos!$A$5:$A$451,A483+1)&gt;0),1,0))</f>
        <v>0</v>
      </c>
      <c r="AG483" s="9">
        <f>IF(A483="",0,VLOOKUP(A483,Parámetros!$A$18:$B$21,2,TRUE()))</f>
        <v>0</v>
      </c>
      <c r="AH483" s="20">
        <f t="shared" si="156"/>
        <v>0</v>
      </c>
      <c r="AI483" s="20">
        <f>MAX(0,MIN(AB483,Parámetros!$B$11)-MAX(X483,0))+MAX(0,MIN(AB483,1+Parámetros!$B$11)-MAX(X483,AD483))+MAX(0,MIN(AB483,2)-MAX(X483,1+AD483))</f>
        <v>0</v>
      </c>
      <c r="AJ483" s="20">
        <f t="shared" si="157"/>
        <v>0</v>
      </c>
      <c r="AK483" s="20">
        <f>AE483*(MAX(0,MIN(AB483,Parámetros!$B$11)-MAX(X483,0))+MAX(0,MIN(AB483,1)-MAX(X483,AD483)))+AF483*(MAX(0,MIN(AB483,1+Parámetros!$B$11)-MAX(X483,1))+MAX(0,MIN(AB483,2)-MAX(X483,1+AD483)))</f>
        <v>0</v>
      </c>
      <c r="AL483" s="20">
        <f t="shared" si="158"/>
        <v>0</v>
      </c>
      <c r="AM483" s="20">
        <f>MAX(0,MIN(AC483,Parámetros!$B$11)-MAX(AB483,0))+MAX(0,MIN(AC483,1+Parámetros!$B$11)-MAX(AB483,AD483))+MAX(0,MIN(AC483,2)-MAX(AB483,1+AD483))</f>
        <v>0</v>
      </c>
      <c r="AN483" s="20">
        <f t="shared" si="159"/>
        <v>0</v>
      </c>
      <c r="AO483" s="20">
        <f>AE483*(MAX(0,MIN(AC483,Parámetros!$B$11)-MAX(AB483,0))+MAX(0,MIN(AC483,1)-MAX(AB483,AD483)))+AF483*(MAX(0,MIN(AC483,1+Parámetros!$B$11)-MAX(AB483,1))+MAX(0,MIN(AC483,2)-MAX(AB483,1+AD483)))</f>
        <v>0</v>
      </c>
    </row>
    <row r="484" spans="1:41" x14ac:dyDescent="0.25">
      <c r="A484" s="15"/>
      <c r="B484" s="8"/>
      <c r="C484" s="5" t="str">
        <f>IF(B484="","",IFERROR(INDEX(Trabajadores!$B$5:$B$204,MATCH(B484,Trabajadores!$A$5:$A$204,0)),"Cédula no registrada"))</f>
        <v/>
      </c>
      <c r="D484" s="11"/>
      <c r="E484" s="11"/>
      <c r="F484" s="8"/>
      <c r="G484" s="18" t="str">
        <f>IF(A484="","",IFERROR(INDEX(Trabajadores!$E$5:$E$204,MATCH(B484,Trabajadores!$A$5:$A$204,0))/Parámetros!$B$6,0)+IF(IFERROR(INDEX(Trabajadores!$E$5:$E$204,MATCH(B484,Trabajadores!$A$5:$A$204,0)),"")="",Parámetros!$B$7,0))</f>
        <v/>
      </c>
      <c r="H484" s="5" t="str">
        <f t="shared" si="140"/>
        <v/>
      </c>
      <c r="I484" s="5" t="str">
        <f>IF(A484="","",IF(COUNTIF(Festivos!$A$5:$A$451,A484)&gt;0,"Festivo",IF(WEEKDAY(A484,2)=7,"Domingo",IF(AND(AF484=1,AC484&gt;1),IF(COUNTIF(Festivos!$A$5:$A$451,A484+1)&gt;0,"Festivo","Domingo")&amp;" desde las 00:00",""))))</f>
        <v/>
      </c>
      <c r="J484" s="19" t="str">
        <f t="shared" si="141"/>
        <v/>
      </c>
      <c r="K484" s="19" t="str">
        <f t="shared" si="142"/>
        <v/>
      </c>
      <c r="L484" s="19" t="str">
        <f t="shared" si="143"/>
        <v/>
      </c>
      <c r="M484" s="19" t="str">
        <f t="shared" si="144"/>
        <v/>
      </c>
      <c r="N484" s="19" t="str">
        <f t="shared" si="145"/>
        <v/>
      </c>
      <c r="O484" s="19" t="str">
        <f t="shared" si="146"/>
        <v/>
      </c>
      <c r="P484" s="19" t="str">
        <f t="shared" si="147"/>
        <v/>
      </c>
      <c r="Q484" s="19" t="str">
        <f t="shared" si="148"/>
        <v/>
      </c>
      <c r="R484" s="19" t="str">
        <f t="shared" si="149"/>
        <v/>
      </c>
      <c r="S484" s="17" t="str">
        <f>IF(B484="","",IFERROR(INDEX(Trabajadores!$G$5:$G$204,MATCH(B484,Trabajadores!$A$5:$A$204,0)),""))</f>
        <v/>
      </c>
      <c r="T484" s="17" t="str">
        <f>IF(OR(OR(A484="",D484="",E484=""),S484=""),"",ROUND(S484*(N(L484)*Parámetros!$B$8+N(M484)*(1+Parámetros!$B$9)+N(N484)*(1+Parámetros!$B$10)+N(O484)*(1+AG484)+N(P484)*(1+AG484+Parámetros!$B$8)+N(Q484)*(1+AG484+Parámetros!$B$9)+N(R484)*(1+AG484+Parámetros!$B$10)),0))</f>
        <v/>
      </c>
      <c r="U484" s="5" t="str">
        <f>IF(OR(A484="",D484="",E484=""),"",IF(N(M484)+N(N484)+N(Q484)+N(R484)&gt;Parámetros!$B$12,"Supera el límite de horas extras diarias",IF(C484="Cédula no registrada","Registre la cédula en «Trabajadores»","")))</f>
        <v/>
      </c>
      <c r="X484" s="20">
        <f t="shared" si="150"/>
        <v>0</v>
      </c>
      <c r="Y484" s="20">
        <f t="shared" si="151"/>
        <v>0</v>
      </c>
      <c r="Z484" s="20">
        <f t="shared" si="152"/>
        <v>0</v>
      </c>
      <c r="AA484" s="20">
        <f t="shared" si="153"/>
        <v>0</v>
      </c>
      <c r="AB484" s="20">
        <f t="shared" si="154"/>
        <v>0</v>
      </c>
      <c r="AC484" s="20">
        <f t="shared" si="155"/>
        <v>0</v>
      </c>
      <c r="AD484" s="20">
        <f>IF(A484="",21/24,MOD(VLOOKUP(A484,Parámetros!$A$24:$B$25,2,TRUE()),1))</f>
        <v>0.875</v>
      </c>
      <c r="AE484" s="5">
        <f>IF(A484="",0,IF(OR(WEEKDAY(A484,2)=7,COUNTIF(Festivos!$A$5:$A$451,A484)&gt;0),1,0))</f>
        <v>0</v>
      </c>
      <c r="AF484" s="5">
        <f>IF(A484="",0,IF(OR(WEEKDAY(A484+1,2)=7,COUNTIF(Festivos!$A$5:$A$451,A484+1)&gt;0),1,0))</f>
        <v>0</v>
      </c>
      <c r="AG484" s="9">
        <f>IF(A484="",0,VLOOKUP(A484,Parámetros!$A$18:$B$21,2,TRUE()))</f>
        <v>0</v>
      </c>
      <c r="AH484" s="20">
        <f t="shared" si="156"/>
        <v>0</v>
      </c>
      <c r="AI484" s="20">
        <f>MAX(0,MIN(AB484,Parámetros!$B$11)-MAX(X484,0))+MAX(0,MIN(AB484,1+Parámetros!$B$11)-MAX(X484,AD484))+MAX(0,MIN(AB484,2)-MAX(X484,1+AD484))</f>
        <v>0</v>
      </c>
      <c r="AJ484" s="20">
        <f t="shared" si="157"/>
        <v>0</v>
      </c>
      <c r="AK484" s="20">
        <f>AE484*(MAX(0,MIN(AB484,Parámetros!$B$11)-MAX(X484,0))+MAX(0,MIN(AB484,1)-MAX(X484,AD484)))+AF484*(MAX(0,MIN(AB484,1+Parámetros!$B$11)-MAX(X484,1))+MAX(0,MIN(AB484,2)-MAX(X484,1+AD484)))</f>
        <v>0</v>
      </c>
      <c r="AL484" s="20">
        <f t="shared" si="158"/>
        <v>0</v>
      </c>
      <c r="AM484" s="20">
        <f>MAX(0,MIN(AC484,Parámetros!$B$11)-MAX(AB484,0))+MAX(0,MIN(AC484,1+Parámetros!$B$11)-MAX(AB484,AD484))+MAX(0,MIN(AC484,2)-MAX(AB484,1+AD484))</f>
        <v>0</v>
      </c>
      <c r="AN484" s="20">
        <f t="shared" si="159"/>
        <v>0</v>
      </c>
      <c r="AO484" s="20">
        <f>AE484*(MAX(0,MIN(AC484,Parámetros!$B$11)-MAX(AB484,0))+MAX(0,MIN(AC484,1)-MAX(AB484,AD484)))+AF484*(MAX(0,MIN(AC484,1+Parámetros!$B$11)-MAX(AB484,1))+MAX(0,MIN(AC484,2)-MAX(AB484,1+AD484)))</f>
        <v>0</v>
      </c>
    </row>
    <row r="485" spans="1:41" x14ac:dyDescent="0.25">
      <c r="A485" s="15"/>
      <c r="B485" s="8"/>
      <c r="C485" s="5" t="str">
        <f>IF(B485="","",IFERROR(INDEX(Trabajadores!$B$5:$B$204,MATCH(B485,Trabajadores!$A$5:$A$204,0)),"Cédula no registrada"))</f>
        <v/>
      </c>
      <c r="D485" s="11"/>
      <c r="E485" s="11"/>
      <c r="F485" s="8"/>
      <c r="G485" s="18" t="str">
        <f>IF(A485="","",IFERROR(INDEX(Trabajadores!$E$5:$E$204,MATCH(B485,Trabajadores!$A$5:$A$204,0))/Parámetros!$B$6,0)+IF(IFERROR(INDEX(Trabajadores!$E$5:$E$204,MATCH(B485,Trabajadores!$A$5:$A$204,0)),"")="",Parámetros!$B$7,0))</f>
        <v/>
      </c>
      <c r="H485" s="5" t="str">
        <f t="shared" si="140"/>
        <v/>
      </c>
      <c r="I485" s="5" t="str">
        <f>IF(A485="","",IF(COUNTIF(Festivos!$A$5:$A$451,A485)&gt;0,"Festivo",IF(WEEKDAY(A485,2)=7,"Domingo",IF(AND(AF485=1,AC485&gt;1),IF(COUNTIF(Festivos!$A$5:$A$451,A485+1)&gt;0,"Festivo","Domingo")&amp;" desde las 00:00",""))))</f>
        <v/>
      </c>
      <c r="J485" s="19" t="str">
        <f t="shared" si="141"/>
        <v/>
      </c>
      <c r="K485" s="19" t="str">
        <f t="shared" si="142"/>
        <v/>
      </c>
      <c r="L485" s="19" t="str">
        <f t="shared" si="143"/>
        <v/>
      </c>
      <c r="M485" s="19" t="str">
        <f t="shared" si="144"/>
        <v/>
      </c>
      <c r="N485" s="19" t="str">
        <f t="shared" si="145"/>
        <v/>
      </c>
      <c r="O485" s="19" t="str">
        <f t="shared" si="146"/>
        <v/>
      </c>
      <c r="P485" s="19" t="str">
        <f t="shared" si="147"/>
        <v/>
      </c>
      <c r="Q485" s="19" t="str">
        <f t="shared" si="148"/>
        <v/>
      </c>
      <c r="R485" s="19" t="str">
        <f t="shared" si="149"/>
        <v/>
      </c>
      <c r="S485" s="17" t="str">
        <f>IF(B485="","",IFERROR(INDEX(Trabajadores!$G$5:$G$204,MATCH(B485,Trabajadores!$A$5:$A$204,0)),""))</f>
        <v/>
      </c>
      <c r="T485" s="17" t="str">
        <f>IF(OR(OR(A485="",D485="",E485=""),S485=""),"",ROUND(S485*(N(L485)*Parámetros!$B$8+N(M485)*(1+Parámetros!$B$9)+N(N485)*(1+Parámetros!$B$10)+N(O485)*(1+AG485)+N(P485)*(1+AG485+Parámetros!$B$8)+N(Q485)*(1+AG485+Parámetros!$B$9)+N(R485)*(1+AG485+Parámetros!$B$10)),0))</f>
        <v/>
      </c>
      <c r="U485" s="5" t="str">
        <f>IF(OR(A485="",D485="",E485=""),"",IF(N(M485)+N(N485)+N(Q485)+N(R485)&gt;Parámetros!$B$12,"Supera el límite de horas extras diarias",IF(C485="Cédula no registrada","Registre la cédula en «Trabajadores»","")))</f>
        <v/>
      </c>
      <c r="X485" s="20">
        <f t="shared" si="150"/>
        <v>0</v>
      </c>
      <c r="Y485" s="20">
        <f t="shared" si="151"/>
        <v>0</v>
      </c>
      <c r="Z485" s="20">
        <f t="shared" si="152"/>
        <v>0</v>
      </c>
      <c r="AA485" s="20">
        <f t="shared" si="153"/>
        <v>0</v>
      </c>
      <c r="AB485" s="20">
        <f t="shared" si="154"/>
        <v>0</v>
      </c>
      <c r="AC485" s="20">
        <f t="shared" si="155"/>
        <v>0</v>
      </c>
      <c r="AD485" s="20">
        <f>IF(A485="",21/24,MOD(VLOOKUP(A485,Parámetros!$A$24:$B$25,2,TRUE()),1))</f>
        <v>0.875</v>
      </c>
      <c r="AE485" s="5">
        <f>IF(A485="",0,IF(OR(WEEKDAY(A485,2)=7,COUNTIF(Festivos!$A$5:$A$451,A485)&gt;0),1,0))</f>
        <v>0</v>
      </c>
      <c r="AF485" s="5">
        <f>IF(A485="",0,IF(OR(WEEKDAY(A485+1,2)=7,COUNTIF(Festivos!$A$5:$A$451,A485+1)&gt;0),1,0))</f>
        <v>0</v>
      </c>
      <c r="AG485" s="9">
        <f>IF(A485="",0,VLOOKUP(A485,Parámetros!$A$18:$B$21,2,TRUE()))</f>
        <v>0</v>
      </c>
      <c r="AH485" s="20">
        <f t="shared" si="156"/>
        <v>0</v>
      </c>
      <c r="AI485" s="20">
        <f>MAX(0,MIN(AB485,Parámetros!$B$11)-MAX(X485,0))+MAX(0,MIN(AB485,1+Parámetros!$B$11)-MAX(X485,AD485))+MAX(0,MIN(AB485,2)-MAX(X485,1+AD485))</f>
        <v>0</v>
      </c>
      <c r="AJ485" s="20">
        <f t="shared" si="157"/>
        <v>0</v>
      </c>
      <c r="AK485" s="20">
        <f>AE485*(MAX(0,MIN(AB485,Parámetros!$B$11)-MAX(X485,0))+MAX(0,MIN(AB485,1)-MAX(X485,AD485)))+AF485*(MAX(0,MIN(AB485,1+Parámetros!$B$11)-MAX(X485,1))+MAX(0,MIN(AB485,2)-MAX(X485,1+AD485)))</f>
        <v>0</v>
      </c>
      <c r="AL485" s="20">
        <f t="shared" si="158"/>
        <v>0</v>
      </c>
      <c r="AM485" s="20">
        <f>MAX(0,MIN(AC485,Parámetros!$B$11)-MAX(AB485,0))+MAX(0,MIN(AC485,1+Parámetros!$B$11)-MAX(AB485,AD485))+MAX(0,MIN(AC485,2)-MAX(AB485,1+AD485))</f>
        <v>0</v>
      </c>
      <c r="AN485" s="20">
        <f t="shared" si="159"/>
        <v>0</v>
      </c>
      <c r="AO485" s="20">
        <f>AE485*(MAX(0,MIN(AC485,Parámetros!$B$11)-MAX(AB485,0))+MAX(0,MIN(AC485,1)-MAX(AB485,AD485)))+AF485*(MAX(0,MIN(AC485,1+Parámetros!$B$11)-MAX(AB485,1))+MAX(0,MIN(AC485,2)-MAX(AB485,1+AD485)))</f>
        <v>0</v>
      </c>
    </row>
    <row r="486" spans="1:41" x14ac:dyDescent="0.25">
      <c r="A486" s="15"/>
      <c r="B486" s="8"/>
      <c r="C486" s="5" t="str">
        <f>IF(B486="","",IFERROR(INDEX(Trabajadores!$B$5:$B$204,MATCH(B486,Trabajadores!$A$5:$A$204,0)),"Cédula no registrada"))</f>
        <v/>
      </c>
      <c r="D486" s="11"/>
      <c r="E486" s="11"/>
      <c r="F486" s="8"/>
      <c r="G486" s="18" t="str">
        <f>IF(A486="","",IFERROR(INDEX(Trabajadores!$E$5:$E$204,MATCH(B486,Trabajadores!$A$5:$A$204,0))/Parámetros!$B$6,0)+IF(IFERROR(INDEX(Trabajadores!$E$5:$E$204,MATCH(B486,Trabajadores!$A$5:$A$204,0)),"")="",Parámetros!$B$7,0))</f>
        <v/>
      </c>
      <c r="H486" s="5" t="str">
        <f t="shared" si="140"/>
        <v/>
      </c>
      <c r="I486" s="5" t="str">
        <f>IF(A486="","",IF(COUNTIF(Festivos!$A$5:$A$451,A486)&gt;0,"Festivo",IF(WEEKDAY(A486,2)=7,"Domingo",IF(AND(AF486=1,AC486&gt;1),IF(COUNTIF(Festivos!$A$5:$A$451,A486+1)&gt;0,"Festivo","Domingo")&amp;" desde las 00:00",""))))</f>
        <v/>
      </c>
      <c r="J486" s="19" t="str">
        <f t="shared" si="141"/>
        <v/>
      </c>
      <c r="K486" s="19" t="str">
        <f t="shared" si="142"/>
        <v/>
      </c>
      <c r="L486" s="19" t="str">
        <f t="shared" si="143"/>
        <v/>
      </c>
      <c r="M486" s="19" t="str">
        <f t="shared" si="144"/>
        <v/>
      </c>
      <c r="N486" s="19" t="str">
        <f t="shared" si="145"/>
        <v/>
      </c>
      <c r="O486" s="19" t="str">
        <f t="shared" si="146"/>
        <v/>
      </c>
      <c r="P486" s="19" t="str">
        <f t="shared" si="147"/>
        <v/>
      </c>
      <c r="Q486" s="19" t="str">
        <f t="shared" si="148"/>
        <v/>
      </c>
      <c r="R486" s="19" t="str">
        <f t="shared" si="149"/>
        <v/>
      </c>
      <c r="S486" s="17" t="str">
        <f>IF(B486="","",IFERROR(INDEX(Trabajadores!$G$5:$G$204,MATCH(B486,Trabajadores!$A$5:$A$204,0)),""))</f>
        <v/>
      </c>
      <c r="T486" s="17" t="str">
        <f>IF(OR(OR(A486="",D486="",E486=""),S486=""),"",ROUND(S486*(N(L486)*Parámetros!$B$8+N(M486)*(1+Parámetros!$B$9)+N(N486)*(1+Parámetros!$B$10)+N(O486)*(1+AG486)+N(P486)*(1+AG486+Parámetros!$B$8)+N(Q486)*(1+AG486+Parámetros!$B$9)+N(R486)*(1+AG486+Parámetros!$B$10)),0))</f>
        <v/>
      </c>
      <c r="U486" s="5" t="str">
        <f>IF(OR(A486="",D486="",E486=""),"",IF(N(M486)+N(N486)+N(Q486)+N(R486)&gt;Parámetros!$B$12,"Supera el límite de horas extras diarias",IF(C486="Cédula no registrada","Registre la cédula en «Trabajadores»","")))</f>
        <v/>
      </c>
      <c r="X486" s="20">
        <f t="shared" si="150"/>
        <v>0</v>
      </c>
      <c r="Y486" s="20">
        <f t="shared" si="151"/>
        <v>0</v>
      </c>
      <c r="Z486" s="20">
        <f t="shared" si="152"/>
        <v>0</v>
      </c>
      <c r="AA486" s="20">
        <f t="shared" si="153"/>
        <v>0</v>
      </c>
      <c r="AB486" s="20">
        <f t="shared" si="154"/>
        <v>0</v>
      </c>
      <c r="AC486" s="20">
        <f t="shared" si="155"/>
        <v>0</v>
      </c>
      <c r="AD486" s="20">
        <f>IF(A486="",21/24,MOD(VLOOKUP(A486,Parámetros!$A$24:$B$25,2,TRUE()),1))</f>
        <v>0.875</v>
      </c>
      <c r="AE486" s="5">
        <f>IF(A486="",0,IF(OR(WEEKDAY(A486,2)=7,COUNTIF(Festivos!$A$5:$A$451,A486)&gt;0),1,0))</f>
        <v>0</v>
      </c>
      <c r="AF486" s="5">
        <f>IF(A486="",0,IF(OR(WEEKDAY(A486+1,2)=7,COUNTIF(Festivos!$A$5:$A$451,A486+1)&gt;0),1,0))</f>
        <v>0</v>
      </c>
      <c r="AG486" s="9">
        <f>IF(A486="",0,VLOOKUP(A486,Parámetros!$A$18:$B$21,2,TRUE()))</f>
        <v>0</v>
      </c>
      <c r="AH486" s="20">
        <f t="shared" si="156"/>
        <v>0</v>
      </c>
      <c r="AI486" s="20">
        <f>MAX(0,MIN(AB486,Parámetros!$B$11)-MAX(X486,0))+MAX(0,MIN(AB486,1+Parámetros!$B$11)-MAX(X486,AD486))+MAX(0,MIN(AB486,2)-MAX(X486,1+AD486))</f>
        <v>0</v>
      </c>
      <c r="AJ486" s="20">
        <f t="shared" si="157"/>
        <v>0</v>
      </c>
      <c r="AK486" s="20">
        <f>AE486*(MAX(0,MIN(AB486,Parámetros!$B$11)-MAX(X486,0))+MAX(0,MIN(AB486,1)-MAX(X486,AD486)))+AF486*(MAX(0,MIN(AB486,1+Parámetros!$B$11)-MAX(X486,1))+MAX(0,MIN(AB486,2)-MAX(X486,1+AD486)))</f>
        <v>0</v>
      </c>
      <c r="AL486" s="20">
        <f t="shared" si="158"/>
        <v>0</v>
      </c>
      <c r="AM486" s="20">
        <f>MAX(0,MIN(AC486,Parámetros!$B$11)-MAX(AB486,0))+MAX(0,MIN(AC486,1+Parámetros!$B$11)-MAX(AB486,AD486))+MAX(0,MIN(AC486,2)-MAX(AB486,1+AD486))</f>
        <v>0</v>
      </c>
      <c r="AN486" s="20">
        <f t="shared" si="159"/>
        <v>0</v>
      </c>
      <c r="AO486" s="20">
        <f>AE486*(MAX(0,MIN(AC486,Parámetros!$B$11)-MAX(AB486,0))+MAX(0,MIN(AC486,1)-MAX(AB486,AD486)))+AF486*(MAX(0,MIN(AC486,1+Parámetros!$B$11)-MAX(AB486,1))+MAX(0,MIN(AC486,2)-MAX(AB486,1+AD486)))</f>
        <v>0</v>
      </c>
    </row>
    <row r="487" spans="1:41" x14ac:dyDescent="0.25">
      <c r="A487" s="15"/>
      <c r="B487" s="8"/>
      <c r="C487" s="5" t="str">
        <f>IF(B487="","",IFERROR(INDEX(Trabajadores!$B$5:$B$204,MATCH(B487,Trabajadores!$A$5:$A$204,0)),"Cédula no registrada"))</f>
        <v/>
      </c>
      <c r="D487" s="11"/>
      <c r="E487" s="11"/>
      <c r="F487" s="8"/>
      <c r="G487" s="18" t="str">
        <f>IF(A487="","",IFERROR(INDEX(Trabajadores!$E$5:$E$204,MATCH(B487,Trabajadores!$A$5:$A$204,0))/Parámetros!$B$6,0)+IF(IFERROR(INDEX(Trabajadores!$E$5:$E$204,MATCH(B487,Trabajadores!$A$5:$A$204,0)),"")="",Parámetros!$B$7,0))</f>
        <v/>
      </c>
      <c r="H487" s="5" t="str">
        <f t="shared" si="140"/>
        <v/>
      </c>
      <c r="I487" s="5" t="str">
        <f>IF(A487="","",IF(COUNTIF(Festivos!$A$5:$A$451,A487)&gt;0,"Festivo",IF(WEEKDAY(A487,2)=7,"Domingo",IF(AND(AF487=1,AC487&gt;1),IF(COUNTIF(Festivos!$A$5:$A$451,A487+1)&gt;0,"Festivo","Domingo")&amp;" desde las 00:00",""))))</f>
        <v/>
      </c>
      <c r="J487" s="19" t="str">
        <f t="shared" si="141"/>
        <v/>
      </c>
      <c r="K487" s="19" t="str">
        <f t="shared" si="142"/>
        <v/>
      </c>
      <c r="L487" s="19" t="str">
        <f t="shared" si="143"/>
        <v/>
      </c>
      <c r="M487" s="19" t="str">
        <f t="shared" si="144"/>
        <v/>
      </c>
      <c r="N487" s="19" t="str">
        <f t="shared" si="145"/>
        <v/>
      </c>
      <c r="O487" s="19" t="str">
        <f t="shared" si="146"/>
        <v/>
      </c>
      <c r="P487" s="19" t="str">
        <f t="shared" si="147"/>
        <v/>
      </c>
      <c r="Q487" s="19" t="str">
        <f t="shared" si="148"/>
        <v/>
      </c>
      <c r="R487" s="19" t="str">
        <f t="shared" si="149"/>
        <v/>
      </c>
      <c r="S487" s="17" t="str">
        <f>IF(B487="","",IFERROR(INDEX(Trabajadores!$G$5:$G$204,MATCH(B487,Trabajadores!$A$5:$A$204,0)),""))</f>
        <v/>
      </c>
      <c r="T487" s="17" t="str">
        <f>IF(OR(OR(A487="",D487="",E487=""),S487=""),"",ROUND(S487*(N(L487)*Parámetros!$B$8+N(M487)*(1+Parámetros!$B$9)+N(N487)*(1+Parámetros!$B$10)+N(O487)*(1+AG487)+N(P487)*(1+AG487+Parámetros!$B$8)+N(Q487)*(1+AG487+Parámetros!$B$9)+N(R487)*(1+AG487+Parámetros!$B$10)),0))</f>
        <v/>
      </c>
      <c r="U487" s="5" t="str">
        <f>IF(OR(A487="",D487="",E487=""),"",IF(N(M487)+N(N487)+N(Q487)+N(R487)&gt;Parámetros!$B$12,"Supera el límite de horas extras diarias",IF(C487="Cédula no registrada","Registre la cédula en «Trabajadores»","")))</f>
        <v/>
      </c>
      <c r="X487" s="20">
        <f t="shared" si="150"/>
        <v>0</v>
      </c>
      <c r="Y487" s="20">
        <f t="shared" si="151"/>
        <v>0</v>
      </c>
      <c r="Z487" s="20">
        <f t="shared" si="152"/>
        <v>0</v>
      </c>
      <c r="AA487" s="20">
        <f t="shared" si="153"/>
        <v>0</v>
      </c>
      <c r="AB487" s="20">
        <f t="shared" si="154"/>
        <v>0</v>
      </c>
      <c r="AC487" s="20">
        <f t="shared" si="155"/>
        <v>0</v>
      </c>
      <c r="AD487" s="20">
        <f>IF(A487="",21/24,MOD(VLOOKUP(A487,Parámetros!$A$24:$B$25,2,TRUE()),1))</f>
        <v>0.875</v>
      </c>
      <c r="AE487" s="5">
        <f>IF(A487="",0,IF(OR(WEEKDAY(A487,2)=7,COUNTIF(Festivos!$A$5:$A$451,A487)&gt;0),1,0))</f>
        <v>0</v>
      </c>
      <c r="AF487" s="5">
        <f>IF(A487="",0,IF(OR(WEEKDAY(A487+1,2)=7,COUNTIF(Festivos!$A$5:$A$451,A487+1)&gt;0),1,0))</f>
        <v>0</v>
      </c>
      <c r="AG487" s="9">
        <f>IF(A487="",0,VLOOKUP(A487,Parámetros!$A$18:$B$21,2,TRUE()))</f>
        <v>0</v>
      </c>
      <c r="AH487" s="20">
        <f t="shared" si="156"/>
        <v>0</v>
      </c>
      <c r="AI487" s="20">
        <f>MAX(0,MIN(AB487,Parámetros!$B$11)-MAX(X487,0))+MAX(0,MIN(AB487,1+Parámetros!$B$11)-MAX(X487,AD487))+MAX(0,MIN(AB487,2)-MAX(X487,1+AD487))</f>
        <v>0</v>
      </c>
      <c r="AJ487" s="20">
        <f t="shared" si="157"/>
        <v>0</v>
      </c>
      <c r="AK487" s="20">
        <f>AE487*(MAX(0,MIN(AB487,Parámetros!$B$11)-MAX(X487,0))+MAX(0,MIN(AB487,1)-MAX(X487,AD487)))+AF487*(MAX(0,MIN(AB487,1+Parámetros!$B$11)-MAX(X487,1))+MAX(0,MIN(AB487,2)-MAX(X487,1+AD487)))</f>
        <v>0</v>
      </c>
      <c r="AL487" s="20">
        <f t="shared" si="158"/>
        <v>0</v>
      </c>
      <c r="AM487" s="20">
        <f>MAX(0,MIN(AC487,Parámetros!$B$11)-MAX(AB487,0))+MAX(0,MIN(AC487,1+Parámetros!$B$11)-MAX(AB487,AD487))+MAX(0,MIN(AC487,2)-MAX(AB487,1+AD487))</f>
        <v>0</v>
      </c>
      <c r="AN487" s="20">
        <f t="shared" si="159"/>
        <v>0</v>
      </c>
      <c r="AO487" s="20">
        <f>AE487*(MAX(0,MIN(AC487,Parámetros!$B$11)-MAX(AB487,0))+MAX(0,MIN(AC487,1)-MAX(AB487,AD487)))+AF487*(MAX(0,MIN(AC487,1+Parámetros!$B$11)-MAX(AB487,1))+MAX(0,MIN(AC487,2)-MAX(AB487,1+AD487)))</f>
        <v>0</v>
      </c>
    </row>
    <row r="488" spans="1:41" x14ac:dyDescent="0.25">
      <c r="A488" s="15"/>
      <c r="B488" s="8"/>
      <c r="C488" s="5" t="str">
        <f>IF(B488="","",IFERROR(INDEX(Trabajadores!$B$5:$B$204,MATCH(B488,Trabajadores!$A$5:$A$204,0)),"Cédula no registrada"))</f>
        <v/>
      </c>
      <c r="D488" s="11"/>
      <c r="E488" s="11"/>
      <c r="F488" s="8"/>
      <c r="G488" s="18" t="str">
        <f>IF(A488="","",IFERROR(INDEX(Trabajadores!$E$5:$E$204,MATCH(B488,Trabajadores!$A$5:$A$204,0))/Parámetros!$B$6,0)+IF(IFERROR(INDEX(Trabajadores!$E$5:$E$204,MATCH(B488,Trabajadores!$A$5:$A$204,0)),"")="",Parámetros!$B$7,0))</f>
        <v/>
      </c>
      <c r="H488" s="5" t="str">
        <f t="shared" si="140"/>
        <v/>
      </c>
      <c r="I488" s="5" t="str">
        <f>IF(A488="","",IF(COUNTIF(Festivos!$A$5:$A$451,A488)&gt;0,"Festivo",IF(WEEKDAY(A488,2)=7,"Domingo",IF(AND(AF488=1,AC488&gt;1),IF(COUNTIF(Festivos!$A$5:$A$451,A488+1)&gt;0,"Festivo","Domingo")&amp;" desde las 00:00",""))))</f>
        <v/>
      </c>
      <c r="J488" s="19" t="str">
        <f t="shared" si="141"/>
        <v/>
      </c>
      <c r="K488" s="19" t="str">
        <f t="shared" si="142"/>
        <v/>
      </c>
      <c r="L488" s="19" t="str">
        <f t="shared" si="143"/>
        <v/>
      </c>
      <c r="M488" s="19" t="str">
        <f t="shared" si="144"/>
        <v/>
      </c>
      <c r="N488" s="19" t="str">
        <f t="shared" si="145"/>
        <v/>
      </c>
      <c r="O488" s="19" t="str">
        <f t="shared" si="146"/>
        <v/>
      </c>
      <c r="P488" s="19" t="str">
        <f t="shared" si="147"/>
        <v/>
      </c>
      <c r="Q488" s="19" t="str">
        <f t="shared" si="148"/>
        <v/>
      </c>
      <c r="R488" s="19" t="str">
        <f t="shared" si="149"/>
        <v/>
      </c>
      <c r="S488" s="17" t="str">
        <f>IF(B488="","",IFERROR(INDEX(Trabajadores!$G$5:$G$204,MATCH(B488,Trabajadores!$A$5:$A$204,0)),""))</f>
        <v/>
      </c>
      <c r="T488" s="17" t="str">
        <f>IF(OR(OR(A488="",D488="",E488=""),S488=""),"",ROUND(S488*(N(L488)*Parámetros!$B$8+N(M488)*(1+Parámetros!$B$9)+N(N488)*(1+Parámetros!$B$10)+N(O488)*(1+AG488)+N(P488)*(1+AG488+Parámetros!$B$8)+N(Q488)*(1+AG488+Parámetros!$B$9)+N(R488)*(1+AG488+Parámetros!$B$10)),0))</f>
        <v/>
      </c>
      <c r="U488" s="5" t="str">
        <f>IF(OR(A488="",D488="",E488=""),"",IF(N(M488)+N(N488)+N(Q488)+N(R488)&gt;Parámetros!$B$12,"Supera el límite de horas extras diarias",IF(C488="Cédula no registrada","Registre la cédula en «Trabajadores»","")))</f>
        <v/>
      </c>
      <c r="X488" s="20">
        <f t="shared" si="150"/>
        <v>0</v>
      </c>
      <c r="Y488" s="20">
        <f t="shared" si="151"/>
        <v>0</v>
      </c>
      <c r="Z488" s="20">
        <f t="shared" si="152"/>
        <v>0</v>
      </c>
      <c r="AA488" s="20">
        <f t="shared" si="153"/>
        <v>0</v>
      </c>
      <c r="AB488" s="20">
        <f t="shared" si="154"/>
        <v>0</v>
      </c>
      <c r="AC488" s="20">
        <f t="shared" si="155"/>
        <v>0</v>
      </c>
      <c r="AD488" s="20">
        <f>IF(A488="",21/24,MOD(VLOOKUP(A488,Parámetros!$A$24:$B$25,2,TRUE()),1))</f>
        <v>0.875</v>
      </c>
      <c r="AE488" s="5">
        <f>IF(A488="",0,IF(OR(WEEKDAY(A488,2)=7,COUNTIF(Festivos!$A$5:$A$451,A488)&gt;0),1,0))</f>
        <v>0</v>
      </c>
      <c r="AF488" s="5">
        <f>IF(A488="",0,IF(OR(WEEKDAY(A488+1,2)=7,COUNTIF(Festivos!$A$5:$A$451,A488+1)&gt;0),1,0))</f>
        <v>0</v>
      </c>
      <c r="AG488" s="9">
        <f>IF(A488="",0,VLOOKUP(A488,Parámetros!$A$18:$B$21,2,TRUE()))</f>
        <v>0</v>
      </c>
      <c r="AH488" s="20">
        <f t="shared" si="156"/>
        <v>0</v>
      </c>
      <c r="AI488" s="20">
        <f>MAX(0,MIN(AB488,Parámetros!$B$11)-MAX(X488,0))+MAX(0,MIN(AB488,1+Parámetros!$B$11)-MAX(X488,AD488))+MAX(0,MIN(AB488,2)-MAX(X488,1+AD488))</f>
        <v>0</v>
      </c>
      <c r="AJ488" s="20">
        <f t="shared" si="157"/>
        <v>0</v>
      </c>
      <c r="AK488" s="20">
        <f>AE488*(MAX(0,MIN(AB488,Parámetros!$B$11)-MAX(X488,0))+MAX(0,MIN(AB488,1)-MAX(X488,AD488)))+AF488*(MAX(0,MIN(AB488,1+Parámetros!$B$11)-MAX(X488,1))+MAX(0,MIN(AB488,2)-MAX(X488,1+AD488)))</f>
        <v>0</v>
      </c>
      <c r="AL488" s="20">
        <f t="shared" si="158"/>
        <v>0</v>
      </c>
      <c r="AM488" s="20">
        <f>MAX(0,MIN(AC488,Parámetros!$B$11)-MAX(AB488,0))+MAX(0,MIN(AC488,1+Parámetros!$B$11)-MAX(AB488,AD488))+MAX(0,MIN(AC488,2)-MAX(AB488,1+AD488))</f>
        <v>0</v>
      </c>
      <c r="AN488" s="20">
        <f t="shared" si="159"/>
        <v>0</v>
      </c>
      <c r="AO488" s="20">
        <f>AE488*(MAX(0,MIN(AC488,Parámetros!$B$11)-MAX(AB488,0))+MAX(0,MIN(AC488,1)-MAX(AB488,AD488)))+AF488*(MAX(0,MIN(AC488,1+Parámetros!$B$11)-MAX(AB488,1))+MAX(0,MIN(AC488,2)-MAX(AB488,1+AD488)))</f>
        <v>0</v>
      </c>
    </row>
    <row r="489" spans="1:41" x14ac:dyDescent="0.25">
      <c r="A489" s="15"/>
      <c r="B489" s="8"/>
      <c r="C489" s="5" t="str">
        <f>IF(B489="","",IFERROR(INDEX(Trabajadores!$B$5:$B$204,MATCH(B489,Trabajadores!$A$5:$A$204,0)),"Cédula no registrada"))</f>
        <v/>
      </c>
      <c r="D489" s="11"/>
      <c r="E489" s="11"/>
      <c r="F489" s="8"/>
      <c r="G489" s="18" t="str">
        <f>IF(A489="","",IFERROR(INDEX(Trabajadores!$E$5:$E$204,MATCH(B489,Trabajadores!$A$5:$A$204,0))/Parámetros!$B$6,0)+IF(IFERROR(INDEX(Trabajadores!$E$5:$E$204,MATCH(B489,Trabajadores!$A$5:$A$204,0)),"")="",Parámetros!$B$7,0))</f>
        <v/>
      </c>
      <c r="H489" s="5" t="str">
        <f t="shared" si="140"/>
        <v/>
      </c>
      <c r="I489" s="5" t="str">
        <f>IF(A489="","",IF(COUNTIF(Festivos!$A$5:$A$451,A489)&gt;0,"Festivo",IF(WEEKDAY(A489,2)=7,"Domingo",IF(AND(AF489=1,AC489&gt;1),IF(COUNTIF(Festivos!$A$5:$A$451,A489+1)&gt;0,"Festivo","Domingo")&amp;" desde las 00:00",""))))</f>
        <v/>
      </c>
      <c r="J489" s="19" t="str">
        <f t="shared" si="141"/>
        <v/>
      </c>
      <c r="K489" s="19" t="str">
        <f t="shared" si="142"/>
        <v/>
      </c>
      <c r="L489" s="19" t="str">
        <f t="shared" si="143"/>
        <v/>
      </c>
      <c r="M489" s="19" t="str">
        <f t="shared" si="144"/>
        <v/>
      </c>
      <c r="N489" s="19" t="str">
        <f t="shared" si="145"/>
        <v/>
      </c>
      <c r="O489" s="19" t="str">
        <f t="shared" si="146"/>
        <v/>
      </c>
      <c r="P489" s="19" t="str">
        <f t="shared" si="147"/>
        <v/>
      </c>
      <c r="Q489" s="19" t="str">
        <f t="shared" si="148"/>
        <v/>
      </c>
      <c r="R489" s="19" t="str">
        <f t="shared" si="149"/>
        <v/>
      </c>
      <c r="S489" s="17" t="str">
        <f>IF(B489="","",IFERROR(INDEX(Trabajadores!$G$5:$G$204,MATCH(B489,Trabajadores!$A$5:$A$204,0)),""))</f>
        <v/>
      </c>
      <c r="T489" s="17" t="str">
        <f>IF(OR(OR(A489="",D489="",E489=""),S489=""),"",ROUND(S489*(N(L489)*Parámetros!$B$8+N(M489)*(1+Parámetros!$B$9)+N(N489)*(1+Parámetros!$B$10)+N(O489)*(1+AG489)+N(P489)*(1+AG489+Parámetros!$B$8)+N(Q489)*(1+AG489+Parámetros!$B$9)+N(R489)*(1+AG489+Parámetros!$B$10)),0))</f>
        <v/>
      </c>
      <c r="U489" s="5" t="str">
        <f>IF(OR(A489="",D489="",E489=""),"",IF(N(M489)+N(N489)+N(Q489)+N(R489)&gt;Parámetros!$B$12,"Supera el límite de horas extras diarias",IF(C489="Cédula no registrada","Registre la cédula en «Trabajadores»","")))</f>
        <v/>
      </c>
      <c r="X489" s="20">
        <f t="shared" si="150"/>
        <v>0</v>
      </c>
      <c r="Y489" s="20">
        <f t="shared" si="151"/>
        <v>0</v>
      </c>
      <c r="Z489" s="20">
        <f t="shared" si="152"/>
        <v>0</v>
      </c>
      <c r="AA489" s="20">
        <f t="shared" si="153"/>
        <v>0</v>
      </c>
      <c r="AB489" s="20">
        <f t="shared" si="154"/>
        <v>0</v>
      </c>
      <c r="AC489" s="20">
        <f t="shared" si="155"/>
        <v>0</v>
      </c>
      <c r="AD489" s="20">
        <f>IF(A489="",21/24,MOD(VLOOKUP(A489,Parámetros!$A$24:$B$25,2,TRUE()),1))</f>
        <v>0.875</v>
      </c>
      <c r="AE489" s="5">
        <f>IF(A489="",0,IF(OR(WEEKDAY(A489,2)=7,COUNTIF(Festivos!$A$5:$A$451,A489)&gt;0),1,0))</f>
        <v>0</v>
      </c>
      <c r="AF489" s="5">
        <f>IF(A489="",0,IF(OR(WEEKDAY(A489+1,2)=7,COUNTIF(Festivos!$A$5:$A$451,A489+1)&gt;0),1,0))</f>
        <v>0</v>
      </c>
      <c r="AG489" s="9">
        <f>IF(A489="",0,VLOOKUP(A489,Parámetros!$A$18:$B$21,2,TRUE()))</f>
        <v>0</v>
      </c>
      <c r="AH489" s="20">
        <f t="shared" si="156"/>
        <v>0</v>
      </c>
      <c r="AI489" s="20">
        <f>MAX(0,MIN(AB489,Parámetros!$B$11)-MAX(X489,0))+MAX(0,MIN(AB489,1+Parámetros!$B$11)-MAX(X489,AD489))+MAX(0,MIN(AB489,2)-MAX(X489,1+AD489))</f>
        <v>0</v>
      </c>
      <c r="AJ489" s="20">
        <f t="shared" si="157"/>
        <v>0</v>
      </c>
      <c r="AK489" s="20">
        <f>AE489*(MAX(0,MIN(AB489,Parámetros!$B$11)-MAX(X489,0))+MAX(0,MIN(AB489,1)-MAX(X489,AD489)))+AF489*(MAX(0,MIN(AB489,1+Parámetros!$B$11)-MAX(X489,1))+MAX(0,MIN(AB489,2)-MAX(X489,1+AD489)))</f>
        <v>0</v>
      </c>
      <c r="AL489" s="20">
        <f t="shared" si="158"/>
        <v>0</v>
      </c>
      <c r="AM489" s="20">
        <f>MAX(0,MIN(AC489,Parámetros!$B$11)-MAX(AB489,0))+MAX(0,MIN(AC489,1+Parámetros!$B$11)-MAX(AB489,AD489))+MAX(0,MIN(AC489,2)-MAX(AB489,1+AD489))</f>
        <v>0</v>
      </c>
      <c r="AN489" s="20">
        <f t="shared" si="159"/>
        <v>0</v>
      </c>
      <c r="AO489" s="20">
        <f>AE489*(MAX(0,MIN(AC489,Parámetros!$B$11)-MAX(AB489,0))+MAX(0,MIN(AC489,1)-MAX(AB489,AD489)))+AF489*(MAX(0,MIN(AC489,1+Parámetros!$B$11)-MAX(AB489,1))+MAX(0,MIN(AC489,2)-MAX(AB489,1+AD489)))</f>
        <v>0</v>
      </c>
    </row>
    <row r="490" spans="1:41" x14ac:dyDescent="0.25">
      <c r="A490" s="15"/>
      <c r="B490" s="8"/>
      <c r="C490" s="5" t="str">
        <f>IF(B490="","",IFERROR(INDEX(Trabajadores!$B$5:$B$204,MATCH(B490,Trabajadores!$A$5:$A$204,0)),"Cédula no registrada"))</f>
        <v/>
      </c>
      <c r="D490" s="11"/>
      <c r="E490" s="11"/>
      <c r="F490" s="8"/>
      <c r="G490" s="18" t="str">
        <f>IF(A490="","",IFERROR(INDEX(Trabajadores!$E$5:$E$204,MATCH(B490,Trabajadores!$A$5:$A$204,0))/Parámetros!$B$6,0)+IF(IFERROR(INDEX(Trabajadores!$E$5:$E$204,MATCH(B490,Trabajadores!$A$5:$A$204,0)),"")="",Parámetros!$B$7,0))</f>
        <v/>
      </c>
      <c r="H490" s="5" t="str">
        <f t="shared" si="140"/>
        <v/>
      </c>
      <c r="I490" s="5" t="str">
        <f>IF(A490="","",IF(COUNTIF(Festivos!$A$5:$A$451,A490)&gt;0,"Festivo",IF(WEEKDAY(A490,2)=7,"Domingo",IF(AND(AF490=1,AC490&gt;1),IF(COUNTIF(Festivos!$A$5:$A$451,A490+1)&gt;0,"Festivo","Domingo")&amp;" desde las 00:00",""))))</f>
        <v/>
      </c>
      <c r="J490" s="19" t="str">
        <f t="shared" si="141"/>
        <v/>
      </c>
      <c r="K490" s="19" t="str">
        <f t="shared" si="142"/>
        <v/>
      </c>
      <c r="L490" s="19" t="str">
        <f t="shared" si="143"/>
        <v/>
      </c>
      <c r="M490" s="19" t="str">
        <f t="shared" si="144"/>
        <v/>
      </c>
      <c r="N490" s="19" t="str">
        <f t="shared" si="145"/>
        <v/>
      </c>
      <c r="O490" s="19" t="str">
        <f t="shared" si="146"/>
        <v/>
      </c>
      <c r="P490" s="19" t="str">
        <f t="shared" si="147"/>
        <v/>
      </c>
      <c r="Q490" s="19" t="str">
        <f t="shared" si="148"/>
        <v/>
      </c>
      <c r="R490" s="19" t="str">
        <f t="shared" si="149"/>
        <v/>
      </c>
      <c r="S490" s="17" t="str">
        <f>IF(B490="","",IFERROR(INDEX(Trabajadores!$G$5:$G$204,MATCH(B490,Trabajadores!$A$5:$A$204,0)),""))</f>
        <v/>
      </c>
      <c r="T490" s="17" t="str">
        <f>IF(OR(OR(A490="",D490="",E490=""),S490=""),"",ROUND(S490*(N(L490)*Parámetros!$B$8+N(M490)*(1+Parámetros!$B$9)+N(N490)*(1+Parámetros!$B$10)+N(O490)*(1+AG490)+N(P490)*(1+AG490+Parámetros!$B$8)+N(Q490)*(1+AG490+Parámetros!$B$9)+N(R490)*(1+AG490+Parámetros!$B$10)),0))</f>
        <v/>
      </c>
      <c r="U490" s="5" t="str">
        <f>IF(OR(A490="",D490="",E490=""),"",IF(N(M490)+N(N490)+N(Q490)+N(R490)&gt;Parámetros!$B$12,"Supera el límite de horas extras diarias",IF(C490="Cédula no registrada","Registre la cédula en «Trabajadores»","")))</f>
        <v/>
      </c>
      <c r="X490" s="20">
        <f t="shared" si="150"/>
        <v>0</v>
      </c>
      <c r="Y490" s="20">
        <f t="shared" si="151"/>
        <v>0</v>
      </c>
      <c r="Z490" s="20">
        <f t="shared" si="152"/>
        <v>0</v>
      </c>
      <c r="AA490" s="20">
        <f t="shared" si="153"/>
        <v>0</v>
      </c>
      <c r="AB490" s="20">
        <f t="shared" si="154"/>
        <v>0</v>
      </c>
      <c r="AC490" s="20">
        <f t="shared" si="155"/>
        <v>0</v>
      </c>
      <c r="AD490" s="20">
        <f>IF(A490="",21/24,MOD(VLOOKUP(A490,Parámetros!$A$24:$B$25,2,TRUE()),1))</f>
        <v>0.875</v>
      </c>
      <c r="AE490" s="5">
        <f>IF(A490="",0,IF(OR(WEEKDAY(A490,2)=7,COUNTIF(Festivos!$A$5:$A$451,A490)&gt;0),1,0))</f>
        <v>0</v>
      </c>
      <c r="AF490" s="5">
        <f>IF(A490="",0,IF(OR(WEEKDAY(A490+1,2)=7,COUNTIF(Festivos!$A$5:$A$451,A490+1)&gt;0),1,0))</f>
        <v>0</v>
      </c>
      <c r="AG490" s="9">
        <f>IF(A490="",0,VLOOKUP(A490,Parámetros!$A$18:$B$21,2,TRUE()))</f>
        <v>0</v>
      </c>
      <c r="AH490" s="20">
        <f t="shared" si="156"/>
        <v>0</v>
      </c>
      <c r="AI490" s="20">
        <f>MAX(0,MIN(AB490,Parámetros!$B$11)-MAX(X490,0))+MAX(0,MIN(AB490,1+Parámetros!$B$11)-MAX(X490,AD490))+MAX(0,MIN(AB490,2)-MAX(X490,1+AD490))</f>
        <v>0</v>
      </c>
      <c r="AJ490" s="20">
        <f t="shared" si="157"/>
        <v>0</v>
      </c>
      <c r="AK490" s="20">
        <f>AE490*(MAX(0,MIN(AB490,Parámetros!$B$11)-MAX(X490,0))+MAX(0,MIN(AB490,1)-MAX(X490,AD490)))+AF490*(MAX(0,MIN(AB490,1+Parámetros!$B$11)-MAX(X490,1))+MAX(0,MIN(AB490,2)-MAX(X490,1+AD490)))</f>
        <v>0</v>
      </c>
      <c r="AL490" s="20">
        <f t="shared" si="158"/>
        <v>0</v>
      </c>
      <c r="AM490" s="20">
        <f>MAX(0,MIN(AC490,Parámetros!$B$11)-MAX(AB490,0))+MAX(0,MIN(AC490,1+Parámetros!$B$11)-MAX(AB490,AD490))+MAX(0,MIN(AC490,2)-MAX(AB490,1+AD490))</f>
        <v>0</v>
      </c>
      <c r="AN490" s="20">
        <f t="shared" si="159"/>
        <v>0</v>
      </c>
      <c r="AO490" s="20">
        <f>AE490*(MAX(0,MIN(AC490,Parámetros!$B$11)-MAX(AB490,0))+MAX(0,MIN(AC490,1)-MAX(AB490,AD490)))+AF490*(MAX(0,MIN(AC490,1+Parámetros!$B$11)-MAX(AB490,1))+MAX(0,MIN(AC490,2)-MAX(AB490,1+AD490)))</f>
        <v>0</v>
      </c>
    </row>
    <row r="491" spans="1:41" x14ac:dyDescent="0.25">
      <c r="A491" s="15"/>
      <c r="B491" s="8"/>
      <c r="C491" s="5" t="str">
        <f>IF(B491="","",IFERROR(INDEX(Trabajadores!$B$5:$B$204,MATCH(B491,Trabajadores!$A$5:$A$204,0)),"Cédula no registrada"))</f>
        <v/>
      </c>
      <c r="D491" s="11"/>
      <c r="E491" s="11"/>
      <c r="F491" s="8"/>
      <c r="G491" s="18" t="str">
        <f>IF(A491="","",IFERROR(INDEX(Trabajadores!$E$5:$E$204,MATCH(B491,Trabajadores!$A$5:$A$204,0))/Parámetros!$B$6,0)+IF(IFERROR(INDEX(Trabajadores!$E$5:$E$204,MATCH(B491,Trabajadores!$A$5:$A$204,0)),"")="",Parámetros!$B$7,0))</f>
        <v/>
      </c>
      <c r="H491" s="5" t="str">
        <f t="shared" si="140"/>
        <v/>
      </c>
      <c r="I491" s="5" t="str">
        <f>IF(A491="","",IF(COUNTIF(Festivos!$A$5:$A$451,A491)&gt;0,"Festivo",IF(WEEKDAY(A491,2)=7,"Domingo",IF(AND(AF491=1,AC491&gt;1),IF(COUNTIF(Festivos!$A$5:$A$451,A491+1)&gt;0,"Festivo","Domingo")&amp;" desde las 00:00",""))))</f>
        <v/>
      </c>
      <c r="J491" s="19" t="str">
        <f t="shared" si="141"/>
        <v/>
      </c>
      <c r="K491" s="19" t="str">
        <f t="shared" si="142"/>
        <v/>
      </c>
      <c r="L491" s="19" t="str">
        <f t="shared" si="143"/>
        <v/>
      </c>
      <c r="M491" s="19" t="str">
        <f t="shared" si="144"/>
        <v/>
      </c>
      <c r="N491" s="19" t="str">
        <f t="shared" si="145"/>
        <v/>
      </c>
      <c r="O491" s="19" t="str">
        <f t="shared" si="146"/>
        <v/>
      </c>
      <c r="P491" s="19" t="str">
        <f t="shared" si="147"/>
        <v/>
      </c>
      <c r="Q491" s="19" t="str">
        <f t="shared" si="148"/>
        <v/>
      </c>
      <c r="R491" s="19" t="str">
        <f t="shared" si="149"/>
        <v/>
      </c>
      <c r="S491" s="17" t="str">
        <f>IF(B491="","",IFERROR(INDEX(Trabajadores!$G$5:$G$204,MATCH(B491,Trabajadores!$A$5:$A$204,0)),""))</f>
        <v/>
      </c>
      <c r="T491" s="17" t="str">
        <f>IF(OR(OR(A491="",D491="",E491=""),S491=""),"",ROUND(S491*(N(L491)*Parámetros!$B$8+N(M491)*(1+Parámetros!$B$9)+N(N491)*(1+Parámetros!$B$10)+N(O491)*(1+AG491)+N(P491)*(1+AG491+Parámetros!$B$8)+N(Q491)*(1+AG491+Parámetros!$B$9)+N(R491)*(1+AG491+Parámetros!$B$10)),0))</f>
        <v/>
      </c>
      <c r="U491" s="5" t="str">
        <f>IF(OR(A491="",D491="",E491=""),"",IF(N(M491)+N(N491)+N(Q491)+N(R491)&gt;Parámetros!$B$12,"Supera el límite de horas extras diarias",IF(C491="Cédula no registrada","Registre la cédula en «Trabajadores»","")))</f>
        <v/>
      </c>
      <c r="X491" s="20">
        <f t="shared" si="150"/>
        <v>0</v>
      </c>
      <c r="Y491" s="20">
        <f t="shared" si="151"/>
        <v>0</v>
      </c>
      <c r="Z491" s="20">
        <f t="shared" si="152"/>
        <v>0</v>
      </c>
      <c r="AA491" s="20">
        <f t="shared" si="153"/>
        <v>0</v>
      </c>
      <c r="AB491" s="20">
        <f t="shared" si="154"/>
        <v>0</v>
      </c>
      <c r="AC491" s="20">
        <f t="shared" si="155"/>
        <v>0</v>
      </c>
      <c r="AD491" s="20">
        <f>IF(A491="",21/24,MOD(VLOOKUP(A491,Parámetros!$A$24:$B$25,2,TRUE()),1))</f>
        <v>0.875</v>
      </c>
      <c r="AE491" s="5">
        <f>IF(A491="",0,IF(OR(WEEKDAY(A491,2)=7,COUNTIF(Festivos!$A$5:$A$451,A491)&gt;0),1,0))</f>
        <v>0</v>
      </c>
      <c r="AF491" s="5">
        <f>IF(A491="",0,IF(OR(WEEKDAY(A491+1,2)=7,COUNTIF(Festivos!$A$5:$A$451,A491+1)&gt;0),1,0))</f>
        <v>0</v>
      </c>
      <c r="AG491" s="9">
        <f>IF(A491="",0,VLOOKUP(A491,Parámetros!$A$18:$B$21,2,TRUE()))</f>
        <v>0</v>
      </c>
      <c r="AH491" s="20">
        <f t="shared" si="156"/>
        <v>0</v>
      </c>
      <c r="AI491" s="20">
        <f>MAX(0,MIN(AB491,Parámetros!$B$11)-MAX(X491,0))+MAX(0,MIN(AB491,1+Parámetros!$B$11)-MAX(X491,AD491))+MAX(0,MIN(AB491,2)-MAX(X491,1+AD491))</f>
        <v>0</v>
      </c>
      <c r="AJ491" s="20">
        <f t="shared" si="157"/>
        <v>0</v>
      </c>
      <c r="AK491" s="20">
        <f>AE491*(MAX(0,MIN(AB491,Parámetros!$B$11)-MAX(X491,0))+MAX(0,MIN(AB491,1)-MAX(X491,AD491)))+AF491*(MAX(0,MIN(AB491,1+Parámetros!$B$11)-MAX(X491,1))+MAX(0,MIN(AB491,2)-MAX(X491,1+AD491)))</f>
        <v>0</v>
      </c>
      <c r="AL491" s="20">
        <f t="shared" si="158"/>
        <v>0</v>
      </c>
      <c r="AM491" s="20">
        <f>MAX(0,MIN(AC491,Parámetros!$B$11)-MAX(AB491,0))+MAX(0,MIN(AC491,1+Parámetros!$B$11)-MAX(AB491,AD491))+MAX(0,MIN(AC491,2)-MAX(AB491,1+AD491))</f>
        <v>0</v>
      </c>
      <c r="AN491" s="20">
        <f t="shared" si="159"/>
        <v>0</v>
      </c>
      <c r="AO491" s="20">
        <f>AE491*(MAX(0,MIN(AC491,Parámetros!$B$11)-MAX(AB491,0))+MAX(0,MIN(AC491,1)-MAX(AB491,AD491)))+AF491*(MAX(0,MIN(AC491,1+Parámetros!$B$11)-MAX(AB491,1))+MAX(0,MIN(AC491,2)-MAX(AB491,1+AD491)))</f>
        <v>0</v>
      </c>
    </row>
    <row r="492" spans="1:41" x14ac:dyDescent="0.25">
      <c r="A492" s="15"/>
      <c r="B492" s="8"/>
      <c r="C492" s="5" t="str">
        <f>IF(B492="","",IFERROR(INDEX(Trabajadores!$B$5:$B$204,MATCH(B492,Trabajadores!$A$5:$A$204,0)),"Cédula no registrada"))</f>
        <v/>
      </c>
      <c r="D492" s="11"/>
      <c r="E492" s="11"/>
      <c r="F492" s="8"/>
      <c r="G492" s="18" t="str">
        <f>IF(A492="","",IFERROR(INDEX(Trabajadores!$E$5:$E$204,MATCH(B492,Trabajadores!$A$5:$A$204,0))/Parámetros!$B$6,0)+IF(IFERROR(INDEX(Trabajadores!$E$5:$E$204,MATCH(B492,Trabajadores!$A$5:$A$204,0)),"")="",Parámetros!$B$7,0))</f>
        <v/>
      </c>
      <c r="H492" s="5" t="str">
        <f t="shared" si="140"/>
        <v/>
      </c>
      <c r="I492" s="5" t="str">
        <f>IF(A492="","",IF(COUNTIF(Festivos!$A$5:$A$451,A492)&gt;0,"Festivo",IF(WEEKDAY(A492,2)=7,"Domingo",IF(AND(AF492=1,AC492&gt;1),IF(COUNTIF(Festivos!$A$5:$A$451,A492+1)&gt;0,"Festivo","Domingo")&amp;" desde las 00:00",""))))</f>
        <v/>
      </c>
      <c r="J492" s="19" t="str">
        <f t="shared" si="141"/>
        <v/>
      </c>
      <c r="K492" s="19" t="str">
        <f t="shared" si="142"/>
        <v/>
      </c>
      <c r="L492" s="19" t="str">
        <f t="shared" si="143"/>
        <v/>
      </c>
      <c r="M492" s="19" t="str">
        <f t="shared" si="144"/>
        <v/>
      </c>
      <c r="N492" s="19" t="str">
        <f t="shared" si="145"/>
        <v/>
      </c>
      <c r="O492" s="19" t="str">
        <f t="shared" si="146"/>
        <v/>
      </c>
      <c r="P492" s="19" t="str">
        <f t="shared" si="147"/>
        <v/>
      </c>
      <c r="Q492" s="19" t="str">
        <f t="shared" si="148"/>
        <v/>
      </c>
      <c r="R492" s="19" t="str">
        <f t="shared" si="149"/>
        <v/>
      </c>
      <c r="S492" s="17" t="str">
        <f>IF(B492="","",IFERROR(INDEX(Trabajadores!$G$5:$G$204,MATCH(B492,Trabajadores!$A$5:$A$204,0)),""))</f>
        <v/>
      </c>
      <c r="T492" s="17" t="str">
        <f>IF(OR(OR(A492="",D492="",E492=""),S492=""),"",ROUND(S492*(N(L492)*Parámetros!$B$8+N(M492)*(1+Parámetros!$B$9)+N(N492)*(1+Parámetros!$B$10)+N(O492)*(1+AG492)+N(P492)*(1+AG492+Parámetros!$B$8)+N(Q492)*(1+AG492+Parámetros!$B$9)+N(R492)*(1+AG492+Parámetros!$B$10)),0))</f>
        <v/>
      </c>
      <c r="U492" s="5" t="str">
        <f>IF(OR(A492="",D492="",E492=""),"",IF(N(M492)+N(N492)+N(Q492)+N(R492)&gt;Parámetros!$B$12,"Supera el límite de horas extras diarias",IF(C492="Cédula no registrada","Registre la cédula en «Trabajadores»","")))</f>
        <v/>
      </c>
      <c r="X492" s="20">
        <f t="shared" si="150"/>
        <v>0</v>
      </c>
      <c r="Y492" s="20">
        <f t="shared" si="151"/>
        <v>0</v>
      </c>
      <c r="Z492" s="20">
        <f t="shared" si="152"/>
        <v>0</v>
      </c>
      <c r="AA492" s="20">
        <f t="shared" si="153"/>
        <v>0</v>
      </c>
      <c r="AB492" s="20">
        <f t="shared" si="154"/>
        <v>0</v>
      </c>
      <c r="AC492" s="20">
        <f t="shared" si="155"/>
        <v>0</v>
      </c>
      <c r="AD492" s="20">
        <f>IF(A492="",21/24,MOD(VLOOKUP(A492,Parámetros!$A$24:$B$25,2,TRUE()),1))</f>
        <v>0.875</v>
      </c>
      <c r="AE492" s="5">
        <f>IF(A492="",0,IF(OR(WEEKDAY(A492,2)=7,COUNTIF(Festivos!$A$5:$A$451,A492)&gt;0),1,0))</f>
        <v>0</v>
      </c>
      <c r="AF492" s="5">
        <f>IF(A492="",0,IF(OR(WEEKDAY(A492+1,2)=7,COUNTIF(Festivos!$A$5:$A$451,A492+1)&gt;0),1,0))</f>
        <v>0</v>
      </c>
      <c r="AG492" s="9">
        <f>IF(A492="",0,VLOOKUP(A492,Parámetros!$A$18:$B$21,2,TRUE()))</f>
        <v>0</v>
      </c>
      <c r="AH492" s="20">
        <f t="shared" si="156"/>
        <v>0</v>
      </c>
      <c r="AI492" s="20">
        <f>MAX(0,MIN(AB492,Parámetros!$B$11)-MAX(X492,0))+MAX(0,MIN(AB492,1+Parámetros!$B$11)-MAX(X492,AD492))+MAX(0,MIN(AB492,2)-MAX(X492,1+AD492))</f>
        <v>0</v>
      </c>
      <c r="AJ492" s="20">
        <f t="shared" si="157"/>
        <v>0</v>
      </c>
      <c r="AK492" s="20">
        <f>AE492*(MAX(0,MIN(AB492,Parámetros!$B$11)-MAX(X492,0))+MAX(0,MIN(AB492,1)-MAX(X492,AD492)))+AF492*(MAX(0,MIN(AB492,1+Parámetros!$B$11)-MAX(X492,1))+MAX(0,MIN(AB492,2)-MAX(X492,1+AD492)))</f>
        <v>0</v>
      </c>
      <c r="AL492" s="20">
        <f t="shared" si="158"/>
        <v>0</v>
      </c>
      <c r="AM492" s="20">
        <f>MAX(0,MIN(AC492,Parámetros!$B$11)-MAX(AB492,0))+MAX(0,MIN(AC492,1+Parámetros!$B$11)-MAX(AB492,AD492))+MAX(0,MIN(AC492,2)-MAX(AB492,1+AD492))</f>
        <v>0</v>
      </c>
      <c r="AN492" s="20">
        <f t="shared" si="159"/>
        <v>0</v>
      </c>
      <c r="AO492" s="20">
        <f>AE492*(MAX(0,MIN(AC492,Parámetros!$B$11)-MAX(AB492,0))+MAX(0,MIN(AC492,1)-MAX(AB492,AD492)))+AF492*(MAX(0,MIN(AC492,1+Parámetros!$B$11)-MAX(AB492,1))+MAX(0,MIN(AC492,2)-MAX(AB492,1+AD492)))</f>
        <v>0</v>
      </c>
    </row>
    <row r="493" spans="1:41" x14ac:dyDescent="0.25">
      <c r="A493" s="15"/>
      <c r="B493" s="8"/>
      <c r="C493" s="5" t="str">
        <f>IF(B493="","",IFERROR(INDEX(Trabajadores!$B$5:$B$204,MATCH(B493,Trabajadores!$A$5:$A$204,0)),"Cédula no registrada"))</f>
        <v/>
      </c>
      <c r="D493" s="11"/>
      <c r="E493" s="11"/>
      <c r="F493" s="8"/>
      <c r="G493" s="18" t="str">
        <f>IF(A493="","",IFERROR(INDEX(Trabajadores!$E$5:$E$204,MATCH(B493,Trabajadores!$A$5:$A$204,0))/Parámetros!$B$6,0)+IF(IFERROR(INDEX(Trabajadores!$E$5:$E$204,MATCH(B493,Trabajadores!$A$5:$A$204,0)),"")="",Parámetros!$B$7,0))</f>
        <v/>
      </c>
      <c r="H493" s="5" t="str">
        <f t="shared" si="140"/>
        <v/>
      </c>
      <c r="I493" s="5" t="str">
        <f>IF(A493="","",IF(COUNTIF(Festivos!$A$5:$A$451,A493)&gt;0,"Festivo",IF(WEEKDAY(A493,2)=7,"Domingo",IF(AND(AF493=1,AC493&gt;1),IF(COUNTIF(Festivos!$A$5:$A$451,A493+1)&gt;0,"Festivo","Domingo")&amp;" desde las 00:00",""))))</f>
        <v/>
      </c>
      <c r="J493" s="19" t="str">
        <f t="shared" si="141"/>
        <v/>
      </c>
      <c r="K493" s="19" t="str">
        <f t="shared" si="142"/>
        <v/>
      </c>
      <c r="L493" s="19" t="str">
        <f t="shared" si="143"/>
        <v/>
      </c>
      <c r="M493" s="19" t="str">
        <f t="shared" si="144"/>
        <v/>
      </c>
      <c r="N493" s="19" t="str">
        <f t="shared" si="145"/>
        <v/>
      </c>
      <c r="O493" s="19" t="str">
        <f t="shared" si="146"/>
        <v/>
      </c>
      <c r="P493" s="19" t="str">
        <f t="shared" si="147"/>
        <v/>
      </c>
      <c r="Q493" s="19" t="str">
        <f t="shared" si="148"/>
        <v/>
      </c>
      <c r="R493" s="19" t="str">
        <f t="shared" si="149"/>
        <v/>
      </c>
      <c r="S493" s="17" t="str">
        <f>IF(B493="","",IFERROR(INDEX(Trabajadores!$G$5:$G$204,MATCH(B493,Trabajadores!$A$5:$A$204,0)),""))</f>
        <v/>
      </c>
      <c r="T493" s="17" t="str">
        <f>IF(OR(OR(A493="",D493="",E493=""),S493=""),"",ROUND(S493*(N(L493)*Parámetros!$B$8+N(M493)*(1+Parámetros!$B$9)+N(N493)*(1+Parámetros!$B$10)+N(O493)*(1+AG493)+N(P493)*(1+AG493+Parámetros!$B$8)+N(Q493)*(1+AG493+Parámetros!$B$9)+N(R493)*(1+AG493+Parámetros!$B$10)),0))</f>
        <v/>
      </c>
      <c r="U493" s="5" t="str">
        <f>IF(OR(A493="",D493="",E493=""),"",IF(N(M493)+N(N493)+N(Q493)+N(R493)&gt;Parámetros!$B$12,"Supera el límite de horas extras diarias",IF(C493="Cédula no registrada","Registre la cédula en «Trabajadores»","")))</f>
        <v/>
      </c>
      <c r="X493" s="20">
        <f t="shared" si="150"/>
        <v>0</v>
      </c>
      <c r="Y493" s="20">
        <f t="shared" si="151"/>
        <v>0</v>
      </c>
      <c r="Z493" s="20">
        <f t="shared" si="152"/>
        <v>0</v>
      </c>
      <c r="AA493" s="20">
        <f t="shared" si="153"/>
        <v>0</v>
      </c>
      <c r="AB493" s="20">
        <f t="shared" si="154"/>
        <v>0</v>
      </c>
      <c r="AC493" s="20">
        <f t="shared" si="155"/>
        <v>0</v>
      </c>
      <c r="AD493" s="20">
        <f>IF(A493="",21/24,MOD(VLOOKUP(A493,Parámetros!$A$24:$B$25,2,TRUE()),1))</f>
        <v>0.875</v>
      </c>
      <c r="AE493" s="5">
        <f>IF(A493="",0,IF(OR(WEEKDAY(A493,2)=7,COUNTIF(Festivos!$A$5:$A$451,A493)&gt;0),1,0))</f>
        <v>0</v>
      </c>
      <c r="AF493" s="5">
        <f>IF(A493="",0,IF(OR(WEEKDAY(A493+1,2)=7,COUNTIF(Festivos!$A$5:$A$451,A493+1)&gt;0),1,0))</f>
        <v>0</v>
      </c>
      <c r="AG493" s="9">
        <f>IF(A493="",0,VLOOKUP(A493,Parámetros!$A$18:$B$21,2,TRUE()))</f>
        <v>0</v>
      </c>
      <c r="AH493" s="20">
        <f t="shared" si="156"/>
        <v>0</v>
      </c>
      <c r="AI493" s="20">
        <f>MAX(0,MIN(AB493,Parámetros!$B$11)-MAX(X493,0))+MAX(0,MIN(AB493,1+Parámetros!$B$11)-MAX(X493,AD493))+MAX(0,MIN(AB493,2)-MAX(X493,1+AD493))</f>
        <v>0</v>
      </c>
      <c r="AJ493" s="20">
        <f t="shared" si="157"/>
        <v>0</v>
      </c>
      <c r="AK493" s="20">
        <f>AE493*(MAX(0,MIN(AB493,Parámetros!$B$11)-MAX(X493,0))+MAX(0,MIN(AB493,1)-MAX(X493,AD493)))+AF493*(MAX(0,MIN(AB493,1+Parámetros!$B$11)-MAX(X493,1))+MAX(0,MIN(AB493,2)-MAX(X493,1+AD493)))</f>
        <v>0</v>
      </c>
      <c r="AL493" s="20">
        <f t="shared" si="158"/>
        <v>0</v>
      </c>
      <c r="AM493" s="20">
        <f>MAX(0,MIN(AC493,Parámetros!$B$11)-MAX(AB493,0))+MAX(0,MIN(AC493,1+Parámetros!$B$11)-MAX(AB493,AD493))+MAX(0,MIN(AC493,2)-MAX(AB493,1+AD493))</f>
        <v>0</v>
      </c>
      <c r="AN493" s="20">
        <f t="shared" si="159"/>
        <v>0</v>
      </c>
      <c r="AO493" s="20">
        <f>AE493*(MAX(0,MIN(AC493,Parámetros!$B$11)-MAX(AB493,0))+MAX(0,MIN(AC493,1)-MAX(AB493,AD493)))+AF493*(MAX(0,MIN(AC493,1+Parámetros!$B$11)-MAX(AB493,1))+MAX(0,MIN(AC493,2)-MAX(AB493,1+AD493)))</f>
        <v>0</v>
      </c>
    </row>
    <row r="494" spans="1:41" x14ac:dyDescent="0.25">
      <c r="A494" s="15"/>
      <c r="B494" s="8"/>
      <c r="C494" s="5" t="str">
        <f>IF(B494="","",IFERROR(INDEX(Trabajadores!$B$5:$B$204,MATCH(B494,Trabajadores!$A$5:$A$204,0)),"Cédula no registrada"))</f>
        <v/>
      </c>
      <c r="D494" s="11"/>
      <c r="E494" s="11"/>
      <c r="F494" s="8"/>
      <c r="G494" s="18" t="str">
        <f>IF(A494="","",IFERROR(INDEX(Trabajadores!$E$5:$E$204,MATCH(B494,Trabajadores!$A$5:$A$204,0))/Parámetros!$B$6,0)+IF(IFERROR(INDEX(Trabajadores!$E$5:$E$204,MATCH(B494,Trabajadores!$A$5:$A$204,0)),"")="",Parámetros!$B$7,0))</f>
        <v/>
      </c>
      <c r="H494" s="5" t="str">
        <f t="shared" si="140"/>
        <v/>
      </c>
      <c r="I494" s="5" t="str">
        <f>IF(A494="","",IF(COUNTIF(Festivos!$A$5:$A$451,A494)&gt;0,"Festivo",IF(WEEKDAY(A494,2)=7,"Domingo",IF(AND(AF494=1,AC494&gt;1),IF(COUNTIF(Festivos!$A$5:$A$451,A494+1)&gt;0,"Festivo","Domingo")&amp;" desde las 00:00",""))))</f>
        <v/>
      </c>
      <c r="J494" s="19" t="str">
        <f t="shared" si="141"/>
        <v/>
      </c>
      <c r="K494" s="19" t="str">
        <f t="shared" si="142"/>
        <v/>
      </c>
      <c r="L494" s="19" t="str">
        <f t="shared" si="143"/>
        <v/>
      </c>
      <c r="M494" s="19" t="str">
        <f t="shared" si="144"/>
        <v/>
      </c>
      <c r="N494" s="19" t="str">
        <f t="shared" si="145"/>
        <v/>
      </c>
      <c r="O494" s="19" t="str">
        <f t="shared" si="146"/>
        <v/>
      </c>
      <c r="P494" s="19" t="str">
        <f t="shared" si="147"/>
        <v/>
      </c>
      <c r="Q494" s="19" t="str">
        <f t="shared" si="148"/>
        <v/>
      </c>
      <c r="R494" s="19" t="str">
        <f t="shared" si="149"/>
        <v/>
      </c>
      <c r="S494" s="17" t="str">
        <f>IF(B494="","",IFERROR(INDEX(Trabajadores!$G$5:$G$204,MATCH(B494,Trabajadores!$A$5:$A$204,0)),""))</f>
        <v/>
      </c>
      <c r="T494" s="17" t="str">
        <f>IF(OR(OR(A494="",D494="",E494=""),S494=""),"",ROUND(S494*(N(L494)*Parámetros!$B$8+N(M494)*(1+Parámetros!$B$9)+N(N494)*(1+Parámetros!$B$10)+N(O494)*(1+AG494)+N(P494)*(1+AG494+Parámetros!$B$8)+N(Q494)*(1+AG494+Parámetros!$B$9)+N(R494)*(1+AG494+Parámetros!$B$10)),0))</f>
        <v/>
      </c>
      <c r="U494" s="5" t="str">
        <f>IF(OR(A494="",D494="",E494=""),"",IF(N(M494)+N(N494)+N(Q494)+N(R494)&gt;Parámetros!$B$12,"Supera el límite de horas extras diarias",IF(C494="Cédula no registrada","Registre la cédula en «Trabajadores»","")))</f>
        <v/>
      </c>
      <c r="X494" s="20">
        <f t="shared" si="150"/>
        <v>0</v>
      </c>
      <c r="Y494" s="20">
        <f t="shared" si="151"/>
        <v>0</v>
      </c>
      <c r="Z494" s="20">
        <f t="shared" si="152"/>
        <v>0</v>
      </c>
      <c r="AA494" s="20">
        <f t="shared" si="153"/>
        <v>0</v>
      </c>
      <c r="AB494" s="20">
        <f t="shared" si="154"/>
        <v>0</v>
      </c>
      <c r="AC494" s="20">
        <f t="shared" si="155"/>
        <v>0</v>
      </c>
      <c r="AD494" s="20">
        <f>IF(A494="",21/24,MOD(VLOOKUP(A494,Parámetros!$A$24:$B$25,2,TRUE()),1))</f>
        <v>0.875</v>
      </c>
      <c r="AE494" s="5">
        <f>IF(A494="",0,IF(OR(WEEKDAY(A494,2)=7,COUNTIF(Festivos!$A$5:$A$451,A494)&gt;0),1,0))</f>
        <v>0</v>
      </c>
      <c r="AF494" s="5">
        <f>IF(A494="",0,IF(OR(WEEKDAY(A494+1,2)=7,COUNTIF(Festivos!$A$5:$A$451,A494+1)&gt;0),1,0))</f>
        <v>0</v>
      </c>
      <c r="AG494" s="9">
        <f>IF(A494="",0,VLOOKUP(A494,Parámetros!$A$18:$B$21,2,TRUE()))</f>
        <v>0</v>
      </c>
      <c r="AH494" s="20">
        <f t="shared" si="156"/>
        <v>0</v>
      </c>
      <c r="AI494" s="20">
        <f>MAX(0,MIN(AB494,Parámetros!$B$11)-MAX(X494,0))+MAX(0,MIN(AB494,1+Parámetros!$B$11)-MAX(X494,AD494))+MAX(0,MIN(AB494,2)-MAX(X494,1+AD494))</f>
        <v>0</v>
      </c>
      <c r="AJ494" s="20">
        <f t="shared" si="157"/>
        <v>0</v>
      </c>
      <c r="AK494" s="20">
        <f>AE494*(MAX(0,MIN(AB494,Parámetros!$B$11)-MAX(X494,0))+MAX(0,MIN(AB494,1)-MAX(X494,AD494)))+AF494*(MAX(0,MIN(AB494,1+Parámetros!$B$11)-MAX(X494,1))+MAX(0,MIN(AB494,2)-MAX(X494,1+AD494)))</f>
        <v>0</v>
      </c>
      <c r="AL494" s="20">
        <f t="shared" si="158"/>
        <v>0</v>
      </c>
      <c r="AM494" s="20">
        <f>MAX(0,MIN(AC494,Parámetros!$B$11)-MAX(AB494,0))+MAX(0,MIN(AC494,1+Parámetros!$B$11)-MAX(AB494,AD494))+MAX(0,MIN(AC494,2)-MAX(AB494,1+AD494))</f>
        <v>0</v>
      </c>
      <c r="AN494" s="20">
        <f t="shared" si="159"/>
        <v>0</v>
      </c>
      <c r="AO494" s="20">
        <f>AE494*(MAX(0,MIN(AC494,Parámetros!$B$11)-MAX(AB494,0))+MAX(0,MIN(AC494,1)-MAX(AB494,AD494)))+AF494*(MAX(0,MIN(AC494,1+Parámetros!$B$11)-MAX(AB494,1))+MAX(0,MIN(AC494,2)-MAX(AB494,1+AD494)))</f>
        <v>0</v>
      </c>
    </row>
    <row r="495" spans="1:41" x14ac:dyDescent="0.25">
      <c r="A495" s="15"/>
      <c r="B495" s="8"/>
      <c r="C495" s="5" t="str">
        <f>IF(B495="","",IFERROR(INDEX(Trabajadores!$B$5:$B$204,MATCH(B495,Trabajadores!$A$5:$A$204,0)),"Cédula no registrada"))</f>
        <v/>
      </c>
      <c r="D495" s="11"/>
      <c r="E495" s="11"/>
      <c r="F495" s="8"/>
      <c r="G495" s="18" t="str">
        <f>IF(A495="","",IFERROR(INDEX(Trabajadores!$E$5:$E$204,MATCH(B495,Trabajadores!$A$5:$A$204,0))/Parámetros!$B$6,0)+IF(IFERROR(INDEX(Trabajadores!$E$5:$E$204,MATCH(B495,Trabajadores!$A$5:$A$204,0)),"")="",Parámetros!$B$7,0))</f>
        <v/>
      </c>
      <c r="H495" s="5" t="str">
        <f t="shared" si="140"/>
        <v/>
      </c>
      <c r="I495" s="5" t="str">
        <f>IF(A495="","",IF(COUNTIF(Festivos!$A$5:$A$451,A495)&gt;0,"Festivo",IF(WEEKDAY(A495,2)=7,"Domingo",IF(AND(AF495=1,AC495&gt;1),IF(COUNTIF(Festivos!$A$5:$A$451,A495+1)&gt;0,"Festivo","Domingo")&amp;" desde las 00:00",""))))</f>
        <v/>
      </c>
      <c r="J495" s="19" t="str">
        <f t="shared" si="141"/>
        <v/>
      </c>
      <c r="K495" s="19" t="str">
        <f t="shared" si="142"/>
        <v/>
      </c>
      <c r="L495" s="19" t="str">
        <f t="shared" si="143"/>
        <v/>
      </c>
      <c r="M495" s="19" t="str">
        <f t="shared" si="144"/>
        <v/>
      </c>
      <c r="N495" s="19" t="str">
        <f t="shared" si="145"/>
        <v/>
      </c>
      <c r="O495" s="19" t="str">
        <f t="shared" si="146"/>
        <v/>
      </c>
      <c r="P495" s="19" t="str">
        <f t="shared" si="147"/>
        <v/>
      </c>
      <c r="Q495" s="19" t="str">
        <f t="shared" si="148"/>
        <v/>
      </c>
      <c r="R495" s="19" t="str">
        <f t="shared" si="149"/>
        <v/>
      </c>
      <c r="S495" s="17" t="str">
        <f>IF(B495="","",IFERROR(INDEX(Trabajadores!$G$5:$G$204,MATCH(B495,Trabajadores!$A$5:$A$204,0)),""))</f>
        <v/>
      </c>
      <c r="T495" s="17" t="str">
        <f>IF(OR(OR(A495="",D495="",E495=""),S495=""),"",ROUND(S495*(N(L495)*Parámetros!$B$8+N(M495)*(1+Parámetros!$B$9)+N(N495)*(1+Parámetros!$B$10)+N(O495)*(1+AG495)+N(P495)*(1+AG495+Parámetros!$B$8)+N(Q495)*(1+AG495+Parámetros!$B$9)+N(R495)*(1+AG495+Parámetros!$B$10)),0))</f>
        <v/>
      </c>
      <c r="U495" s="5" t="str">
        <f>IF(OR(A495="",D495="",E495=""),"",IF(N(M495)+N(N495)+N(Q495)+N(R495)&gt;Parámetros!$B$12,"Supera el límite de horas extras diarias",IF(C495="Cédula no registrada","Registre la cédula en «Trabajadores»","")))</f>
        <v/>
      </c>
      <c r="X495" s="20">
        <f t="shared" si="150"/>
        <v>0</v>
      </c>
      <c r="Y495" s="20">
        <f t="shared" si="151"/>
        <v>0</v>
      </c>
      <c r="Z495" s="20">
        <f t="shared" si="152"/>
        <v>0</v>
      </c>
      <c r="AA495" s="20">
        <f t="shared" si="153"/>
        <v>0</v>
      </c>
      <c r="AB495" s="20">
        <f t="shared" si="154"/>
        <v>0</v>
      </c>
      <c r="AC495" s="20">
        <f t="shared" si="155"/>
        <v>0</v>
      </c>
      <c r="AD495" s="20">
        <f>IF(A495="",21/24,MOD(VLOOKUP(A495,Parámetros!$A$24:$B$25,2,TRUE()),1))</f>
        <v>0.875</v>
      </c>
      <c r="AE495" s="5">
        <f>IF(A495="",0,IF(OR(WEEKDAY(A495,2)=7,COUNTIF(Festivos!$A$5:$A$451,A495)&gt;0),1,0))</f>
        <v>0</v>
      </c>
      <c r="AF495" s="5">
        <f>IF(A495="",0,IF(OR(WEEKDAY(A495+1,2)=7,COUNTIF(Festivos!$A$5:$A$451,A495+1)&gt;0),1,0))</f>
        <v>0</v>
      </c>
      <c r="AG495" s="9">
        <f>IF(A495="",0,VLOOKUP(A495,Parámetros!$A$18:$B$21,2,TRUE()))</f>
        <v>0</v>
      </c>
      <c r="AH495" s="20">
        <f t="shared" si="156"/>
        <v>0</v>
      </c>
      <c r="AI495" s="20">
        <f>MAX(0,MIN(AB495,Parámetros!$B$11)-MAX(X495,0))+MAX(0,MIN(AB495,1+Parámetros!$B$11)-MAX(X495,AD495))+MAX(0,MIN(AB495,2)-MAX(X495,1+AD495))</f>
        <v>0</v>
      </c>
      <c r="AJ495" s="20">
        <f t="shared" si="157"/>
        <v>0</v>
      </c>
      <c r="AK495" s="20">
        <f>AE495*(MAX(0,MIN(AB495,Parámetros!$B$11)-MAX(X495,0))+MAX(0,MIN(AB495,1)-MAX(X495,AD495)))+AF495*(MAX(0,MIN(AB495,1+Parámetros!$B$11)-MAX(X495,1))+MAX(0,MIN(AB495,2)-MAX(X495,1+AD495)))</f>
        <v>0</v>
      </c>
      <c r="AL495" s="20">
        <f t="shared" si="158"/>
        <v>0</v>
      </c>
      <c r="AM495" s="20">
        <f>MAX(0,MIN(AC495,Parámetros!$B$11)-MAX(AB495,0))+MAX(0,MIN(AC495,1+Parámetros!$B$11)-MAX(AB495,AD495))+MAX(0,MIN(AC495,2)-MAX(AB495,1+AD495))</f>
        <v>0</v>
      </c>
      <c r="AN495" s="20">
        <f t="shared" si="159"/>
        <v>0</v>
      </c>
      <c r="AO495" s="20">
        <f>AE495*(MAX(0,MIN(AC495,Parámetros!$B$11)-MAX(AB495,0))+MAX(0,MIN(AC495,1)-MAX(AB495,AD495)))+AF495*(MAX(0,MIN(AC495,1+Parámetros!$B$11)-MAX(AB495,1))+MAX(0,MIN(AC495,2)-MAX(AB495,1+AD495)))</f>
        <v>0</v>
      </c>
    </row>
    <row r="496" spans="1:41" x14ac:dyDescent="0.25">
      <c r="A496" s="15"/>
      <c r="B496" s="8"/>
      <c r="C496" s="5" t="str">
        <f>IF(B496="","",IFERROR(INDEX(Trabajadores!$B$5:$B$204,MATCH(B496,Trabajadores!$A$5:$A$204,0)),"Cédula no registrada"))</f>
        <v/>
      </c>
      <c r="D496" s="11"/>
      <c r="E496" s="11"/>
      <c r="F496" s="8"/>
      <c r="G496" s="18" t="str">
        <f>IF(A496="","",IFERROR(INDEX(Trabajadores!$E$5:$E$204,MATCH(B496,Trabajadores!$A$5:$A$204,0))/Parámetros!$B$6,0)+IF(IFERROR(INDEX(Trabajadores!$E$5:$E$204,MATCH(B496,Trabajadores!$A$5:$A$204,0)),"")="",Parámetros!$B$7,0))</f>
        <v/>
      </c>
      <c r="H496" s="5" t="str">
        <f t="shared" si="140"/>
        <v/>
      </c>
      <c r="I496" s="5" t="str">
        <f>IF(A496="","",IF(COUNTIF(Festivos!$A$5:$A$451,A496)&gt;0,"Festivo",IF(WEEKDAY(A496,2)=7,"Domingo",IF(AND(AF496=1,AC496&gt;1),IF(COUNTIF(Festivos!$A$5:$A$451,A496+1)&gt;0,"Festivo","Domingo")&amp;" desde las 00:00",""))))</f>
        <v/>
      </c>
      <c r="J496" s="19" t="str">
        <f t="shared" si="141"/>
        <v/>
      </c>
      <c r="K496" s="19" t="str">
        <f t="shared" si="142"/>
        <v/>
      </c>
      <c r="L496" s="19" t="str">
        <f t="shared" si="143"/>
        <v/>
      </c>
      <c r="M496" s="19" t="str">
        <f t="shared" si="144"/>
        <v/>
      </c>
      <c r="N496" s="19" t="str">
        <f t="shared" si="145"/>
        <v/>
      </c>
      <c r="O496" s="19" t="str">
        <f t="shared" si="146"/>
        <v/>
      </c>
      <c r="P496" s="19" t="str">
        <f t="shared" si="147"/>
        <v/>
      </c>
      <c r="Q496" s="19" t="str">
        <f t="shared" si="148"/>
        <v/>
      </c>
      <c r="R496" s="19" t="str">
        <f t="shared" si="149"/>
        <v/>
      </c>
      <c r="S496" s="17" t="str">
        <f>IF(B496="","",IFERROR(INDEX(Trabajadores!$G$5:$G$204,MATCH(B496,Trabajadores!$A$5:$A$204,0)),""))</f>
        <v/>
      </c>
      <c r="T496" s="17" t="str">
        <f>IF(OR(OR(A496="",D496="",E496=""),S496=""),"",ROUND(S496*(N(L496)*Parámetros!$B$8+N(M496)*(1+Parámetros!$B$9)+N(N496)*(1+Parámetros!$B$10)+N(O496)*(1+AG496)+N(P496)*(1+AG496+Parámetros!$B$8)+N(Q496)*(1+AG496+Parámetros!$B$9)+N(R496)*(1+AG496+Parámetros!$B$10)),0))</f>
        <v/>
      </c>
      <c r="U496" s="5" t="str">
        <f>IF(OR(A496="",D496="",E496=""),"",IF(N(M496)+N(N496)+N(Q496)+N(R496)&gt;Parámetros!$B$12,"Supera el límite de horas extras diarias",IF(C496="Cédula no registrada","Registre la cédula en «Trabajadores»","")))</f>
        <v/>
      </c>
      <c r="X496" s="20">
        <f t="shared" si="150"/>
        <v>0</v>
      </c>
      <c r="Y496" s="20">
        <f t="shared" si="151"/>
        <v>0</v>
      </c>
      <c r="Z496" s="20">
        <f t="shared" si="152"/>
        <v>0</v>
      </c>
      <c r="AA496" s="20">
        <f t="shared" si="153"/>
        <v>0</v>
      </c>
      <c r="AB496" s="20">
        <f t="shared" si="154"/>
        <v>0</v>
      </c>
      <c r="AC496" s="20">
        <f t="shared" si="155"/>
        <v>0</v>
      </c>
      <c r="AD496" s="20">
        <f>IF(A496="",21/24,MOD(VLOOKUP(A496,Parámetros!$A$24:$B$25,2,TRUE()),1))</f>
        <v>0.875</v>
      </c>
      <c r="AE496" s="5">
        <f>IF(A496="",0,IF(OR(WEEKDAY(A496,2)=7,COUNTIF(Festivos!$A$5:$A$451,A496)&gt;0),1,0))</f>
        <v>0</v>
      </c>
      <c r="AF496" s="5">
        <f>IF(A496="",0,IF(OR(WEEKDAY(A496+1,2)=7,COUNTIF(Festivos!$A$5:$A$451,A496+1)&gt;0),1,0))</f>
        <v>0</v>
      </c>
      <c r="AG496" s="9">
        <f>IF(A496="",0,VLOOKUP(A496,Parámetros!$A$18:$B$21,2,TRUE()))</f>
        <v>0</v>
      </c>
      <c r="AH496" s="20">
        <f t="shared" si="156"/>
        <v>0</v>
      </c>
      <c r="AI496" s="20">
        <f>MAX(0,MIN(AB496,Parámetros!$B$11)-MAX(X496,0))+MAX(0,MIN(AB496,1+Parámetros!$B$11)-MAX(X496,AD496))+MAX(0,MIN(AB496,2)-MAX(X496,1+AD496))</f>
        <v>0</v>
      </c>
      <c r="AJ496" s="20">
        <f t="shared" si="157"/>
        <v>0</v>
      </c>
      <c r="AK496" s="20">
        <f>AE496*(MAX(0,MIN(AB496,Parámetros!$B$11)-MAX(X496,0))+MAX(0,MIN(AB496,1)-MAX(X496,AD496)))+AF496*(MAX(0,MIN(AB496,1+Parámetros!$B$11)-MAX(X496,1))+MAX(0,MIN(AB496,2)-MAX(X496,1+AD496)))</f>
        <v>0</v>
      </c>
      <c r="AL496" s="20">
        <f t="shared" si="158"/>
        <v>0</v>
      </c>
      <c r="AM496" s="20">
        <f>MAX(0,MIN(AC496,Parámetros!$B$11)-MAX(AB496,0))+MAX(0,MIN(AC496,1+Parámetros!$B$11)-MAX(AB496,AD496))+MAX(0,MIN(AC496,2)-MAX(AB496,1+AD496))</f>
        <v>0</v>
      </c>
      <c r="AN496" s="20">
        <f t="shared" si="159"/>
        <v>0</v>
      </c>
      <c r="AO496" s="20">
        <f>AE496*(MAX(0,MIN(AC496,Parámetros!$B$11)-MAX(AB496,0))+MAX(0,MIN(AC496,1)-MAX(AB496,AD496)))+AF496*(MAX(0,MIN(AC496,1+Parámetros!$B$11)-MAX(AB496,1))+MAX(0,MIN(AC496,2)-MAX(AB496,1+AD496)))</f>
        <v>0</v>
      </c>
    </row>
    <row r="497" spans="1:41" x14ac:dyDescent="0.25">
      <c r="A497" s="15"/>
      <c r="B497" s="8"/>
      <c r="C497" s="5" t="str">
        <f>IF(B497="","",IFERROR(INDEX(Trabajadores!$B$5:$B$204,MATCH(B497,Trabajadores!$A$5:$A$204,0)),"Cédula no registrada"))</f>
        <v/>
      </c>
      <c r="D497" s="11"/>
      <c r="E497" s="11"/>
      <c r="F497" s="8"/>
      <c r="G497" s="18" t="str">
        <f>IF(A497="","",IFERROR(INDEX(Trabajadores!$E$5:$E$204,MATCH(B497,Trabajadores!$A$5:$A$204,0))/Parámetros!$B$6,0)+IF(IFERROR(INDEX(Trabajadores!$E$5:$E$204,MATCH(B497,Trabajadores!$A$5:$A$204,0)),"")="",Parámetros!$B$7,0))</f>
        <v/>
      </c>
      <c r="H497" s="5" t="str">
        <f t="shared" si="140"/>
        <v/>
      </c>
      <c r="I497" s="5" t="str">
        <f>IF(A497="","",IF(COUNTIF(Festivos!$A$5:$A$451,A497)&gt;0,"Festivo",IF(WEEKDAY(A497,2)=7,"Domingo",IF(AND(AF497=1,AC497&gt;1),IF(COUNTIF(Festivos!$A$5:$A$451,A497+1)&gt;0,"Festivo","Domingo")&amp;" desde las 00:00",""))))</f>
        <v/>
      </c>
      <c r="J497" s="19" t="str">
        <f t="shared" si="141"/>
        <v/>
      </c>
      <c r="K497" s="19" t="str">
        <f t="shared" si="142"/>
        <v/>
      </c>
      <c r="L497" s="19" t="str">
        <f t="shared" si="143"/>
        <v/>
      </c>
      <c r="M497" s="19" t="str">
        <f t="shared" si="144"/>
        <v/>
      </c>
      <c r="N497" s="19" t="str">
        <f t="shared" si="145"/>
        <v/>
      </c>
      <c r="O497" s="19" t="str">
        <f t="shared" si="146"/>
        <v/>
      </c>
      <c r="P497" s="19" t="str">
        <f t="shared" si="147"/>
        <v/>
      </c>
      <c r="Q497" s="19" t="str">
        <f t="shared" si="148"/>
        <v/>
      </c>
      <c r="R497" s="19" t="str">
        <f t="shared" si="149"/>
        <v/>
      </c>
      <c r="S497" s="17" t="str">
        <f>IF(B497="","",IFERROR(INDEX(Trabajadores!$G$5:$G$204,MATCH(B497,Trabajadores!$A$5:$A$204,0)),""))</f>
        <v/>
      </c>
      <c r="T497" s="17" t="str">
        <f>IF(OR(OR(A497="",D497="",E497=""),S497=""),"",ROUND(S497*(N(L497)*Parámetros!$B$8+N(M497)*(1+Parámetros!$B$9)+N(N497)*(1+Parámetros!$B$10)+N(O497)*(1+AG497)+N(P497)*(1+AG497+Parámetros!$B$8)+N(Q497)*(1+AG497+Parámetros!$B$9)+N(R497)*(1+AG497+Parámetros!$B$10)),0))</f>
        <v/>
      </c>
      <c r="U497" s="5" t="str">
        <f>IF(OR(A497="",D497="",E497=""),"",IF(N(M497)+N(N497)+N(Q497)+N(R497)&gt;Parámetros!$B$12,"Supera el límite de horas extras diarias",IF(C497="Cédula no registrada","Registre la cédula en «Trabajadores»","")))</f>
        <v/>
      </c>
      <c r="X497" s="20">
        <f t="shared" si="150"/>
        <v>0</v>
      </c>
      <c r="Y497" s="20">
        <f t="shared" si="151"/>
        <v>0</v>
      </c>
      <c r="Z497" s="20">
        <f t="shared" si="152"/>
        <v>0</v>
      </c>
      <c r="AA497" s="20">
        <f t="shared" si="153"/>
        <v>0</v>
      </c>
      <c r="AB497" s="20">
        <f t="shared" si="154"/>
        <v>0</v>
      </c>
      <c r="AC497" s="20">
        <f t="shared" si="155"/>
        <v>0</v>
      </c>
      <c r="AD497" s="20">
        <f>IF(A497="",21/24,MOD(VLOOKUP(A497,Parámetros!$A$24:$B$25,2,TRUE()),1))</f>
        <v>0.875</v>
      </c>
      <c r="AE497" s="5">
        <f>IF(A497="",0,IF(OR(WEEKDAY(A497,2)=7,COUNTIF(Festivos!$A$5:$A$451,A497)&gt;0),1,0))</f>
        <v>0</v>
      </c>
      <c r="AF497" s="5">
        <f>IF(A497="",0,IF(OR(WEEKDAY(A497+1,2)=7,COUNTIF(Festivos!$A$5:$A$451,A497+1)&gt;0),1,0))</f>
        <v>0</v>
      </c>
      <c r="AG497" s="9">
        <f>IF(A497="",0,VLOOKUP(A497,Parámetros!$A$18:$B$21,2,TRUE()))</f>
        <v>0</v>
      </c>
      <c r="AH497" s="20">
        <f t="shared" si="156"/>
        <v>0</v>
      </c>
      <c r="AI497" s="20">
        <f>MAX(0,MIN(AB497,Parámetros!$B$11)-MAX(X497,0))+MAX(0,MIN(AB497,1+Parámetros!$B$11)-MAX(X497,AD497))+MAX(0,MIN(AB497,2)-MAX(X497,1+AD497))</f>
        <v>0</v>
      </c>
      <c r="AJ497" s="20">
        <f t="shared" si="157"/>
        <v>0</v>
      </c>
      <c r="AK497" s="20">
        <f>AE497*(MAX(0,MIN(AB497,Parámetros!$B$11)-MAX(X497,0))+MAX(0,MIN(AB497,1)-MAX(X497,AD497)))+AF497*(MAX(0,MIN(AB497,1+Parámetros!$B$11)-MAX(X497,1))+MAX(0,MIN(AB497,2)-MAX(X497,1+AD497)))</f>
        <v>0</v>
      </c>
      <c r="AL497" s="20">
        <f t="shared" si="158"/>
        <v>0</v>
      </c>
      <c r="AM497" s="20">
        <f>MAX(0,MIN(AC497,Parámetros!$B$11)-MAX(AB497,0))+MAX(0,MIN(AC497,1+Parámetros!$B$11)-MAX(AB497,AD497))+MAX(0,MIN(AC497,2)-MAX(AB497,1+AD497))</f>
        <v>0</v>
      </c>
      <c r="AN497" s="20">
        <f t="shared" si="159"/>
        <v>0</v>
      </c>
      <c r="AO497" s="20">
        <f>AE497*(MAX(0,MIN(AC497,Parámetros!$B$11)-MAX(AB497,0))+MAX(0,MIN(AC497,1)-MAX(AB497,AD497)))+AF497*(MAX(0,MIN(AC497,1+Parámetros!$B$11)-MAX(AB497,1))+MAX(0,MIN(AC497,2)-MAX(AB497,1+AD497)))</f>
        <v>0</v>
      </c>
    </row>
    <row r="498" spans="1:41" x14ac:dyDescent="0.25">
      <c r="A498" s="15"/>
      <c r="B498" s="8"/>
      <c r="C498" s="5" t="str">
        <f>IF(B498="","",IFERROR(INDEX(Trabajadores!$B$5:$B$204,MATCH(B498,Trabajadores!$A$5:$A$204,0)),"Cédula no registrada"))</f>
        <v/>
      </c>
      <c r="D498" s="11"/>
      <c r="E498" s="11"/>
      <c r="F498" s="8"/>
      <c r="G498" s="18" t="str">
        <f>IF(A498="","",IFERROR(INDEX(Trabajadores!$E$5:$E$204,MATCH(B498,Trabajadores!$A$5:$A$204,0))/Parámetros!$B$6,0)+IF(IFERROR(INDEX(Trabajadores!$E$5:$E$204,MATCH(B498,Trabajadores!$A$5:$A$204,0)),"")="",Parámetros!$B$7,0))</f>
        <v/>
      </c>
      <c r="H498" s="5" t="str">
        <f t="shared" si="140"/>
        <v/>
      </c>
      <c r="I498" s="5" t="str">
        <f>IF(A498="","",IF(COUNTIF(Festivos!$A$5:$A$451,A498)&gt;0,"Festivo",IF(WEEKDAY(A498,2)=7,"Domingo",IF(AND(AF498=1,AC498&gt;1),IF(COUNTIF(Festivos!$A$5:$A$451,A498+1)&gt;0,"Festivo","Domingo")&amp;" desde las 00:00",""))))</f>
        <v/>
      </c>
      <c r="J498" s="19" t="str">
        <f t="shared" si="141"/>
        <v/>
      </c>
      <c r="K498" s="19" t="str">
        <f t="shared" si="142"/>
        <v/>
      </c>
      <c r="L498" s="19" t="str">
        <f t="shared" si="143"/>
        <v/>
      </c>
      <c r="M498" s="19" t="str">
        <f t="shared" si="144"/>
        <v/>
      </c>
      <c r="N498" s="19" t="str">
        <f t="shared" si="145"/>
        <v/>
      </c>
      <c r="O498" s="19" t="str">
        <f t="shared" si="146"/>
        <v/>
      </c>
      <c r="P498" s="19" t="str">
        <f t="shared" si="147"/>
        <v/>
      </c>
      <c r="Q498" s="19" t="str">
        <f t="shared" si="148"/>
        <v/>
      </c>
      <c r="R498" s="19" t="str">
        <f t="shared" si="149"/>
        <v/>
      </c>
      <c r="S498" s="17" t="str">
        <f>IF(B498="","",IFERROR(INDEX(Trabajadores!$G$5:$G$204,MATCH(B498,Trabajadores!$A$5:$A$204,0)),""))</f>
        <v/>
      </c>
      <c r="T498" s="17" t="str">
        <f>IF(OR(OR(A498="",D498="",E498=""),S498=""),"",ROUND(S498*(N(L498)*Parámetros!$B$8+N(M498)*(1+Parámetros!$B$9)+N(N498)*(1+Parámetros!$B$10)+N(O498)*(1+AG498)+N(P498)*(1+AG498+Parámetros!$B$8)+N(Q498)*(1+AG498+Parámetros!$B$9)+N(R498)*(1+AG498+Parámetros!$B$10)),0))</f>
        <v/>
      </c>
      <c r="U498" s="5" t="str">
        <f>IF(OR(A498="",D498="",E498=""),"",IF(N(M498)+N(N498)+N(Q498)+N(R498)&gt;Parámetros!$B$12,"Supera el límite de horas extras diarias",IF(C498="Cédula no registrada","Registre la cédula en «Trabajadores»","")))</f>
        <v/>
      </c>
      <c r="X498" s="20">
        <f t="shared" si="150"/>
        <v>0</v>
      </c>
      <c r="Y498" s="20">
        <f t="shared" si="151"/>
        <v>0</v>
      </c>
      <c r="Z498" s="20">
        <f t="shared" si="152"/>
        <v>0</v>
      </c>
      <c r="AA498" s="20">
        <f t="shared" si="153"/>
        <v>0</v>
      </c>
      <c r="AB498" s="20">
        <f t="shared" si="154"/>
        <v>0</v>
      </c>
      <c r="AC498" s="20">
        <f t="shared" si="155"/>
        <v>0</v>
      </c>
      <c r="AD498" s="20">
        <f>IF(A498="",21/24,MOD(VLOOKUP(A498,Parámetros!$A$24:$B$25,2,TRUE()),1))</f>
        <v>0.875</v>
      </c>
      <c r="AE498" s="5">
        <f>IF(A498="",0,IF(OR(WEEKDAY(A498,2)=7,COUNTIF(Festivos!$A$5:$A$451,A498)&gt;0),1,0))</f>
        <v>0</v>
      </c>
      <c r="AF498" s="5">
        <f>IF(A498="",0,IF(OR(WEEKDAY(A498+1,2)=7,COUNTIF(Festivos!$A$5:$A$451,A498+1)&gt;0),1,0))</f>
        <v>0</v>
      </c>
      <c r="AG498" s="9">
        <f>IF(A498="",0,VLOOKUP(A498,Parámetros!$A$18:$B$21,2,TRUE()))</f>
        <v>0</v>
      </c>
      <c r="AH498" s="20">
        <f t="shared" si="156"/>
        <v>0</v>
      </c>
      <c r="AI498" s="20">
        <f>MAX(0,MIN(AB498,Parámetros!$B$11)-MAX(X498,0))+MAX(0,MIN(AB498,1+Parámetros!$B$11)-MAX(X498,AD498))+MAX(0,MIN(AB498,2)-MAX(X498,1+AD498))</f>
        <v>0</v>
      </c>
      <c r="AJ498" s="20">
        <f t="shared" si="157"/>
        <v>0</v>
      </c>
      <c r="AK498" s="20">
        <f>AE498*(MAX(0,MIN(AB498,Parámetros!$B$11)-MAX(X498,0))+MAX(0,MIN(AB498,1)-MAX(X498,AD498)))+AF498*(MAX(0,MIN(AB498,1+Parámetros!$B$11)-MAX(X498,1))+MAX(0,MIN(AB498,2)-MAX(X498,1+AD498)))</f>
        <v>0</v>
      </c>
      <c r="AL498" s="20">
        <f t="shared" si="158"/>
        <v>0</v>
      </c>
      <c r="AM498" s="20">
        <f>MAX(0,MIN(AC498,Parámetros!$B$11)-MAX(AB498,0))+MAX(0,MIN(AC498,1+Parámetros!$B$11)-MAX(AB498,AD498))+MAX(0,MIN(AC498,2)-MAX(AB498,1+AD498))</f>
        <v>0</v>
      </c>
      <c r="AN498" s="20">
        <f t="shared" si="159"/>
        <v>0</v>
      </c>
      <c r="AO498" s="20">
        <f>AE498*(MAX(0,MIN(AC498,Parámetros!$B$11)-MAX(AB498,0))+MAX(0,MIN(AC498,1)-MAX(AB498,AD498)))+AF498*(MAX(0,MIN(AC498,1+Parámetros!$B$11)-MAX(AB498,1))+MAX(0,MIN(AC498,2)-MAX(AB498,1+AD498)))</f>
        <v>0</v>
      </c>
    </row>
    <row r="499" spans="1:41" x14ac:dyDescent="0.25">
      <c r="A499" s="15"/>
      <c r="B499" s="8"/>
      <c r="C499" s="5" t="str">
        <f>IF(B499="","",IFERROR(INDEX(Trabajadores!$B$5:$B$204,MATCH(B499,Trabajadores!$A$5:$A$204,0)),"Cédula no registrada"))</f>
        <v/>
      </c>
      <c r="D499" s="11"/>
      <c r="E499" s="11"/>
      <c r="F499" s="8"/>
      <c r="G499" s="18" t="str">
        <f>IF(A499="","",IFERROR(INDEX(Trabajadores!$E$5:$E$204,MATCH(B499,Trabajadores!$A$5:$A$204,0))/Parámetros!$B$6,0)+IF(IFERROR(INDEX(Trabajadores!$E$5:$E$204,MATCH(B499,Trabajadores!$A$5:$A$204,0)),"")="",Parámetros!$B$7,0))</f>
        <v/>
      </c>
      <c r="H499" s="5" t="str">
        <f t="shared" si="140"/>
        <v/>
      </c>
      <c r="I499" s="5" t="str">
        <f>IF(A499="","",IF(COUNTIF(Festivos!$A$5:$A$451,A499)&gt;0,"Festivo",IF(WEEKDAY(A499,2)=7,"Domingo",IF(AND(AF499=1,AC499&gt;1),IF(COUNTIF(Festivos!$A$5:$A$451,A499+1)&gt;0,"Festivo","Domingo")&amp;" desde las 00:00",""))))</f>
        <v/>
      </c>
      <c r="J499" s="19" t="str">
        <f t="shared" si="141"/>
        <v/>
      </c>
      <c r="K499" s="19" t="str">
        <f t="shared" si="142"/>
        <v/>
      </c>
      <c r="L499" s="19" t="str">
        <f t="shared" si="143"/>
        <v/>
      </c>
      <c r="M499" s="19" t="str">
        <f t="shared" si="144"/>
        <v/>
      </c>
      <c r="N499" s="19" t="str">
        <f t="shared" si="145"/>
        <v/>
      </c>
      <c r="O499" s="19" t="str">
        <f t="shared" si="146"/>
        <v/>
      </c>
      <c r="P499" s="19" t="str">
        <f t="shared" si="147"/>
        <v/>
      </c>
      <c r="Q499" s="19" t="str">
        <f t="shared" si="148"/>
        <v/>
      </c>
      <c r="R499" s="19" t="str">
        <f t="shared" si="149"/>
        <v/>
      </c>
      <c r="S499" s="17" t="str">
        <f>IF(B499="","",IFERROR(INDEX(Trabajadores!$G$5:$G$204,MATCH(B499,Trabajadores!$A$5:$A$204,0)),""))</f>
        <v/>
      </c>
      <c r="T499" s="17" t="str">
        <f>IF(OR(OR(A499="",D499="",E499=""),S499=""),"",ROUND(S499*(N(L499)*Parámetros!$B$8+N(M499)*(1+Parámetros!$B$9)+N(N499)*(1+Parámetros!$B$10)+N(O499)*(1+AG499)+N(P499)*(1+AG499+Parámetros!$B$8)+N(Q499)*(1+AG499+Parámetros!$B$9)+N(R499)*(1+AG499+Parámetros!$B$10)),0))</f>
        <v/>
      </c>
      <c r="U499" s="5" t="str">
        <f>IF(OR(A499="",D499="",E499=""),"",IF(N(M499)+N(N499)+N(Q499)+N(R499)&gt;Parámetros!$B$12,"Supera el límite de horas extras diarias",IF(C499="Cédula no registrada","Registre la cédula en «Trabajadores»","")))</f>
        <v/>
      </c>
      <c r="X499" s="20">
        <f t="shared" si="150"/>
        <v>0</v>
      </c>
      <c r="Y499" s="20">
        <f t="shared" si="151"/>
        <v>0</v>
      </c>
      <c r="Z499" s="20">
        <f t="shared" si="152"/>
        <v>0</v>
      </c>
      <c r="AA499" s="20">
        <f t="shared" si="153"/>
        <v>0</v>
      </c>
      <c r="AB499" s="20">
        <f t="shared" si="154"/>
        <v>0</v>
      </c>
      <c r="AC499" s="20">
        <f t="shared" si="155"/>
        <v>0</v>
      </c>
      <c r="AD499" s="20">
        <f>IF(A499="",21/24,MOD(VLOOKUP(A499,Parámetros!$A$24:$B$25,2,TRUE()),1))</f>
        <v>0.875</v>
      </c>
      <c r="AE499" s="5">
        <f>IF(A499="",0,IF(OR(WEEKDAY(A499,2)=7,COUNTIF(Festivos!$A$5:$A$451,A499)&gt;0),1,0))</f>
        <v>0</v>
      </c>
      <c r="AF499" s="5">
        <f>IF(A499="",0,IF(OR(WEEKDAY(A499+1,2)=7,COUNTIF(Festivos!$A$5:$A$451,A499+1)&gt;0),1,0))</f>
        <v>0</v>
      </c>
      <c r="AG499" s="9">
        <f>IF(A499="",0,VLOOKUP(A499,Parámetros!$A$18:$B$21,2,TRUE()))</f>
        <v>0</v>
      </c>
      <c r="AH499" s="20">
        <f t="shared" si="156"/>
        <v>0</v>
      </c>
      <c r="AI499" s="20">
        <f>MAX(0,MIN(AB499,Parámetros!$B$11)-MAX(X499,0))+MAX(0,MIN(AB499,1+Parámetros!$B$11)-MAX(X499,AD499))+MAX(0,MIN(AB499,2)-MAX(X499,1+AD499))</f>
        <v>0</v>
      </c>
      <c r="AJ499" s="20">
        <f t="shared" si="157"/>
        <v>0</v>
      </c>
      <c r="AK499" s="20">
        <f>AE499*(MAX(0,MIN(AB499,Parámetros!$B$11)-MAX(X499,0))+MAX(0,MIN(AB499,1)-MAX(X499,AD499)))+AF499*(MAX(0,MIN(AB499,1+Parámetros!$B$11)-MAX(X499,1))+MAX(0,MIN(AB499,2)-MAX(X499,1+AD499)))</f>
        <v>0</v>
      </c>
      <c r="AL499" s="20">
        <f t="shared" si="158"/>
        <v>0</v>
      </c>
      <c r="AM499" s="20">
        <f>MAX(0,MIN(AC499,Parámetros!$B$11)-MAX(AB499,0))+MAX(0,MIN(AC499,1+Parámetros!$B$11)-MAX(AB499,AD499))+MAX(0,MIN(AC499,2)-MAX(AB499,1+AD499))</f>
        <v>0</v>
      </c>
      <c r="AN499" s="20">
        <f t="shared" si="159"/>
        <v>0</v>
      </c>
      <c r="AO499" s="20">
        <f>AE499*(MAX(0,MIN(AC499,Parámetros!$B$11)-MAX(AB499,0))+MAX(0,MIN(AC499,1)-MAX(AB499,AD499)))+AF499*(MAX(0,MIN(AC499,1+Parámetros!$B$11)-MAX(AB499,1))+MAX(0,MIN(AC499,2)-MAX(AB499,1+AD499)))</f>
        <v>0</v>
      </c>
    </row>
    <row r="500" spans="1:41" x14ac:dyDescent="0.25">
      <c r="A500" s="15"/>
      <c r="B500" s="8"/>
      <c r="C500" s="5" t="str">
        <f>IF(B500="","",IFERROR(INDEX(Trabajadores!$B$5:$B$204,MATCH(B500,Trabajadores!$A$5:$A$204,0)),"Cédula no registrada"))</f>
        <v/>
      </c>
      <c r="D500" s="11"/>
      <c r="E500" s="11"/>
      <c r="F500" s="8"/>
      <c r="G500" s="18" t="str">
        <f>IF(A500="","",IFERROR(INDEX(Trabajadores!$E$5:$E$204,MATCH(B500,Trabajadores!$A$5:$A$204,0))/Parámetros!$B$6,0)+IF(IFERROR(INDEX(Trabajadores!$E$5:$E$204,MATCH(B500,Trabajadores!$A$5:$A$204,0)),"")="",Parámetros!$B$7,0))</f>
        <v/>
      </c>
      <c r="H500" s="5" t="str">
        <f t="shared" si="140"/>
        <v/>
      </c>
      <c r="I500" s="5" t="str">
        <f>IF(A500="","",IF(COUNTIF(Festivos!$A$5:$A$451,A500)&gt;0,"Festivo",IF(WEEKDAY(A500,2)=7,"Domingo",IF(AND(AF500=1,AC500&gt;1),IF(COUNTIF(Festivos!$A$5:$A$451,A500+1)&gt;0,"Festivo","Domingo")&amp;" desde las 00:00",""))))</f>
        <v/>
      </c>
      <c r="J500" s="19" t="str">
        <f t="shared" si="141"/>
        <v/>
      </c>
      <c r="K500" s="19" t="str">
        <f t="shared" si="142"/>
        <v/>
      </c>
      <c r="L500" s="19" t="str">
        <f t="shared" si="143"/>
        <v/>
      </c>
      <c r="M500" s="19" t="str">
        <f t="shared" si="144"/>
        <v/>
      </c>
      <c r="N500" s="19" t="str">
        <f t="shared" si="145"/>
        <v/>
      </c>
      <c r="O500" s="19" t="str">
        <f t="shared" si="146"/>
        <v/>
      </c>
      <c r="P500" s="19" t="str">
        <f t="shared" si="147"/>
        <v/>
      </c>
      <c r="Q500" s="19" t="str">
        <f t="shared" si="148"/>
        <v/>
      </c>
      <c r="R500" s="19" t="str">
        <f t="shared" si="149"/>
        <v/>
      </c>
      <c r="S500" s="17" t="str">
        <f>IF(B500="","",IFERROR(INDEX(Trabajadores!$G$5:$G$204,MATCH(B500,Trabajadores!$A$5:$A$204,0)),""))</f>
        <v/>
      </c>
      <c r="T500" s="17" t="str">
        <f>IF(OR(OR(A500="",D500="",E500=""),S500=""),"",ROUND(S500*(N(L500)*Parámetros!$B$8+N(M500)*(1+Parámetros!$B$9)+N(N500)*(1+Parámetros!$B$10)+N(O500)*(1+AG500)+N(P500)*(1+AG500+Parámetros!$B$8)+N(Q500)*(1+AG500+Parámetros!$B$9)+N(R500)*(1+AG500+Parámetros!$B$10)),0))</f>
        <v/>
      </c>
      <c r="U500" s="5" t="str">
        <f>IF(OR(A500="",D500="",E500=""),"",IF(N(M500)+N(N500)+N(Q500)+N(R500)&gt;Parámetros!$B$12,"Supera el límite de horas extras diarias",IF(C500="Cédula no registrada","Registre la cédula en «Trabajadores»","")))</f>
        <v/>
      </c>
      <c r="X500" s="20">
        <f t="shared" si="150"/>
        <v>0</v>
      </c>
      <c r="Y500" s="20">
        <f t="shared" si="151"/>
        <v>0</v>
      </c>
      <c r="Z500" s="20">
        <f t="shared" si="152"/>
        <v>0</v>
      </c>
      <c r="AA500" s="20">
        <f t="shared" si="153"/>
        <v>0</v>
      </c>
      <c r="AB500" s="20">
        <f t="shared" si="154"/>
        <v>0</v>
      </c>
      <c r="AC500" s="20">
        <f t="shared" si="155"/>
        <v>0</v>
      </c>
      <c r="AD500" s="20">
        <f>IF(A500="",21/24,MOD(VLOOKUP(A500,Parámetros!$A$24:$B$25,2,TRUE()),1))</f>
        <v>0.875</v>
      </c>
      <c r="AE500" s="5">
        <f>IF(A500="",0,IF(OR(WEEKDAY(A500,2)=7,COUNTIF(Festivos!$A$5:$A$451,A500)&gt;0),1,0))</f>
        <v>0</v>
      </c>
      <c r="AF500" s="5">
        <f>IF(A500="",0,IF(OR(WEEKDAY(A500+1,2)=7,COUNTIF(Festivos!$A$5:$A$451,A500+1)&gt;0),1,0))</f>
        <v>0</v>
      </c>
      <c r="AG500" s="9">
        <f>IF(A500="",0,VLOOKUP(A500,Parámetros!$A$18:$B$21,2,TRUE()))</f>
        <v>0</v>
      </c>
      <c r="AH500" s="20">
        <f t="shared" si="156"/>
        <v>0</v>
      </c>
      <c r="AI500" s="20">
        <f>MAX(0,MIN(AB500,Parámetros!$B$11)-MAX(X500,0))+MAX(0,MIN(AB500,1+Parámetros!$B$11)-MAX(X500,AD500))+MAX(0,MIN(AB500,2)-MAX(X500,1+AD500))</f>
        <v>0</v>
      </c>
      <c r="AJ500" s="20">
        <f t="shared" si="157"/>
        <v>0</v>
      </c>
      <c r="AK500" s="20">
        <f>AE500*(MAX(0,MIN(AB500,Parámetros!$B$11)-MAX(X500,0))+MAX(0,MIN(AB500,1)-MAX(X500,AD500)))+AF500*(MAX(0,MIN(AB500,1+Parámetros!$B$11)-MAX(X500,1))+MAX(0,MIN(AB500,2)-MAX(X500,1+AD500)))</f>
        <v>0</v>
      </c>
      <c r="AL500" s="20">
        <f t="shared" si="158"/>
        <v>0</v>
      </c>
      <c r="AM500" s="20">
        <f>MAX(0,MIN(AC500,Parámetros!$B$11)-MAX(AB500,0))+MAX(0,MIN(AC500,1+Parámetros!$B$11)-MAX(AB500,AD500))+MAX(0,MIN(AC500,2)-MAX(AB500,1+AD500))</f>
        <v>0</v>
      </c>
      <c r="AN500" s="20">
        <f t="shared" si="159"/>
        <v>0</v>
      </c>
      <c r="AO500" s="20">
        <f>AE500*(MAX(0,MIN(AC500,Parámetros!$B$11)-MAX(AB500,0))+MAX(0,MIN(AC500,1)-MAX(AB500,AD500)))+AF500*(MAX(0,MIN(AC500,1+Parámetros!$B$11)-MAX(AB500,1))+MAX(0,MIN(AC500,2)-MAX(AB500,1+AD500)))</f>
        <v>0</v>
      </c>
    </row>
    <row r="501" spans="1:41" x14ac:dyDescent="0.25">
      <c r="A501" s="15"/>
      <c r="B501" s="8"/>
      <c r="C501" s="5" t="str">
        <f>IF(B501="","",IFERROR(INDEX(Trabajadores!$B$5:$B$204,MATCH(B501,Trabajadores!$A$5:$A$204,0)),"Cédula no registrada"))</f>
        <v/>
      </c>
      <c r="D501" s="11"/>
      <c r="E501" s="11"/>
      <c r="F501" s="8"/>
      <c r="G501" s="18" t="str">
        <f>IF(A501="","",IFERROR(INDEX(Trabajadores!$E$5:$E$204,MATCH(B501,Trabajadores!$A$5:$A$204,0))/Parámetros!$B$6,0)+IF(IFERROR(INDEX(Trabajadores!$E$5:$E$204,MATCH(B501,Trabajadores!$A$5:$A$204,0)),"")="",Parámetros!$B$7,0))</f>
        <v/>
      </c>
      <c r="H501" s="5" t="str">
        <f t="shared" si="140"/>
        <v/>
      </c>
      <c r="I501" s="5" t="str">
        <f>IF(A501="","",IF(COUNTIF(Festivos!$A$5:$A$451,A501)&gt;0,"Festivo",IF(WEEKDAY(A501,2)=7,"Domingo",IF(AND(AF501=1,AC501&gt;1),IF(COUNTIF(Festivos!$A$5:$A$451,A501+1)&gt;0,"Festivo","Domingo")&amp;" desde las 00:00",""))))</f>
        <v/>
      </c>
      <c r="J501" s="19" t="str">
        <f t="shared" si="141"/>
        <v/>
      </c>
      <c r="K501" s="19" t="str">
        <f t="shared" si="142"/>
        <v/>
      </c>
      <c r="L501" s="19" t="str">
        <f t="shared" si="143"/>
        <v/>
      </c>
      <c r="M501" s="19" t="str">
        <f t="shared" si="144"/>
        <v/>
      </c>
      <c r="N501" s="19" t="str">
        <f t="shared" si="145"/>
        <v/>
      </c>
      <c r="O501" s="19" t="str">
        <f t="shared" si="146"/>
        <v/>
      </c>
      <c r="P501" s="19" t="str">
        <f t="shared" si="147"/>
        <v/>
      </c>
      <c r="Q501" s="19" t="str">
        <f t="shared" si="148"/>
        <v/>
      </c>
      <c r="R501" s="19" t="str">
        <f t="shared" si="149"/>
        <v/>
      </c>
      <c r="S501" s="17" t="str">
        <f>IF(B501="","",IFERROR(INDEX(Trabajadores!$G$5:$G$204,MATCH(B501,Trabajadores!$A$5:$A$204,0)),""))</f>
        <v/>
      </c>
      <c r="T501" s="17" t="str">
        <f>IF(OR(OR(A501="",D501="",E501=""),S501=""),"",ROUND(S501*(N(L501)*Parámetros!$B$8+N(M501)*(1+Parámetros!$B$9)+N(N501)*(1+Parámetros!$B$10)+N(O501)*(1+AG501)+N(P501)*(1+AG501+Parámetros!$B$8)+N(Q501)*(1+AG501+Parámetros!$B$9)+N(R501)*(1+AG501+Parámetros!$B$10)),0))</f>
        <v/>
      </c>
      <c r="U501" s="5" t="str">
        <f>IF(OR(A501="",D501="",E501=""),"",IF(N(M501)+N(N501)+N(Q501)+N(R501)&gt;Parámetros!$B$12,"Supera el límite de horas extras diarias",IF(C501="Cédula no registrada","Registre la cédula en «Trabajadores»","")))</f>
        <v/>
      </c>
      <c r="X501" s="20">
        <f t="shared" si="150"/>
        <v>0</v>
      </c>
      <c r="Y501" s="20">
        <f t="shared" si="151"/>
        <v>0</v>
      </c>
      <c r="Z501" s="20">
        <f t="shared" si="152"/>
        <v>0</v>
      </c>
      <c r="AA501" s="20">
        <f t="shared" si="153"/>
        <v>0</v>
      </c>
      <c r="AB501" s="20">
        <f t="shared" si="154"/>
        <v>0</v>
      </c>
      <c r="AC501" s="20">
        <f t="shared" si="155"/>
        <v>0</v>
      </c>
      <c r="AD501" s="20">
        <f>IF(A501="",21/24,MOD(VLOOKUP(A501,Parámetros!$A$24:$B$25,2,TRUE()),1))</f>
        <v>0.875</v>
      </c>
      <c r="AE501" s="5">
        <f>IF(A501="",0,IF(OR(WEEKDAY(A501,2)=7,COUNTIF(Festivos!$A$5:$A$451,A501)&gt;0),1,0))</f>
        <v>0</v>
      </c>
      <c r="AF501" s="5">
        <f>IF(A501="",0,IF(OR(WEEKDAY(A501+1,2)=7,COUNTIF(Festivos!$A$5:$A$451,A501+1)&gt;0),1,0))</f>
        <v>0</v>
      </c>
      <c r="AG501" s="9">
        <f>IF(A501="",0,VLOOKUP(A501,Parámetros!$A$18:$B$21,2,TRUE()))</f>
        <v>0</v>
      </c>
      <c r="AH501" s="20">
        <f t="shared" si="156"/>
        <v>0</v>
      </c>
      <c r="AI501" s="20">
        <f>MAX(0,MIN(AB501,Parámetros!$B$11)-MAX(X501,0))+MAX(0,MIN(AB501,1+Parámetros!$B$11)-MAX(X501,AD501))+MAX(0,MIN(AB501,2)-MAX(X501,1+AD501))</f>
        <v>0</v>
      </c>
      <c r="AJ501" s="20">
        <f t="shared" si="157"/>
        <v>0</v>
      </c>
      <c r="AK501" s="20">
        <f>AE501*(MAX(0,MIN(AB501,Parámetros!$B$11)-MAX(X501,0))+MAX(0,MIN(AB501,1)-MAX(X501,AD501)))+AF501*(MAX(0,MIN(AB501,1+Parámetros!$B$11)-MAX(X501,1))+MAX(0,MIN(AB501,2)-MAX(X501,1+AD501)))</f>
        <v>0</v>
      </c>
      <c r="AL501" s="20">
        <f t="shared" si="158"/>
        <v>0</v>
      </c>
      <c r="AM501" s="20">
        <f>MAX(0,MIN(AC501,Parámetros!$B$11)-MAX(AB501,0))+MAX(0,MIN(AC501,1+Parámetros!$B$11)-MAX(AB501,AD501))+MAX(0,MIN(AC501,2)-MAX(AB501,1+AD501))</f>
        <v>0</v>
      </c>
      <c r="AN501" s="20">
        <f t="shared" si="159"/>
        <v>0</v>
      </c>
      <c r="AO501" s="20">
        <f>AE501*(MAX(0,MIN(AC501,Parámetros!$B$11)-MAX(AB501,0))+MAX(0,MIN(AC501,1)-MAX(AB501,AD501)))+AF501*(MAX(0,MIN(AC501,1+Parámetros!$B$11)-MAX(AB501,1))+MAX(0,MIN(AC501,2)-MAX(AB501,1+AD501)))</f>
        <v>0</v>
      </c>
    </row>
    <row r="502" spans="1:41" x14ac:dyDescent="0.25">
      <c r="A502" s="15"/>
      <c r="B502" s="8"/>
      <c r="C502" s="5" t="str">
        <f>IF(B502="","",IFERROR(INDEX(Trabajadores!$B$5:$B$204,MATCH(B502,Trabajadores!$A$5:$A$204,0)),"Cédula no registrada"))</f>
        <v/>
      </c>
      <c r="D502" s="11"/>
      <c r="E502" s="11"/>
      <c r="F502" s="8"/>
      <c r="G502" s="18" t="str">
        <f>IF(A502="","",IFERROR(INDEX(Trabajadores!$E$5:$E$204,MATCH(B502,Trabajadores!$A$5:$A$204,0))/Parámetros!$B$6,0)+IF(IFERROR(INDEX(Trabajadores!$E$5:$E$204,MATCH(B502,Trabajadores!$A$5:$A$204,0)),"")="",Parámetros!$B$7,0))</f>
        <v/>
      </c>
      <c r="H502" s="5" t="str">
        <f t="shared" si="140"/>
        <v/>
      </c>
      <c r="I502" s="5" t="str">
        <f>IF(A502="","",IF(COUNTIF(Festivos!$A$5:$A$451,A502)&gt;0,"Festivo",IF(WEEKDAY(A502,2)=7,"Domingo",IF(AND(AF502=1,AC502&gt;1),IF(COUNTIF(Festivos!$A$5:$A$451,A502+1)&gt;0,"Festivo","Domingo")&amp;" desde las 00:00",""))))</f>
        <v/>
      </c>
      <c r="J502" s="19" t="str">
        <f t="shared" si="141"/>
        <v/>
      </c>
      <c r="K502" s="19" t="str">
        <f t="shared" si="142"/>
        <v/>
      </c>
      <c r="L502" s="19" t="str">
        <f t="shared" si="143"/>
        <v/>
      </c>
      <c r="M502" s="19" t="str">
        <f t="shared" si="144"/>
        <v/>
      </c>
      <c r="N502" s="19" t="str">
        <f t="shared" si="145"/>
        <v/>
      </c>
      <c r="O502" s="19" t="str">
        <f t="shared" si="146"/>
        <v/>
      </c>
      <c r="P502" s="19" t="str">
        <f t="shared" si="147"/>
        <v/>
      </c>
      <c r="Q502" s="19" t="str">
        <f t="shared" si="148"/>
        <v/>
      </c>
      <c r="R502" s="19" t="str">
        <f t="shared" si="149"/>
        <v/>
      </c>
      <c r="S502" s="17" t="str">
        <f>IF(B502="","",IFERROR(INDEX(Trabajadores!$G$5:$G$204,MATCH(B502,Trabajadores!$A$5:$A$204,0)),""))</f>
        <v/>
      </c>
      <c r="T502" s="17" t="str">
        <f>IF(OR(OR(A502="",D502="",E502=""),S502=""),"",ROUND(S502*(N(L502)*Parámetros!$B$8+N(M502)*(1+Parámetros!$B$9)+N(N502)*(1+Parámetros!$B$10)+N(O502)*(1+AG502)+N(P502)*(1+AG502+Parámetros!$B$8)+N(Q502)*(1+AG502+Parámetros!$B$9)+N(R502)*(1+AG502+Parámetros!$B$10)),0))</f>
        <v/>
      </c>
      <c r="U502" s="5" t="str">
        <f>IF(OR(A502="",D502="",E502=""),"",IF(N(M502)+N(N502)+N(Q502)+N(R502)&gt;Parámetros!$B$12,"Supera el límite de horas extras diarias",IF(C502="Cédula no registrada","Registre la cédula en «Trabajadores»","")))</f>
        <v/>
      </c>
      <c r="X502" s="20">
        <f t="shared" si="150"/>
        <v>0</v>
      </c>
      <c r="Y502" s="20">
        <f t="shared" si="151"/>
        <v>0</v>
      </c>
      <c r="Z502" s="20">
        <f t="shared" si="152"/>
        <v>0</v>
      </c>
      <c r="AA502" s="20">
        <f t="shared" si="153"/>
        <v>0</v>
      </c>
      <c r="AB502" s="20">
        <f t="shared" si="154"/>
        <v>0</v>
      </c>
      <c r="AC502" s="20">
        <f t="shared" si="155"/>
        <v>0</v>
      </c>
      <c r="AD502" s="20">
        <f>IF(A502="",21/24,MOD(VLOOKUP(A502,Parámetros!$A$24:$B$25,2,TRUE()),1))</f>
        <v>0.875</v>
      </c>
      <c r="AE502" s="5">
        <f>IF(A502="",0,IF(OR(WEEKDAY(A502,2)=7,COUNTIF(Festivos!$A$5:$A$451,A502)&gt;0),1,0))</f>
        <v>0</v>
      </c>
      <c r="AF502" s="5">
        <f>IF(A502="",0,IF(OR(WEEKDAY(A502+1,2)=7,COUNTIF(Festivos!$A$5:$A$451,A502+1)&gt;0),1,0))</f>
        <v>0</v>
      </c>
      <c r="AG502" s="9">
        <f>IF(A502="",0,VLOOKUP(A502,Parámetros!$A$18:$B$21,2,TRUE()))</f>
        <v>0</v>
      </c>
      <c r="AH502" s="20">
        <f t="shared" si="156"/>
        <v>0</v>
      </c>
      <c r="AI502" s="20">
        <f>MAX(0,MIN(AB502,Parámetros!$B$11)-MAX(X502,0))+MAX(0,MIN(AB502,1+Parámetros!$B$11)-MAX(X502,AD502))+MAX(0,MIN(AB502,2)-MAX(X502,1+AD502))</f>
        <v>0</v>
      </c>
      <c r="AJ502" s="20">
        <f t="shared" si="157"/>
        <v>0</v>
      </c>
      <c r="AK502" s="20">
        <f>AE502*(MAX(0,MIN(AB502,Parámetros!$B$11)-MAX(X502,0))+MAX(0,MIN(AB502,1)-MAX(X502,AD502)))+AF502*(MAX(0,MIN(AB502,1+Parámetros!$B$11)-MAX(X502,1))+MAX(0,MIN(AB502,2)-MAX(X502,1+AD502)))</f>
        <v>0</v>
      </c>
      <c r="AL502" s="20">
        <f t="shared" si="158"/>
        <v>0</v>
      </c>
      <c r="AM502" s="20">
        <f>MAX(0,MIN(AC502,Parámetros!$B$11)-MAX(AB502,0))+MAX(0,MIN(AC502,1+Parámetros!$B$11)-MAX(AB502,AD502))+MAX(0,MIN(AC502,2)-MAX(AB502,1+AD502))</f>
        <v>0</v>
      </c>
      <c r="AN502" s="20">
        <f t="shared" si="159"/>
        <v>0</v>
      </c>
      <c r="AO502" s="20">
        <f>AE502*(MAX(0,MIN(AC502,Parámetros!$B$11)-MAX(AB502,0))+MAX(0,MIN(AC502,1)-MAX(AB502,AD502)))+AF502*(MAX(0,MIN(AC502,1+Parámetros!$B$11)-MAX(AB502,1))+MAX(0,MIN(AC502,2)-MAX(AB502,1+AD502)))</f>
        <v>0</v>
      </c>
    </row>
    <row r="503" spans="1:41" x14ac:dyDescent="0.25">
      <c r="A503" s="15"/>
      <c r="B503" s="8"/>
      <c r="C503" s="5" t="str">
        <f>IF(B503="","",IFERROR(INDEX(Trabajadores!$B$5:$B$204,MATCH(B503,Trabajadores!$A$5:$A$204,0)),"Cédula no registrada"))</f>
        <v/>
      </c>
      <c r="D503" s="11"/>
      <c r="E503" s="11"/>
      <c r="F503" s="8"/>
      <c r="G503" s="18" t="str">
        <f>IF(A503="","",IFERROR(INDEX(Trabajadores!$E$5:$E$204,MATCH(B503,Trabajadores!$A$5:$A$204,0))/Parámetros!$B$6,0)+IF(IFERROR(INDEX(Trabajadores!$E$5:$E$204,MATCH(B503,Trabajadores!$A$5:$A$204,0)),"")="",Parámetros!$B$7,0))</f>
        <v/>
      </c>
      <c r="H503" s="5" t="str">
        <f t="shared" si="140"/>
        <v/>
      </c>
      <c r="I503" s="5" t="str">
        <f>IF(A503="","",IF(COUNTIF(Festivos!$A$5:$A$451,A503)&gt;0,"Festivo",IF(WEEKDAY(A503,2)=7,"Domingo",IF(AND(AF503=1,AC503&gt;1),IF(COUNTIF(Festivos!$A$5:$A$451,A503+1)&gt;0,"Festivo","Domingo")&amp;" desde las 00:00",""))))</f>
        <v/>
      </c>
      <c r="J503" s="19" t="str">
        <f t="shared" si="141"/>
        <v/>
      </c>
      <c r="K503" s="19" t="str">
        <f t="shared" si="142"/>
        <v/>
      </c>
      <c r="L503" s="19" t="str">
        <f t="shared" si="143"/>
        <v/>
      </c>
      <c r="M503" s="19" t="str">
        <f t="shared" si="144"/>
        <v/>
      </c>
      <c r="N503" s="19" t="str">
        <f t="shared" si="145"/>
        <v/>
      </c>
      <c r="O503" s="19" t="str">
        <f t="shared" si="146"/>
        <v/>
      </c>
      <c r="P503" s="19" t="str">
        <f t="shared" si="147"/>
        <v/>
      </c>
      <c r="Q503" s="19" t="str">
        <f t="shared" si="148"/>
        <v/>
      </c>
      <c r="R503" s="19" t="str">
        <f t="shared" si="149"/>
        <v/>
      </c>
      <c r="S503" s="17" t="str">
        <f>IF(B503="","",IFERROR(INDEX(Trabajadores!$G$5:$G$204,MATCH(B503,Trabajadores!$A$5:$A$204,0)),""))</f>
        <v/>
      </c>
      <c r="T503" s="17" t="str">
        <f>IF(OR(OR(A503="",D503="",E503=""),S503=""),"",ROUND(S503*(N(L503)*Parámetros!$B$8+N(M503)*(1+Parámetros!$B$9)+N(N503)*(1+Parámetros!$B$10)+N(O503)*(1+AG503)+N(P503)*(1+AG503+Parámetros!$B$8)+N(Q503)*(1+AG503+Parámetros!$B$9)+N(R503)*(1+AG503+Parámetros!$B$10)),0))</f>
        <v/>
      </c>
      <c r="U503" s="5" t="str">
        <f>IF(OR(A503="",D503="",E503=""),"",IF(N(M503)+N(N503)+N(Q503)+N(R503)&gt;Parámetros!$B$12,"Supera el límite de horas extras diarias",IF(C503="Cédula no registrada","Registre la cédula en «Trabajadores»","")))</f>
        <v/>
      </c>
      <c r="X503" s="20">
        <f t="shared" si="150"/>
        <v>0</v>
      </c>
      <c r="Y503" s="20">
        <f t="shared" si="151"/>
        <v>0</v>
      </c>
      <c r="Z503" s="20">
        <f t="shared" si="152"/>
        <v>0</v>
      </c>
      <c r="AA503" s="20">
        <f t="shared" si="153"/>
        <v>0</v>
      </c>
      <c r="AB503" s="20">
        <f t="shared" si="154"/>
        <v>0</v>
      </c>
      <c r="AC503" s="20">
        <f t="shared" si="155"/>
        <v>0</v>
      </c>
      <c r="AD503" s="20">
        <f>IF(A503="",21/24,MOD(VLOOKUP(A503,Parámetros!$A$24:$B$25,2,TRUE()),1))</f>
        <v>0.875</v>
      </c>
      <c r="AE503" s="5">
        <f>IF(A503="",0,IF(OR(WEEKDAY(A503,2)=7,COUNTIF(Festivos!$A$5:$A$451,A503)&gt;0),1,0))</f>
        <v>0</v>
      </c>
      <c r="AF503" s="5">
        <f>IF(A503="",0,IF(OR(WEEKDAY(A503+1,2)=7,COUNTIF(Festivos!$A$5:$A$451,A503+1)&gt;0),1,0))</f>
        <v>0</v>
      </c>
      <c r="AG503" s="9">
        <f>IF(A503="",0,VLOOKUP(A503,Parámetros!$A$18:$B$21,2,TRUE()))</f>
        <v>0</v>
      </c>
      <c r="AH503" s="20">
        <f t="shared" si="156"/>
        <v>0</v>
      </c>
      <c r="AI503" s="20">
        <f>MAX(0,MIN(AB503,Parámetros!$B$11)-MAX(X503,0))+MAX(0,MIN(AB503,1+Parámetros!$B$11)-MAX(X503,AD503))+MAX(0,MIN(AB503,2)-MAX(X503,1+AD503))</f>
        <v>0</v>
      </c>
      <c r="AJ503" s="20">
        <f t="shared" si="157"/>
        <v>0</v>
      </c>
      <c r="AK503" s="20">
        <f>AE503*(MAX(0,MIN(AB503,Parámetros!$B$11)-MAX(X503,0))+MAX(0,MIN(AB503,1)-MAX(X503,AD503)))+AF503*(MAX(0,MIN(AB503,1+Parámetros!$B$11)-MAX(X503,1))+MAX(0,MIN(AB503,2)-MAX(X503,1+AD503)))</f>
        <v>0</v>
      </c>
      <c r="AL503" s="20">
        <f t="shared" si="158"/>
        <v>0</v>
      </c>
      <c r="AM503" s="20">
        <f>MAX(0,MIN(AC503,Parámetros!$B$11)-MAX(AB503,0))+MAX(0,MIN(AC503,1+Parámetros!$B$11)-MAX(AB503,AD503))+MAX(0,MIN(AC503,2)-MAX(AB503,1+AD503))</f>
        <v>0</v>
      </c>
      <c r="AN503" s="20">
        <f t="shared" si="159"/>
        <v>0</v>
      </c>
      <c r="AO503" s="20">
        <f>AE503*(MAX(0,MIN(AC503,Parámetros!$B$11)-MAX(AB503,0))+MAX(0,MIN(AC503,1)-MAX(AB503,AD503)))+AF503*(MAX(0,MIN(AC503,1+Parámetros!$B$11)-MAX(AB503,1))+MAX(0,MIN(AC503,2)-MAX(AB503,1+AD503)))</f>
        <v>0</v>
      </c>
    </row>
    <row r="504" spans="1:41" x14ac:dyDescent="0.25">
      <c r="A504" s="15"/>
      <c r="B504" s="8"/>
      <c r="C504" s="5" t="str">
        <f>IF(B504="","",IFERROR(INDEX(Trabajadores!$B$5:$B$204,MATCH(B504,Trabajadores!$A$5:$A$204,0)),"Cédula no registrada"))</f>
        <v/>
      </c>
      <c r="D504" s="11"/>
      <c r="E504" s="11"/>
      <c r="F504" s="8"/>
      <c r="G504" s="18" t="str">
        <f>IF(A504="","",IFERROR(INDEX(Trabajadores!$E$5:$E$204,MATCH(B504,Trabajadores!$A$5:$A$204,0))/Parámetros!$B$6,0)+IF(IFERROR(INDEX(Trabajadores!$E$5:$E$204,MATCH(B504,Trabajadores!$A$5:$A$204,0)),"")="",Parámetros!$B$7,0))</f>
        <v/>
      </c>
      <c r="H504" s="5" t="str">
        <f t="shared" si="140"/>
        <v/>
      </c>
      <c r="I504" s="5" t="str">
        <f>IF(A504="","",IF(COUNTIF(Festivos!$A$5:$A$451,A504)&gt;0,"Festivo",IF(WEEKDAY(A504,2)=7,"Domingo",IF(AND(AF504=1,AC504&gt;1),IF(COUNTIF(Festivos!$A$5:$A$451,A504+1)&gt;0,"Festivo","Domingo")&amp;" desde las 00:00",""))))</f>
        <v/>
      </c>
      <c r="J504" s="19" t="str">
        <f t="shared" si="141"/>
        <v/>
      </c>
      <c r="K504" s="19" t="str">
        <f t="shared" si="142"/>
        <v/>
      </c>
      <c r="L504" s="19" t="str">
        <f t="shared" si="143"/>
        <v/>
      </c>
      <c r="M504" s="19" t="str">
        <f t="shared" si="144"/>
        <v/>
      </c>
      <c r="N504" s="19" t="str">
        <f t="shared" si="145"/>
        <v/>
      </c>
      <c r="O504" s="19" t="str">
        <f t="shared" si="146"/>
        <v/>
      </c>
      <c r="P504" s="19" t="str">
        <f t="shared" si="147"/>
        <v/>
      </c>
      <c r="Q504" s="19" t="str">
        <f t="shared" si="148"/>
        <v/>
      </c>
      <c r="R504" s="19" t="str">
        <f t="shared" si="149"/>
        <v/>
      </c>
      <c r="S504" s="17" t="str">
        <f>IF(B504="","",IFERROR(INDEX(Trabajadores!$G$5:$G$204,MATCH(B504,Trabajadores!$A$5:$A$204,0)),""))</f>
        <v/>
      </c>
      <c r="T504" s="17" t="str">
        <f>IF(OR(OR(A504="",D504="",E504=""),S504=""),"",ROUND(S504*(N(L504)*Parámetros!$B$8+N(M504)*(1+Parámetros!$B$9)+N(N504)*(1+Parámetros!$B$10)+N(O504)*(1+AG504)+N(P504)*(1+AG504+Parámetros!$B$8)+N(Q504)*(1+AG504+Parámetros!$B$9)+N(R504)*(1+AG504+Parámetros!$B$10)),0))</f>
        <v/>
      </c>
      <c r="U504" s="5" t="str">
        <f>IF(OR(A504="",D504="",E504=""),"",IF(N(M504)+N(N504)+N(Q504)+N(R504)&gt;Parámetros!$B$12,"Supera el límite de horas extras diarias",IF(C504="Cédula no registrada","Registre la cédula en «Trabajadores»","")))</f>
        <v/>
      </c>
      <c r="X504" s="20">
        <f t="shared" si="150"/>
        <v>0</v>
      </c>
      <c r="Y504" s="20">
        <f t="shared" si="151"/>
        <v>0</v>
      </c>
      <c r="Z504" s="20">
        <f t="shared" si="152"/>
        <v>0</v>
      </c>
      <c r="AA504" s="20">
        <f t="shared" si="153"/>
        <v>0</v>
      </c>
      <c r="AB504" s="20">
        <f t="shared" si="154"/>
        <v>0</v>
      </c>
      <c r="AC504" s="20">
        <f t="shared" si="155"/>
        <v>0</v>
      </c>
      <c r="AD504" s="20">
        <f>IF(A504="",21/24,MOD(VLOOKUP(A504,Parámetros!$A$24:$B$25,2,TRUE()),1))</f>
        <v>0.875</v>
      </c>
      <c r="AE504" s="5">
        <f>IF(A504="",0,IF(OR(WEEKDAY(A504,2)=7,COUNTIF(Festivos!$A$5:$A$451,A504)&gt;0),1,0))</f>
        <v>0</v>
      </c>
      <c r="AF504" s="5">
        <f>IF(A504="",0,IF(OR(WEEKDAY(A504+1,2)=7,COUNTIF(Festivos!$A$5:$A$451,A504+1)&gt;0),1,0))</f>
        <v>0</v>
      </c>
      <c r="AG504" s="9">
        <f>IF(A504="",0,VLOOKUP(A504,Parámetros!$A$18:$B$21,2,TRUE()))</f>
        <v>0</v>
      </c>
      <c r="AH504" s="20">
        <f t="shared" si="156"/>
        <v>0</v>
      </c>
      <c r="AI504" s="20">
        <f>MAX(0,MIN(AB504,Parámetros!$B$11)-MAX(X504,0))+MAX(0,MIN(AB504,1+Parámetros!$B$11)-MAX(X504,AD504))+MAX(0,MIN(AB504,2)-MAX(X504,1+AD504))</f>
        <v>0</v>
      </c>
      <c r="AJ504" s="20">
        <f t="shared" si="157"/>
        <v>0</v>
      </c>
      <c r="AK504" s="20">
        <f>AE504*(MAX(0,MIN(AB504,Parámetros!$B$11)-MAX(X504,0))+MAX(0,MIN(AB504,1)-MAX(X504,AD504)))+AF504*(MAX(0,MIN(AB504,1+Parámetros!$B$11)-MAX(X504,1))+MAX(0,MIN(AB504,2)-MAX(X504,1+AD504)))</f>
        <v>0</v>
      </c>
      <c r="AL504" s="20">
        <f t="shared" si="158"/>
        <v>0</v>
      </c>
      <c r="AM504" s="20">
        <f>MAX(0,MIN(AC504,Parámetros!$B$11)-MAX(AB504,0))+MAX(0,MIN(AC504,1+Parámetros!$B$11)-MAX(AB504,AD504))+MAX(0,MIN(AC504,2)-MAX(AB504,1+AD504))</f>
        <v>0</v>
      </c>
      <c r="AN504" s="20">
        <f t="shared" si="159"/>
        <v>0</v>
      </c>
      <c r="AO504" s="20">
        <f>AE504*(MAX(0,MIN(AC504,Parámetros!$B$11)-MAX(AB504,0))+MAX(0,MIN(AC504,1)-MAX(AB504,AD504)))+AF504*(MAX(0,MIN(AC504,1+Parámetros!$B$11)-MAX(AB504,1))+MAX(0,MIN(AC504,2)-MAX(AB504,1+AD504)))</f>
        <v>0</v>
      </c>
    </row>
  </sheetData>
  <autoFilter ref="A4:U504" xr:uid="{00000000-0009-0000-0000-000004000000}"/>
  <conditionalFormatting sqref="I5:I504">
    <cfRule type="expression" dxfId="3" priority="3">
      <formula>LEN(I5)&gt;0</formula>
    </cfRule>
  </conditionalFormatting>
  <conditionalFormatting sqref="U5:U504">
    <cfRule type="expression" dxfId="2" priority="2">
      <formula>LEN(U5)&gt;0</formula>
    </cfRule>
  </conditionalFormatting>
  <dataValidations count="2">
    <dataValidation type="time" allowBlank="1" error="Escriba una hora en formato hh:mm, por ejemplo 08:00 o 22:30." sqref="D5:E504" xr:uid="{00000000-0002-0000-0400-000001000000}">
      <formula1>0</formula1>
      <formula2>0.999988</formula2>
    </dataValidation>
    <dataValidation type="date" allowBlank="1" error="Escriba una fecha válida." sqref="A5:A504" xr:uid="{00000000-0002-0000-0400-000002000000}">
      <formula1>36526</formula1>
      <formula2>73050</formula2>
    </dataValidation>
  </dataValidation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Trabajadores!$A$5:$A$204</xm:f>
          </x14:formula1>
          <x14:formula2>
            <xm:f>0</xm:f>
          </x14:formula2>
          <xm:sqref>B5:B504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08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12" customWidth="1"/>
    <col min="2" max="2" width="26" customWidth="1"/>
    <col min="3" max="18" width="12" customWidth="1"/>
  </cols>
  <sheetData>
    <row r="1" spans="1:18" ht="18" x14ac:dyDescent="0.25">
      <c r="A1" s="1" t="s">
        <v>119</v>
      </c>
    </row>
    <row r="3" spans="1:18" x14ac:dyDescent="0.25">
      <c r="A3" s="21" t="s">
        <v>120</v>
      </c>
      <c r="B3" s="15">
        <v>46296</v>
      </c>
      <c r="D3" s="13" t="s">
        <v>121</v>
      </c>
    </row>
    <row r="4" spans="1:18" x14ac:dyDescent="0.25">
      <c r="A4" s="21" t="s">
        <v>122</v>
      </c>
      <c r="B4" s="15">
        <v>46326</v>
      </c>
    </row>
    <row r="6" spans="1:18" ht="48" customHeight="1" x14ac:dyDescent="0.25">
      <c r="A6" s="4" t="s">
        <v>71</v>
      </c>
      <c r="B6" s="4" t="s">
        <v>84</v>
      </c>
      <c r="C6" s="4" t="s">
        <v>123</v>
      </c>
      <c r="D6" s="4" t="s">
        <v>124</v>
      </c>
      <c r="E6" s="4" t="s">
        <v>125</v>
      </c>
      <c r="F6" s="4" t="s">
        <v>126</v>
      </c>
      <c r="G6" s="4" t="s">
        <v>127</v>
      </c>
      <c r="H6" s="4" t="s">
        <v>128</v>
      </c>
      <c r="I6" s="4" t="s">
        <v>129</v>
      </c>
      <c r="J6" s="4" t="s">
        <v>130</v>
      </c>
      <c r="K6" s="4" t="s">
        <v>131</v>
      </c>
      <c r="L6" s="4" t="s">
        <v>132</v>
      </c>
      <c r="M6" s="4" t="s">
        <v>133</v>
      </c>
      <c r="N6" s="4" t="s">
        <v>134</v>
      </c>
      <c r="O6" s="4" t="s">
        <v>135</v>
      </c>
      <c r="P6" s="4" t="s">
        <v>136</v>
      </c>
      <c r="Q6" s="4" t="s">
        <v>137</v>
      </c>
      <c r="R6" s="4" t="s">
        <v>138</v>
      </c>
    </row>
    <row r="7" spans="1:18" x14ac:dyDescent="0.25">
      <c r="A7" s="22">
        <f>IF(Trabajadores!A5="","",Trabajadores!A5)</f>
        <v>12345678</v>
      </c>
      <c r="B7" s="23" t="str">
        <f>IF(A7="","",Trabajadores!B5)</f>
        <v>Jaime Barragán</v>
      </c>
      <c r="C7" s="24">
        <f>IF(A7="","",Trabajadores!G5)</f>
        <v>10000</v>
      </c>
      <c r="D7" s="19">
        <f>IF($A7="","",SUMIFS('Registro de turnos'!$L$5:$L$504,'Registro de turnos'!$B$5:$B$504,$A7,'Registro de turnos'!$A$5:$A$504,"&gt;="&amp;$B$3,'Registro de turnos'!$A$5:$A$504,"&lt;="&amp;$B$4))</f>
        <v>0</v>
      </c>
      <c r="E7" s="19">
        <f>IF($A7="","",SUMIFS('Registro de turnos'!$M$5:$M$504,'Registro de turnos'!$B$5:$B$504,$A7,'Registro de turnos'!$A$5:$A$504,"&gt;="&amp;$B$3,'Registro de turnos'!$A$5:$A$504,"&lt;="&amp;$B$4))</f>
        <v>0</v>
      </c>
      <c r="F7" s="19">
        <f>IF($A7="","",SUMIFS('Registro de turnos'!$N$5:$N$504,'Registro de turnos'!$B$5:$B$504,$A7,'Registro de turnos'!$A$5:$A$504,"&gt;="&amp;$B$3,'Registro de turnos'!$A$5:$A$504,"&lt;="&amp;$B$4))</f>
        <v>0</v>
      </c>
      <c r="G7" s="19">
        <f>IF($A7="","",SUMIFS('Registro de turnos'!$O$5:$O$504,'Registro de turnos'!$B$5:$B$504,$A7,'Registro de turnos'!$A$5:$A$504,"&gt;="&amp;$B$3,'Registro de turnos'!$A$5:$A$504,"&lt;="&amp;$B$4))</f>
        <v>0</v>
      </c>
      <c r="H7" s="19">
        <f>IF($A7="","",SUMIFS('Registro de turnos'!$P$5:$P$504,'Registro de turnos'!$B$5:$B$504,$A7,'Registro de turnos'!$A$5:$A$504,"&gt;="&amp;$B$3,'Registro de turnos'!$A$5:$A$504,"&lt;="&amp;$B$4))</f>
        <v>0</v>
      </c>
      <c r="I7" s="19">
        <f>IF($A7="","",SUMIFS('Registro de turnos'!$Q$5:$Q$504,'Registro de turnos'!$B$5:$B$504,$A7,'Registro de turnos'!$A$5:$A$504,"&gt;="&amp;$B$3,'Registro de turnos'!$A$5:$A$504,"&lt;="&amp;$B$4))</f>
        <v>0</v>
      </c>
      <c r="J7" s="19">
        <f>IF($A7="","",SUMIFS('Registro de turnos'!$R$5:$R$504,'Registro de turnos'!$B$5:$B$504,$A7,'Registro de turnos'!$A$5:$A$504,"&gt;="&amp;$B$3,'Registro de turnos'!$A$5:$A$504,"&lt;="&amp;$B$4))</f>
        <v>0</v>
      </c>
      <c r="K7" s="19">
        <f t="shared" ref="K7:K38" si="0">IF($A7="","",E7+F7+I7+J7)</f>
        <v>0</v>
      </c>
      <c r="L7" s="17">
        <f>IF($A7="","",SUMIFS('Registro de turnos'!$T$5:$T$504,'Registro de turnos'!$B$5:$B$504,$A7,'Registro de turnos'!$A$5:$A$504,"&gt;="&amp;$B$3,'Registro de turnos'!$A$5:$A$504,"&lt;="&amp;$B$4))</f>
        <v>0</v>
      </c>
      <c r="M7" s="17">
        <f t="shared" ref="M7:M38" si="1">IF($A7="","",ROUND(L7*0.0833,0))</f>
        <v>0</v>
      </c>
      <c r="N7" s="17">
        <f t="shared" ref="N7:N38" si="2">IF($A7="","",ROUND(L7*0.0833,0))</f>
        <v>0</v>
      </c>
      <c r="O7" s="17">
        <f t="shared" ref="O7:O38" si="3">IF($A7="","",ROUND(L7*0.01,0))</f>
        <v>0</v>
      </c>
      <c r="P7" s="17">
        <f>IF($A7="","",ROUND(C7*D7*Parámetros!$B$8*0.0417,0))</f>
        <v>0</v>
      </c>
      <c r="Q7" s="17">
        <f t="shared" ref="Q7:Q38" si="4">IF($A7="","",ROUND(L7*0.08,0))</f>
        <v>0</v>
      </c>
      <c r="R7" s="17">
        <f t="shared" ref="R7:R38" si="5">IF($A7="","",L7-Q7)</f>
        <v>0</v>
      </c>
    </row>
    <row r="8" spans="1:18" x14ac:dyDescent="0.25">
      <c r="A8" s="22">
        <f>IF(Trabajadores!A6="","",Trabajadores!A6)</f>
        <v>92408250</v>
      </c>
      <c r="B8" s="23" t="str">
        <f>IF(A8="","",Trabajadores!B6)</f>
        <v>Ana Torres</v>
      </c>
      <c r="C8" s="24">
        <f>IF(A8="","",Trabajadores!G6)</f>
        <v>23809.523809523809</v>
      </c>
      <c r="D8" s="19">
        <f>IF($A8="","",SUMIFS('Registro de turnos'!$L$5:$L$504,'Registro de turnos'!$B$5:$B$504,$A8,'Registro de turnos'!$A$5:$A$504,"&gt;="&amp;$B$3,'Registro de turnos'!$A$5:$A$504,"&lt;="&amp;$B$4))</f>
        <v>0</v>
      </c>
      <c r="E8" s="19">
        <f>IF($A8="","",SUMIFS('Registro de turnos'!$M$5:$M$504,'Registro de turnos'!$B$5:$B$504,$A8,'Registro de turnos'!$A$5:$A$504,"&gt;="&amp;$B$3,'Registro de turnos'!$A$5:$A$504,"&lt;="&amp;$B$4))</f>
        <v>3</v>
      </c>
      <c r="F8" s="19">
        <f>IF($A8="","",SUMIFS('Registro de turnos'!$N$5:$N$504,'Registro de turnos'!$B$5:$B$504,$A8,'Registro de turnos'!$A$5:$A$504,"&gt;="&amp;$B$3,'Registro de turnos'!$A$5:$A$504,"&lt;="&amp;$B$4))</f>
        <v>4</v>
      </c>
      <c r="G8" s="19">
        <f>IF($A8="","",SUMIFS('Registro de turnos'!$O$5:$O$504,'Registro de turnos'!$B$5:$B$504,$A8,'Registro de turnos'!$A$5:$A$504,"&gt;="&amp;$B$3,'Registro de turnos'!$A$5:$A$504,"&lt;="&amp;$B$4))</f>
        <v>0</v>
      </c>
      <c r="H8" s="19">
        <f>IF($A8="","",SUMIFS('Registro de turnos'!$P$5:$P$504,'Registro de turnos'!$B$5:$B$504,$A8,'Registro de turnos'!$A$5:$A$504,"&gt;="&amp;$B$3,'Registro de turnos'!$A$5:$A$504,"&lt;="&amp;$B$4))</f>
        <v>0</v>
      </c>
      <c r="I8" s="19">
        <f>IF($A8="","",SUMIFS('Registro de turnos'!$Q$5:$Q$504,'Registro de turnos'!$B$5:$B$504,$A8,'Registro de turnos'!$A$5:$A$504,"&gt;="&amp;$B$3,'Registro de turnos'!$A$5:$A$504,"&lt;="&amp;$B$4))</f>
        <v>0</v>
      </c>
      <c r="J8" s="19">
        <f>IF($A8="","",SUMIFS('Registro de turnos'!$R$5:$R$504,'Registro de turnos'!$B$5:$B$504,$A8,'Registro de turnos'!$A$5:$A$504,"&gt;="&amp;$B$3,'Registro de turnos'!$A$5:$A$504,"&lt;="&amp;$B$4))</f>
        <v>4</v>
      </c>
      <c r="K8" s="19">
        <f t="shared" si="0"/>
        <v>11</v>
      </c>
      <c r="L8" s="17">
        <f>IF($A8="","",SUMIFS('Registro de turnos'!$T$5:$T$504,'Registro de turnos'!$B$5:$B$504,$A8,'Registro de turnos'!$A$5:$A$504,"&gt;="&amp;$B$3,'Registro de turnos'!$A$5:$A$504,"&lt;="&amp;$B$4))</f>
        <v>508333</v>
      </c>
      <c r="M8" s="17">
        <f t="shared" si="1"/>
        <v>42344</v>
      </c>
      <c r="N8" s="17">
        <f t="shared" si="2"/>
        <v>42344</v>
      </c>
      <c r="O8" s="17">
        <f t="shared" si="3"/>
        <v>5083</v>
      </c>
      <c r="P8" s="17">
        <f>IF($A8="","",ROUND(C8*D8*Parámetros!$B$8*0.0417,0))</f>
        <v>0</v>
      </c>
      <c r="Q8" s="17">
        <f t="shared" si="4"/>
        <v>40667</v>
      </c>
      <c r="R8" s="17">
        <f t="shared" si="5"/>
        <v>467666</v>
      </c>
    </row>
    <row r="9" spans="1:18" x14ac:dyDescent="0.25">
      <c r="A9" s="22" t="str">
        <f>IF(Trabajadores!A7="","",Trabajadores!A7)</f>
        <v/>
      </c>
      <c r="B9" s="23" t="str">
        <f>IF(A9="","",Trabajadores!B7)</f>
        <v/>
      </c>
      <c r="C9" s="24" t="str">
        <f>IF(A9="","",Trabajadores!G7)</f>
        <v/>
      </c>
      <c r="D9" s="19" t="str">
        <f>IF($A9="","",SUMIFS('Registro de turnos'!$L$5:$L$504,'Registro de turnos'!$B$5:$B$504,$A9,'Registro de turnos'!$A$5:$A$504,"&gt;="&amp;$B$3,'Registro de turnos'!$A$5:$A$504,"&lt;="&amp;$B$4))</f>
        <v/>
      </c>
      <c r="E9" s="19" t="str">
        <f>IF($A9="","",SUMIFS('Registro de turnos'!$M$5:$M$504,'Registro de turnos'!$B$5:$B$504,$A9,'Registro de turnos'!$A$5:$A$504,"&gt;="&amp;$B$3,'Registro de turnos'!$A$5:$A$504,"&lt;="&amp;$B$4))</f>
        <v/>
      </c>
      <c r="F9" s="19" t="str">
        <f>IF($A9="","",SUMIFS('Registro de turnos'!$N$5:$N$504,'Registro de turnos'!$B$5:$B$504,$A9,'Registro de turnos'!$A$5:$A$504,"&gt;="&amp;$B$3,'Registro de turnos'!$A$5:$A$504,"&lt;="&amp;$B$4))</f>
        <v/>
      </c>
      <c r="G9" s="19" t="str">
        <f>IF($A9="","",SUMIFS('Registro de turnos'!$O$5:$O$504,'Registro de turnos'!$B$5:$B$504,$A9,'Registro de turnos'!$A$5:$A$504,"&gt;="&amp;$B$3,'Registro de turnos'!$A$5:$A$504,"&lt;="&amp;$B$4))</f>
        <v/>
      </c>
      <c r="H9" s="19" t="str">
        <f>IF($A9="","",SUMIFS('Registro de turnos'!$P$5:$P$504,'Registro de turnos'!$B$5:$B$504,$A9,'Registro de turnos'!$A$5:$A$504,"&gt;="&amp;$B$3,'Registro de turnos'!$A$5:$A$504,"&lt;="&amp;$B$4))</f>
        <v/>
      </c>
      <c r="I9" s="19" t="str">
        <f>IF($A9="","",SUMIFS('Registro de turnos'!$Q$5:$Q$504,'Registro de turnos'!$B$5:$B$504,$A9,'Registro de turnos'!$A$5:$A$504,"&gt;="&amp;$B$3,'Registro de turnos'!$A$5:$A$504,"&lt;="&amp;$B$4))</f>
        <v/>
      </c>
      <c r="J9" s="19" t="str">
        <f>IF($A9="","",SUMIFS('Registro de turnos'!$R$5:$R$504,'Registro de turnos'!$B$5:$B$504,$A9,'Registro de turnos'!$A$5:$A$504,"&gt;="&amp;$B$3,'Registro de turnos'!$A$5:$A$504,"&lt;="&amp;$B$4))</f>
        <v/>
      </c>
      <c r="K9" s="19" t="str">
        <f t="shared" si="0"/>
        <v/>
      </c>
      <c r="L9" s="17" t="str">
        <f>IF($A9="","",SUMIFS('Registro de turnos'!$T$5:$T$504,'Registro de turnos'!$B$5:$B$504,$A9,'Registro de turnos'!$A$5:$A$504,"&gt;="&amp;$B$3,'Registro de turnos'!$A$5:$A$504,"&lt;="&amp;$B$4))</f>
        <v/>
      </c>
      <c r="M9" s="17" t="str">
        <f t="shared" si="1"/>
        <v/>
      </c>
      <c r="N9" s="17" t="str">
        <f t="shared" si="2"/>
        <v/>
      </c>
      <c r="O9" s="17" t="str">
        <f t="shared" si="3"/>
        <v/>
      </c>
      <c r="P9" s="17" t="str">
        <f>IF($A9="","",ROUND(C9*D9*Parámetros!$B$8*0.0417,0))</f>
        <v/>
      </c>
      <c r="Q9" s="17" t="str">
        <f t="shared" si="4"/>
        <v/>
      </c>
      <c r="R9" s="17" t="str">
        <f t="shared" si="5"/>
        <v/>
      </c>
    </row>
    <row r="10" spans="1:18" x14ac:dyDescent="0.25">
      <c r="A10" s="22" t="str">
        <f>IF(Trabajadores!A8="","",Trabajadores!A8)</f>
        <v/>
      </c>
      <c r="B10" s="23" t="str">
        <f>IF(A10="","",Trabajadores!B8)</f>
        <v/>
      </c>
      <c r="C10" s="24" t="str">
        <f>IF(A10="","",Trabajadores!G8)</f>
        <v/>
      </c>
      <c r="D10" s="19" t="str">
        <f>IF($A10="","",SUMIFS('Registro de turnos'!$L$5:$L$504,'Registro de turnos'!$B$5:$B$504,$A10,'Registro de turnos'!$A$5:$A$504,"&gt;="&amp;$B$3,'Registro de turnos'!$A$5:$A$504,"&lt;="&amp;$B$4))</f>
        <v/>
      </c>
      <c r="E10" s="19" t="str">
        <f>IF($A10="","",SUMIFS('Registro de turnos'!$M$5:$M$504,'Registro de turnos'!$B$5:$B$504,$A10,'Registro de turnos'!$A$5:$A$504,"&gt;="&amp;$B$3,'Registro de turnos'!$A$5:$A$504,"&lt;="&amp;$B$4))</f>
        <v/>
      </c>
      <c r="F10" s="19" t="str">
        <f>IF($A10="","",SUMIFS('Registro de turnos'!$N$5:$N$504,'Registro de turnos'!$B$5:$B$504,$A10,'Registro de turnos'!$A$5:$A$504,"&gt;="&amp;$B$3,'Registro de turnos'!$A$5:$A$504,"&lt;="&amp;$B$4))</f>
        <v/>
      </c>
      <c r="G10" s="19" t="str">
        <f>IF($A10="","",SUMIFS('Registro de turnos'!$O$5:$O$504,'Registro de turnos'!$B$5:$B$504,$A10,'Registro de turnos'!$A$5:$A$504,"&gt;="&amp;$B$3,'Registro de turnos'!$A$5:$A$504,"&lt;="&amp;$B$4))</f>
        <v/>
      </c>
      <c r="H10" s="19" t="str">
        <f>IF($A10="","",SUMIFS('Registro de turnos'!$P$5:$P$504,'Registro de turnos'!$B$5:$B$504,$A10,'Registro de turnos'!$A$5:$A$504,"&gt;="&amp;$B$3,'Registro de turnos'!$A$5:$A$504,"&lt;="&amp;$B$4))</f>
        <v/>
      </c>
      <c r="I10" s="19" t="str">
        <f>IF($A10="","",SUMIFS('Registro de turnos'!$Q$5:$Q$504,'Registro de turnos'!$B$5:$B$504,$A10,'Registro de turnos'!$A$5:$A$504,"&gt;="&amp;$B$3,'Registro de turnos'!$A$5:$A$504,"&lt;="&amp;$B$4))</f>
        <v/>
      </c>
      <c r="J10" s="19" t="str">
        <f>IF($A10="","",SUMIFS('Registro de turnos'!$R$5:$R$504,'Registro de turnos'!$B$5:$B$504,$A10,'Registro de turnos'!$A$5:$A$504,"&gt;="&amp;$B$3,'Registro de turnos'!$A$5:$A$504,"&lt;="&amp;$B$4))</f>
        <v/>
      </c>
      <c r="K10" s="19" t="str">
        <f t="shared" si="0"/>
        <v/>
      </c>
      <c r="L10" s="17" t="str">
        <f>IF($A10="","",SUMIFS('Registro de turnos'!$T$5:$T$504,'Registro de turnos'!$B$5:$B$504,$A10,'Registro de turnos'!$A$5:$A$504,"&gt;="&amp;$B$3,'Registro de turnos'!$A$5:$A$504,"&lt;="&amp;$B$4))</f>
        <v/>
      </c>
      <c r="M10" s="17" t="str">
        <f t="shared" si="1"/>
        <v/>
      </c>
      <c r="N10" s="17" t="str">
        <f t="shared" si="2"/>
        <v/>
      </c>
      <c r="O10" s="17" t="str">
        <f t="shared" si="3"/>
        <v/>
      </c>
      <c r="P10" s="17" t="str">
        <f>IF($A10="","",ROUND(C10*D10*Parámetros!$B$8*0.0417,0))</f>
        <v/>
      </c>
      <c r="Q10" s="17" t="str">
        <f t="shared" si="4"/>
        <v/>
      </c>
      <c r="R10" s="17" t="str">
        <f t="shared" si="5"/>
        <v/>
      </c>
    </row>
    <row r="11" spans="1:18" x14ac:dyDescent="0.25">
      <c r="A11" s="22" t="str">
        <f>IF(Trabajadores!A9="","",Trabajadores!A9)</f>
        <v/>
      </c>
      <c r="B11" s="23" t="str">
        <f>IF(A11="","",Trabajadores!B9)</f>
        <v/>
      </c>
      <c r="C11" s="24" t="str">
        <f>IF(A11="","",Trabajadores!G9)</f>
        <v/>
      </c>
      <c r="D11" s="19" t="str">
        <f>IF($A11="","",SUMIFS('Registro de turnos'!$L$5:$L$504,'Registro de turnos'!$B$5:$B$504,$A11,'Registro de turnos'!$A$5:$A$504,"&gt;="&amp;$B$3,'Registro de turnos'!$A$5:$A$504,"&lt;="&amp;$B$4))</f>
        <v/>
      </c>
      <c r="E11" s="19" t="str">
        <f>IF($A11="","",SUMIFS('Registro de turnos'!$M$5:$M$504,'Registro de turnos'!$B$5:$B$504,$A11,'Registro de turnos'!$A$5:$A$504,"&gt;="&amp;$B$3,'Registro de turnos'!$A$5:$A$504,"&lt;="&amp;$B$4))</f>
        <v/>
      </c>
      <c r="F11" s="19" t="str">
        <f>IF($A11="","",SUMIFS('Registro de turnos'!$N$5:$N$504,'Registro de turnos'!$B$5:$B$504,$A11,'Registro de turnos'!$A$5:$A$504,"&gt;="&amp;$B$3,'Registro de turnos'!$A$5:$A$504,"&lt;="&amp;$B$4))</f>
        <v/>
      </c>
      <c r="G11" s="19" t="str">
        <f>IF($A11="","",SUMIFS('Registro de turnos'!$O$5:$O$504,'Registro de turnos'!$B$5:$B$504,$A11,'Registro de turnos'!$A$5:$A$504,"&gt;="&amp;$B$3,'Registro de turnos'!$A$5:$A$504,"&lt;="&amp;$B$4))</f>
        <v/>
      </c>
      <c r="H11" s="19" t="str">
        <f>IF($A11="","",SUMIFS('Registro de turnos'!$P$5:$P$504,'Registro de turnos'!$B$5:$B$504,$A11,'Registro de turnos'!$A$5:$A$504,"&gt;="&amp;$B$3,'Registro de turnos'!$A$5:$A$504,"&lt;="&amp;$B$4))</f>
        <v/>
      </c>
      <c r="I11" s="19" t="str">
        <f>IF($A11="","",SUMIFS('Registro de turnos'!$Q$5:$Q$504,'Registro de turnos'!$B$5:$B$504,$A11,'Registro de turnos'!$A$5:$A$504,"&gt;="&amp;$B$3,'Registro de turnos'!$A$5:$A$504,"&lt;="&amp;$B$4))</f>
        <v/>
      </c>
      <c r="J11" s="19" t="str">
        <f>IF($A11="","",SUMIFS('Registro de turnos'!$R$5:$R$504,'Registro de turnos'!$B$5:$B$504,$A11,'Registro de turnos'!$A$5:$A$504,"&gt;="&amp;$B$3,'Registro de turnos'!$A$5:$A$504,"&lt;="&amp;$B$4))</f>
        <v/>
      </c>
      <c r="K11" s="19" t="str">
        <f t="shared" si="0"/>
        <v/>
      </c>
      <c r="L11" s="17" t="str">
        <f>IF($A11="","",SUMIFS('Registro de turnos'!$T$5:$T$504,'Registro de turnos'!$B$5:$B$504,$A11,'Registro de turnos'!$A$5:$A$504,"&gt;="&amp;$B$3,'Registro de turnos'!$A$5:$A$504,"&lt;="&amp;$B$4))</f>
        <v/>
      </c>
      <c r="M11" s="17" t="str">
        <f t="shared" si="1"/>
        <v/>
      </c>
      <c r="N11" s="17" t="str">
        <f t="shared" si="2"/>
        <v/>
      </c>
      <c r="O11" s="17" t="str">
        <f t="shared" si="3"/>
        <v/>
      </c>
      <c r="P11" s="17" t="str">
        <f>IF($A11="","",ROUND(C11*D11*Parámetros!$B$8*0.0417,0))</f>
        <v/>
      </c>
      <c r="Q11" s="17" t="str">
        <f t="shared" si="4"/>
        <v/>
      </c>
      <c r="R11" s="17" t="str">
        <f t="shared" si="5"/>
        <v/>
      </c>
    </row>
    <row r="12" spans="1:18" x14ac:dyDescent="0.25">
      <c r="A12" s="22" t="str">
        <f>IF(Trabajadores!A10="","",Trabajadores!A10)</f>
        <v/>
      </c>
      <c r="B12" s="23" t="str">
        <f>IF(A12="","",Trabajadores!B10)</f>
        <v/>
      </c>
      <c r="C12" s="24" t="str">
        <f>IF(A12="","",Trabajadores!G10)</f>
        <v/>
      </c>
      <c r="D12" s="19" t="str">
        <f>IF($A12="","",SUMIFS('Registro de turnos'!$L$5:$L$504,'Registro de turnos'!$B$5:$B$504,$A12,'Registro de turnos'!$A$5:$A$504,"&gt;="&amp;$B$3,'Registro de turnos'!$A$5:$A$504,"&lt;="&amp;$B$4))</f>
        <v/>
      </c>
      <c r="E12" s="19" t="str">
        <f>IF($A12="","",SUMIFS('Registro de turnos'!$M$5:$M$504,'Registro de turnos'!$B$5:$B$504,$A12,'Registro de turnos'!$A$5:$A$504,"&gt;="&amp;$B$3,'Registro de turnos'!$A$5:$A$504,"&lt;="&amp;$B$4))</f>
        <v/>
      </c>
      <c r="F12" s="19" t="str">
        <f>IF($A12="","",SUMIFS('Registro de turnos'!$N$5:$N$504,'Registro de turnos'!$B$5:$B$504,$A12,'Registro de turnos'!$A$5:$A$504,"&gt;="&amp;$B$3,'Registro de turnos'!$A$5:$A$504,"&lt;="&amp;$B$4))</f>
        <v/>
      </c>
      <c r="G12" s="19" t="str">
        <f>IF($A12="","",SUMIFS('Registro de turnos'!$O$5:$O$504,'Registro de turnos'!$B$5:$B$504,$A12,'Registro de turnos'!$A$5:$A$504,"&gt;="&amp;$B$3,'Registro de turnos'!$A$5:$A$504,"&lt;="&amp;$B$4))</f>
        <v/>
      </c>
      <c r="H12" s="19" t="str">
        <f>IF($A12="","",SUMIFS('Registro de turnos'!$P$5:$P$504,'Registro de turnos'!$B$5:$B$504,$A12,'Registro de turnos'!$A$5:$A$504,"&gt;="&amp;$B$3,'Registro de turnos'!$A$5:$A$504,"&lt;="&amp;$B$4))</f>
        <v/>
      </c>
      <c r="I12" s="19" t="str">
        <f>IF($A12="","",SUMIFS('Registro de turnos'!$Q$5:$Q$504,'Registro de turnos'!$B$5:$B$504,$A12,'Registro de turnos'!$A$5:$A$504,"&gt;="&amp;$B$3,'Registro de turnos'!$A$5:$A$504,"&lt;="&amp;$B$4))</f>
        <v/>
      </c>
      <c r="J12" s="19" t="str">
        <f>IF($A12="","",SUMIFS('Registro de turnos'!$R$5:$R$504,'Registro de turnos'!$B$5:$B$504,$A12,'Registro de turnos'!$A$5:$A$504,"&gt;="&amp;$B$3,'Registro de turnos'!$A$5:$A$504,"&lt;="&amp;$B$4))</f>
        <v/>
      </c>
      <c r="K12" s="19" t="str">
        <f t="shared" si="0"/>
        <v/>
      </c>
      <c r="L12" s="17" t="str">
        <f>IF($A12="","",SUMIFS('Registro de turnos'!$T$5:$T$504,'Registro de turnos'!$B$5:$B$504,$A12,'Registro de turnos'!$A$5:$A$504,"&gt;="&amp;$B$3,'Registro de turnos'!$A$5:$A$504,"&lt;="&amp;$B$4))</f>
        <v/>
      </c>
      <c r="M12" s="17" t="str">
        <f t="shared" si="1"/>
        <v/>
      </c>
      <c r="N12" s="17" t="str">
        <f t="shared" si="2"/>
        <v/>
      </c>
      <c r="O12" s="17" t="str">
        <f t="shared" si="3"/>
        <v/>
      </c>
      <c r="P12" s="17" t="str">
        <f>IF($A12="","",ROUND(C12*D12*Parámetros!$B$8*0.0417,0))</f>
        <v/>
      </c>
      <c r="Q12" s="17" t="str">
        <f t="shared" si="4"/>
        <v/>
      </c>
      <c r="R12" s="17" t="str">
        <f t="shared" si="5"/>
        <v/>
      </c>
    </row>
    <row r="13" spans="1:18" x14ac:dyDescent="0.25">
      <c r="A13" s="22" t="str">
        <f>IF(Trabajadores!A11="","",Trabajadores!A11)</f>
        <v/>
      </c>
      <c r="B13" s="23" t="str">
        <f>IF(A13="","",Trabajadores!B11)</f>
        <v/>
      </c>
      <c r="C13" s="24" t="str">
        <f>IF(A13="","",Trabajadores!G11)</f>
        <v/>
      </c>
      <c r="D13" s="19" t="str">
        <f>IF($A13="","",SUMIFS('Registro de turnos'!$L$5:$L$504,'Registro de turnos'!$B$5:$B$504,$A13,'Registro de turnos'!$A$5:$A$504,"&gt;="&amp;$B$3,'Registro de turnos'!$A$5:$A$504,"&lt;="&amp;$B$4))</f>
        <v/>
      </c>
      <c r="E13" s="19" t="str">
        <f>IF($A13="","",SUMIFS('Registro de turnos'!$M$5:$M$504,'Registro de turnos'!$B$5:$B$504,$A13,'Registro de turnos'!$A$5:$A$504,"&gt;="&amp;$B$3,'Registro de turnos'!$A$5:$A$504,"&lt;="&amp;$B$4))</f>
        <v/>
      </c>
      <c r="F13" s="19" t="str">
        <f>IF($A13="","",SUMIFS('Registro de turnos'!$N$5:$N$504,'Registro de turnos'!$B$5:$B$504,$A13,'Registro de turnos'!$A$5:$A$504,"&gt;="&amp;$B$3,'Registro de turnos'!$A$5:$A$504,"&lt;="&amp;$B$4))</f>
        <v/>
      </c>
      <c r="G13" s="19" t="str">
        <f>IF($A13="","",SUMIFS('Registro de turnos'!$O$5:$O$504,'Registro de turnos'!$B$5:$B$504,$A13,'Registro de turnos'!$A$5:$A$504,"&gt;="&amp;$B$3,'Registro de turnos'!$A$5:$A$504,"&lt;="&amp;$B$4))</f>
        <v/>
      </c>
      <c r="H13" s="19" t="str">
        <f>IF($A13="","",SUMIFS('Registro de turnos'!$P$5:$P$504,'Registro de turnos'!$B$5:$B$504,$A13,'Registro de turnos'!$A$5:$A$504,"&gt;="&amp;$B$3,'Registro de turnos'!$A$5:$A$504,"&lt;="&amp;$B$4))</f>
        <v/>
      </c>
      <c r="I13" s="19" t="str">
        <f>IF($A13="","",SUMIFS('Registro de turnos'!$Q$5:$Q$504,'Registro de turnos'!$B$5:$B$504,$A13,'Registro de turnos'!$A$5:$A$504,"&gt;="&amp;$B$3,'Registro de turnos'!$A$5:$A$504,"&lt;="&amp;$B$4))</f>
        <v/>
      </c>
      <c r="J13" s="19" t="str">
        <f>IF($A13="","",SUMIFS('Registro de turnos'!$R$5:$R$504,'Registro de turnos'!$B$5:$B$504,$A13,'Registro de turnos'!$A$5:$A$504,"&gt;="&amp;$B$3,'Registro de turnos'!$A$5:$A$504,"&lt;="&amp;$B$4))</f>
        <v/>
      </c>
      <c r="K13" s="19" t="str">
        <f t="shared" si="0"/>
        <v/>
      </c>
      <c r="L13" s="17" t="str">
        <f>IF($A13="","",SUMIFS('Registro de turnos'!$T$5:$T$504,'Registro de turnos'!$B$5:$B$504,$A13,'Registro de turnos'!$A$5:$A$504,"&gt;="&amp;$B$3,'Registro de turnos'!$A$5:$A$504,"&lt;="&amp;$B$4))</f>
        <v/>
      </c>
      <c r="M13" s="17" t="str">
        <f t="shared" si="1"/>
        <v/>
      </c>
      <c r="N13" s="17" t="str">
        <f t="shared" si="2"/>
        <v/>
      </c>
      <c r="O13" s="17" t="str">
        <f t="shared" si="3"/>
        <v/>
      </c>
      <c r="P13" s="17" t="str">
        <f>IF($A13="","",ROUND(C13*D13*Parámetros!$B$8*0.0417,0))</f>
        <v/>
      </c>
      <c r="Q13" s="17" t="str">
        <f t="shared" si="4"/>
        <v/>
      </c>
      <c r="R13" s="17" t="str">
        <f t="shared" si="5"/>
        <v/>
      </c>
    </row>
    <row r="14" spans="1:18" x14ac:dyDescent="0.25">
      <c r="A14" s="22" t="str">
        <f>IF(Trabajadores!A12="","",Trabajadores!A12)</f>
        <v/>
      </c>
      <c r="B14" s="23" t="str">
        <f>IF(A14="","",Trabajadores!B12)</f>
        <v/>
      </c>
      <c r="C14" s="24" t="str">
        <f>IF(A14="","",Trabajadores!G12)</f>
        <v/>
      </c>
      <c r="D14" s="19" t="str">
        <f>IF($A14="","",SUMIFS('Registro de turnos'!$L$5:$L$504,'Registro de turnos'!$B$5:$B$504,$A14,'Registro de turnos'!$A$5:$A$504,"&gt;="&amp;$B$3,'Registro de turnos'!$A$5:$A$504,"&lt;="&amp;$B$4))</f>
        <v/>
      </c>
      <c r="E14" s="19" t="str">
        <f>IF($A14="","",SUMIFS('Registro de turnos'!$M$5:$M$504,'Registro de turnos'!$B$5:$B$504,$A14,'Registro de turnos'!$A$5:$A$504,"&gt;="&amp;$B$3,'Registro de turnos'!$A$5:$A$504,"&lt;="&amp;$B$4))</f>
        <v/>
      </c>
      <c r="F14" s="19" t="str">
        <f>IF($A14="","",SUMIFS('Registro de turnos'!$N$5:$N$504,'Registro de turnos'!$B$5:$B$504,$A14,'Registro de turnos'!$A$5:$A$504,"&gt;="&amp;$B$3,'Registro de turnos'!$A$5:$A$504,"&lt;="&amp;$B$4))</f>
        <v/>
      </c>
      <c r="G14" s="19" t="str">
        <f>IF($A14="","",SUMIFS('Registro de turnos'!$O$5:$O$504,'Registro de turnos'!$B$5:$B$504,$A14,'Registro de turnos'!$A$5:$A$504,"&gt;="&amp;$B$3,'Registro de turnos'!$A$5:$A$504,"&lt;="&amp;$B$4))</f>
        <v/>
      </c>
      <c r="H14" s="19" t="str">
        <f>IF($A14="","",SUMIFS('Registro de turnos'!$P$5:$P$504,'Registro de turnos'!$B$5:$B$504,$A14,'Registro de turnos'!$A$5:$A$504,"&gt;="&amp;$B$3,'Registro de turnos'!$A$5:$A$504,"&lt;="&amp;$B$4))</f>
        <v/>
      </c>
      <c r="I14" s="19" t="str">
        <f>IF($A14="","",SUMIFS('Registro de turnos'!$Q$5:$Q$504,'Registro de turnos'!$B$5:$B$504,$A14,'Registro de turnos'!$A$5:$A$504,"&gt;="&amp;$B$3,'Registro de turnos'!$A$5:$A$504,"&lt;="&amp;$B$4))</f>
        <v/>
      </c>
      <c r="J14" s="19" t="str">
        <f>IF($A14="","",SUMIFS('Registro de turnos'!$R$5:$R$504,'Registro de turnos'!$B$5:$B$504,$A14,'Registro de turnos'!$A$5:$A$504,"&gt;="&amp;$B$3,'Registro de turnos'!$A$5:$A$504,"&lt;="&amp;$B$4))</f>
        <v/>
      </c>
      <c r="K14" s="19" t="str">
        <f t="shared" si="0"/>
        <v/>
      </c>
      <c r="L14" s="17" t="str">
        <f>IF($A14="","",SUMIFS('Registro de turnos'!$T$5:$T$504,'Registro de turnos'!$B$5:$B$504,$A14,'Registro de turnos'!$A$5:$A$504,"&gt;="&amp;$B$3,'Registro de turnos'!$A$5:$A$504,"&lt;="&amp;$B$4))</f>
        <v/>
      </c>
      <c r="M14" s="17" t="str">
        <f t="shared" si="1"/>
        <v/>
      </c>
      <c r="N14" s="17" t="str">
        <f t="shared" si="2"/>
        <v/>
      </c>
      <c r="O14" s="17" t="str">
        <f t="shared" si="3"/>
        <v/>
      </c>
      <c r="P14" s="17" t="str">
        <f>IF($A14="","",ROUND(C14*D14*Parámetros!$B$8*0.0417,0))</f>
        <v/>
      </c>
      <c r="Q14" s="17" t="str">
        <f t="shared" si="4"/>
        <v/>
      </c>
      <c r="R14" s="17" t="str">
        <f t="shared" si="5"/>
        <v/>
      </c>
    </row>
    <row r="15" spans="1:18" x14ac:dyDescent="0.25">
      <c r="A15" s="22" t="str">
        <f>IF(Trabajadores!A13="","",Trabajadores!A13)</f>
        <v/>
      </c>
      <c r="B15" s="23" t="str">
        <f>IF(A15="","",Trabajadores!B13)</f>
        <v/>
      </c>
      <c r="C15" s="24" t="str">
        <f>IF(A15="","",Trabajadores!G13)</f>
        <v/>
      </c>
      <c r="D15" s="19" t="str">
        <f>IF($A15="","",SUMIFS('Registro de turnos'!$L$5:$L$504,'Registro de turnos'!$B$5:$B$504,$A15,'Registro de turnos'!$A$5:$A$504,"&gt;="&amp;$B$3,'Registro de turnos'!$A$5:$A$504,"&lt;="&amp;$B$4))</f>
        <v/>
      </c>
      <c r="E15" s="19" t="str">
        <f>IF($A15="","",SUMIFS('Registro de turnos'!$M$5:$M$504,'Registro de turnos'!$B$5:$B$504,$A15,'Registro de turnos'!$A$5:$A$504,"&gt;="&amp;$B$3,'Registro de turnos'!$A$5:$A$504,"&lt;="&amp;$B$4))</f>
        <v/>
      </c>
      <c r="F15" s="19" t="str">
        <f>IF($A15="","",SUMIFS('Registro de turnos'!$N$5:$N$504,'Registro de turnos'!$B$5:$B$504,$A15,'Registro de turnos'!$A$5:$A$504,"&gt;="&amp;$B$3,'Registro de turnos'!$A$5:$A$504,"&lt;="&amp;$B$4))</f>
        <v/>
      </c>
      <c r="G15" s="19" t="str">
        <f>IF($A15="","",SUMIFS('Registro de turnos'!$O$5:$O$504,'Registro de turnos'!$B$5:$B$504,$A15,'Registro de turnos'!$A$5:$A$504,"&gt;="&amp;$B$3,'Registro de turnos'!$A$5:$A$504,"&lt;="&amp;$B$4))</f>
        <v/>
      </c>
      <c r="H15" s="19" t="str">
        <f>IF($A15="","",SUMIFS('Registro de turnos'!$P$5:$P$504,'Registro de turnos'!$B$5:$B$504,$A15,'Registro de turnos'!$A$5:$A$504,"&gt;="&amp;$B$3,'Registro de turnos'!$A$5:$A$504,"&lt;="&amp;$B$4))</f>
        <v/>
      </c>
      <c r="I15" s="19" t="str">
        <f>IF($A15="","",SUMIFS('Registro de turnos'!$Q$5:$Q$504,'Registro de turnos'!$B$5:$B$504,$A15,'Registro de turnos'!$A$5:$A$504,"&gt;="&amp;$B$3,'Registro de turnos'!$A$5:$A$504,"&lt;="&amp;$B$4))</f>
        <v/>
      </c>
      <c r="J15" s="19" t="str">
        <f>IF($A15="","",SUMIFS('Registro de turnos'!$R$5:$R$504,'Registro de turnos'!$B$5:$B$504,$A15,'Registro de turnos'!$A$5:$A$504,"&gt;="&amp;$B$3,'Registro de turnos'!$A$5:$A$504,"&lt;="&amp;$B$4))</f>
        <v/>
      </c>
      <c r="K15" s="19" t="str">
        <f t="shared" si="0"/>
        <v/>
      </c>
      <c r="L15" s="17" t="str">
        <f>IF($A15="","",SUMIFS('Registro de turnos'!$T$5:$T$504,'Registro de turnos'!$B$5:$B$504,$A15,'Registro de turnos'!$A$5:$A$504,"&gt;="&amp;$B$3,'Registro de turnos'!$A$5:$A$504,"&lt;="&amp;$B$4))</f>
        <v/>
      </c>
      <c r="M15" s="17" t="str">
        <f t="shared" si="1"/>
        <v/>
      </c>
      <c r="N15" s="17" t="str">
        <f t="shared" si="2"/>
        <v/>
      </c>
      <c r="O15" s="17" t="str">
        <f t="shared" si="3"/>
        <v/>
      </c>
      <c r="P15" s="17" t="str">
        <f>IF($A15="","",ROUND(C15*D15*Parámetros!$B$8*0.0417,0))</f>
        <v/>
      </c>
      <c r="Q15" s="17" t="str">
        <f t="shared" si="4"/>
        <v/>
      </c>
      <c r="R15" s="17" t="str">
        <f t="shared" si="5"/>
        <v/>
      </c>
    </row>
    <row r="16" spans="1:18" x14ac:dyDescent="0.25">
      <c r="A16" s="22" t="str">
        <f>IF(Trabajadores!A14="","",Trabajadores!A14)</f>
        <v/>
      </c>
      <c r="B16" s="23" t="str">
        <f>IF(A16="","",Trabajadores!B14)</f>
        <v/>
      </c>
      <c r="C16" s="24" t="str">
        <f>IF(A16="","",Trabajadores!G14)</f>
        <v/>
      </c>
      <c r="D16" s="19" t="str">
        <f>IF($A16="","",SUMIFS('Registro de turnos'!$L$5:$L$504,'Registro de turnos'!$B$5:$B$504,$A16,'Registro de turnos'!$A$5:$A$504,"&gt;="&amp;$B$3,'Registro de turnos'!$A$5:$A$504,"&lt;="&amp;$B$4))</f>
        <v/>
      </c>
      <c r="E16" s="19" t="str">
        <f>IF($A16="","",SUMIFS('Registro de turnos'!$M$5:$M$504,'Registro de turnos'!$B$5:$B$504,$A16,'Registro de turnos'!$A$5:$A$504,"&gt;="&amp;$B$3,'Registro de turnos'!$A$5:$A$504,"&lt;="&amp;$B$4))</f>
        <v/>
      </c>
      <c r="F16" s="19" t="str">
        <f>IF($A16="","",SUMIFS('Registro de turnos'!$N$5:$N$504,'Registro de turnos'!$B$5:$B$504,$A16,'Registro de turnos'!$A$5:$A$504,"&gt;="&amp;$B$3,'Registro de turnos'!$A$5:$A$504,"&lt;="&amp;$B$4))</f>
        <v/>
      </c>
      <c r="G16" s="19" t="str">
        <f>IF($A16="","",SUMIFS('Registro de turnos'!$O$5:$O$504,'Registro de turnos'!$B$5:$B$504,$A16,'Registro de turnos'!$A$5:$A$504,"&gt;="&amp;$B$3,'Registro de turnos'!$A$5:$A$504,"&lt;="&amp;$B$4))</f>
        <v/>
      </c>
      <c r="H16" s="19" t="str">
        <f>IF($A16="","",SUMIFS('Registro de turnos'!$P$5:$P$504,'Registro de turnos'!$B$5:$B$504,$A16,'Registro de turnos'!$A$5:$A$504,"&gt;="&amp;$B$3,'Registro de turnos'!$A$5:$A$504,"&lt;="&amp;$B$4))</f>
        <v/>
      </c>
      <c r="I16" s="19" t="str">
        <f>IF($A16="","",SUMIFS('Registro de turnos'!$Q$5:$Q$504,'Registro de turnos'!$B$5:$B$504,$A16,'Registro de turnos'!$A$5:$A$504,"&gt;="&amp;$B$3,'Registro de turnos'!$A$5:$A$504,"&lt;="&amp;$B$4))</f>
        <v/>
      </c>
      <c r="J16" s="19" t="str">
        <f>IF($A16="","",SUMIFS('Registro de turnos'!$R$5:$R$504,'Registro de turnos'!$B$5:$B$504,$A16,'Registro de turnos'!$A$5:$A$504,"&gt;="&amp;$B$3,'Registro de turnos'!$A$5:$A$504,"&lt;="&amp;$B$4))</f>
        <v/>
      </c>
      <c r="K16" s="19" t="str">
        <f t="shared" si="0"/>
        <v/>
      </c>
      <c r="L16" s="17" t="str">
        <f>IF($A16="","",SUMIFS('Registro de turnos'!$T$5:$T$504,'Registro de turnos'!$B$5:$B$504,$A16,'Registro de turnos'!$A$5:$A$504,"&gt;="&amp;$B$3,'Registro de turnos'!$A$5:$A$504,"&lt;="&amp;$B$4))</f>
        <v/>
      </c>
      <c r="M16" s="17" t="str">
        <f t="shared" si="1"/>
        <v/>
      </c>
      <c r="N16" s="17" t="str">
        <f t="shared" si="2"/>
        <v/>
      </c>
      <c r="O16" s="17" t="str">
        <f t="shared" si="3"/>
        <v/>
      </c>
      <c r="P16" s="17" t="str">
        <f>IF($A16="","",ROUND(C16*D16*Parámetros!$B$8*0.0417,0))</f>
        <v/>
      </c>
      <c r="Q16" s="17" t="str">
        <f t="shared" si="4"/>
        <v/>
      </c>
      <c r="R16" s="17" t="str">
        <f t="shared" si="5"/>
        <v/>
      </c>
    </row>
    <row r="17" spans="1:18" x14ac:dyDescent="0.25">
      <c r="A17" s="22" t="str">
        <f>IF(Trabajadores!A15="","",Trabajadores!A15)</f>
        <v/>
      </c>
      <c r="B17" s="23" t="str">
        <f>IF(A17="","",Trabajadores!B15)</f>
        <v/>
      </c>
      <c r="C17" s="24" t="str">
        <f>IF(A17="","",Trabajadores!G15)</f>
        <v/>
      </c>
      <c r="D17" s="19" t="str">
        <f>IF($A17="","",SUMIFS('Registro de turnos'!$L$5:$L$504,'Registro de turnos'!$B$5:$B$504,$A17,'Registro de turnos'!$A$5:$A$504,"&gt;="&amp;$B$3,'Registro de turnos'!$A$5:$A$504,"&lt;="&amp;$B$4))</f>
        <v/>
      </c>
      <c r="E17" s="19" t="str">
        <f>IF($A17="","",SUMIFS('Registro de turnos'!$M$5:$M$504,'Registro de turnos'!$B$5:$B$504,$A17,'Registro de turnos'!$A$5:$A$504,"&gt;="&amp;$B$3,'Registro de turnos'!$A$5:$A$504,"&lt;="&amp;$B$4))</f>
        <v/>
      </c>
      <c r="F17" s="19" t="str">
        <f>IF($A17="","",SUMIFS('Registro de turnos'!$N$5:$N$504,'Registro de turnos'!$B$5:$B$504,$A17,'Registro de turnos'!$A$5:$A$504,"&gt;="&amp;$B$3,'Registro de turnos'!$A$5:$A$504,"&lt;="&amp;$B$4))</f>
        <v/>
      </c>
      <c r="G17" s="19" t="str">
        <f>IF($A17="","",SUMIFS('Registro de turnos'!$O$5:$O$504,'Registro de turnos'!$B$5:$B$504,$A17,'Registro de turnos'!$A$5:$A$504,"&gt;="&amp;$B$3,'Registro de turnos'!$A$5:$A$504,"&lt;="&amp;$B$4))</f>
        <v/>
      </c>
      <c r="H17" s="19" t="str">
        <f>IF($A17="","",SUMIFS('Registro de turnos'!$P$5:$P$504,'Registro de turnos'!$B$5:$B$504,$A17,'Registro de turnos'!$A$5:$A$504,"&gt;="&amp;$B$3,'Registro de turnos'!$A$5:$A$504,"&lt;="&amp;$B$4))</f>
        <v/>
      </c>
      <c r="I17" s="19" t="str">
        <f>IF($A17="","",SUMIFS('Registro de turnos'!$Q$5:$Q$504,'Registro de turnos'!$B$5:$B$504,$A17,'Registro de turnos'!$A$5:$A$504,"&gt;="&amp;$B$3,'Registro de turnos'!$A$5:$A$504,"&lt;="&amp;$B$4))</f>
        <v/>
      </c>
      <c r="J17" s="19" t="str">
        <f>IF($A17="","",SUMIFS('Registro de turnos'!$R$5:$R$504,'Registro de turnos'!$B$5:$B$504,$A17,'Registro de turnos'!$A$5:$A$504,"&gt;="&amp;$B$3,'Registro de turnos'!$A$5:$A$504,"&lt;="&amp;$B$4))</f>
        <v/>
      </c>
      <c r="K17" s="19" t="str">
        <f t="shared" si="0"/>
        <v/>
      </c>
      <c r="L17" s="17" t="str">
        <f>IF($A17="","",SUMIFS('Registro de turnos'!$T$5:$T$504,'Registro de turnos'!$B$5:$B$504,$A17,'Registro de turnos'!$A$5:$A$504,"&gt;="&amp;$B$3,'Registro de turnos'!$A$5:$A$504,"&lt;="&amp;$B$4))</f>
        <v/>
      </c>
      <c r="M17" s="17" t="str">
        <f t="shared" si="1"/>
        <v/>
      </c>
      <c r="N17" s="17" t="str">
        <f t="shared" si="2"/>
        <v/>
      </c>
      <c r="O17" s="17" t="str">
        <f t="shared" si="3"/>
        <v/>
      </c>
      <c r="P17" s="17" t="str">
        <f>IF($A17="","",ROUND(C17*D17*Parámetros!$B$8*0.0417,0))</f>
        <v/>
      </c>
      <c r="Q17" s="17" t="str">
        <f t="shared" si="4"/>
        <v/>
      </c>
      <c r="R17" s="17" t="str">
        <f t="shared" si="5"/>
        <v/>
      </c>
    </row>
    <row r="18" spans="1:18" x14ac:dyDescent="0.25">
      <c r="A18" s="22" t="str">
        <f>IF(Trabajadores!A16="","",Trabajadores!A16)</f>
        <v/>
      </c>
      <c r="B18" s="23" t="str">
        <f>IF(A18="","",Trabajadores!B16)</f>
        <v/>
      </c>
      <c r="C18" s="24" t="str">
        <f>IF(A18="","",Trabajadores!G16)</f>
        <v/>
      </c>
      <c r="D18" s="19" t="str">
        <f>IF($A18="","",SUMIFS('Registro de turnos'!$L$5:$L$504,'Registro de turnos'!$B$5:$B$504,$A18,'Registro de turnos'!$A$5:$A$504,"&gt;="&amp;$B$3,'Registro de turnos'!$A$5:$A$504,"&lt;="&amp;$B$4))</f>
        <v/>
      </c>
      <c r="E18" s="19" t="str">
        <f>IF($A18="","",SUMIFS('Registro de turnos'!$M$5:$M$504,'Registro de turnos'!$B$5:$B$504,$A18,'Registro de turnos'!$A$5:$A$504,"&gt;="&amp;$B$3,'Registro de turnos'!$A$5:$A$504,"&lt;="&amp;$B$4))</f>
        <v/>
      </c>
      <c r="F18" s="19" t="str">
        <f>IF($A18="","",SUMIFS('Registro de turnos'!$N$5:$N$504,'Registro de turnos'!$B$5:$B$504,$A18,'Registro de turnos'!$A$5:$A$504,"&gt;="&amp;$B$3,'Registro de turnos'!$A$5:$A$504,"&lt;="&amp;$B$4))</f>
        <v/>
      </c>
      <c r="G18" s="19" t="str">
        <f>IF($A18="","",SUMIFS('Registro de turnos'!$O$5:$O$504,'Registro de turnos'!$B$5:$B$504,$A18,'Registro de turnos'!$A$5:$A$504,"&gt;="&amp;$B$3,'Registro de turnos'!$A$5:$A$504,"&lt;="&amp;$B$4))</f>
        <v/>
      </c>
      <c r="H18" s="19" t="str">
        <f>IF($A18="","",SUMIFS('Registro de turnos'!$P$5:$P$504,'Registro de turnos'!$B$5:$B$504,$A18,'Registro de turnos'!$A$5:$A$504,"&gt;="&amp;$B$3,'Registro de turnos'!$A$5:$A$504,"&lt;="&amp;$B$4))</f>
        <v/>
      </c>
      <c r="I18" s="19" t="str">
        <f>IF($A18="","",SUMIFS('Registro de turnos'!$Q$5:$Q$504,'Registro de turnos'!$B$5:$B$504,$A18,'Registro de turnos'!$A$5:$A$504,"&gt;="&amp;$B$3,'Registro de turnos'!$A$5:$A$504,"&lt;="&amp;$B$4))</f>
        <v/>
      </c>
      <c r="J18" s="19" t="str">
        <f>IF($A18="","",SUMIFS('Registro de turnos'!$R$5:$R$504,'Registro de turnos'!$B$5:$B$504,$A18,'Registro de turnos'!$A$5:$A$504,"&gt;="&amp;$B$3,'Registro de turnos'!$A$5:$A$504,"&lt;="&amp;$B$4))</f>
        <v/>
      </c>
      <c r="K18" s="19" t="str">
        <f t="shared" si="0"/>
        <v/>
      </c>
      <c r="L18" s="17" t="str">
        <f>IF($A18="","",SUMIFS('Registro de turnos'!$T$5:$T$504,'Registro de turnos'!$B$5:$B$504,$A18,'Registro de turnos'!$A$5:$A$504,"&gt;="&amp;$B$3,'Registro de turnos'!$A$5:$A$504,"&lt;="&amp;$B$4))</f>
        <v/>
      </c>
      <c r="M18" s="17" t="str">
        <f t="shared" si="1"/>
        <v/>
      </c>
      <c r="N18" s="17" t="str">
        <f t="shared" si="2"/>
        <v/>
      </c>
      <c r="O18" s="17" t="str">
        <f t="shared" si="3"/>
        <v/>
      </c>
      <c r="P18" s="17" t="str">
        <f>IF($A18="","",ROUND(C18*D18*Parámetros!$B$8*0.0417,0))</f>
        <v/>
      </c>
      <c r="Q18" s="17" t="str">
        <f t="shared" si="4"/>
        <v/>
      </c>
      <c r="R18" s="17" t="str">
        <f t="shared" si="5"/>
        <v/>
      </c>
    </row>
    <row r="19" spans="1:18" x14ac:dyDescent="0.25">
      <c r="A19" s="22" t="str">
        <f>IF(Trabajadores!A17="","",Trabajadores!A17)</f>
        <v/>
      </c>
      <c r="B19" s="23" t="str">
        <f>IF(A19="","",Trabajadores!B17)</f>
        <v/>
      </c>
      <c r="C19" s="24" t="str">
        <f>IF(A19="","",Trabajadores!G17)</f>
        <v/>
      </c>
      <c r="D19" s="19" t="str">
        <f>IF($A19="","",SUMIFS('Registro de turnos'!$L$5:$L$504,'Registro de turnos'!$B$5:$B$504,$A19,'Registro de turnos'!$A$5:$A$504,"&gt;="&amp;$B$3,'Registro de turnos'!$A$5:$A$504,"&lt;="&amp;$B$4))</f>
        <v/>
      </c>
      <c r="E19" s="19" t="str">
        <f>IF($A19="","",SUMIFS('Registro de turnos'!$M$5:$M$504,'Registro de turnos'!$B$5:$B$504,$A19,'Registro de turnos'!$A$5:$A$504,"&gt;="&amp;$B$3,'Registro de turnos'!$A$5:$A$504,"&lt;="&amp;$B$4))</f>
        <v/>
      </c>
      <c r="F19" s="19" t="str">
        <f>IF($A19="","",SUMIFS('Registro de turnos'!$N$5:$N$504,'Registro de turnos'!$B$5:$B$504,$A19,'Registro de turnos'!$A$5:$A$504,"&gt;="&amp;$B$3,'Registro de turnos'!$A$5:$A$504,"&lt;="&amp;$B$4))</f>
        <v/>
      </c>
      <c r="G19" s="19" t="str">
        <f>IF($A19="","",SUMIFS('Registro de turnos'!$O$5:$O$504,'Registro de turnos'!$B$5:$B$504,$A19,'Registro de turnos'!$A$5:$A$504,"&gt;="&amp;$B$3,'Registro de turnos'!$A$5:$A$504,"&lt;="&amp;$B$4))</f>
        <v/>
      </c>
      <c r="H19" s="19" t="str">
        <f>IF($A19="","",SUMIFS('Registro de turnos'!$P$5:$P$504,'Registro de turnos'!$B$5:$B$504,$A19,'Registro de turnos'!$A$5:$A$504,"&gt;="&amp;$B$3,'Registro de turnos'!$A$5:$A$504,"&lt;="&amp;$B$4))</f>
        <v/>
      </c>
      <c r="I19" s="19" t="str">
        <f>IF($A19="","",SUMIFS('Registro de turnos'!$Q$5:$Q$504,'Registro de turnos'!$B$5:$B$504,$A19,'Registro de turnos'!$A$5:$A$504,"&gt;="&amp;$B$3,'Registro de turnos'!$A$5:$A$504,"&lt;="&amp;$B$4))</f>
        <v/>
      </c>
      <c r="J19" s="19" t="str">
        <f>IF($A19="","",SUMIFS('Registro de turnos'!$R$5:$R$504,'Registro de turnos'!$B$5:$B$504,$A19,'Registro de turnos'!$A$5:$A$504,"&gt;="&amp;$B$3,'Registro de turnos'!$A$5:$A$504,"&lt;="&amp;$B$4))</f>
        <v/>
      </c>
      <c r="K19" s="19" t="str">
        <f t="shared" si="0"/>
        <v/>
      </c>
      <c r="L19" s="17" t="str">
        <f>IF($A19="","",SUMIFS('Registro de turnos'!$T$5:$T$504,'Registro de turnos'!$B$5:$B$504,$A19,'Registro de turnos'!$A$5:$A$504,"&gt;="&amp;$B$3,'Registro de turnos'!$A$5:$A$504,"&lt;="&amp;$B$4))</f>
        <v/>
      </c>
      <c r="M19" s="17" t="str">
        <f t="shared" si="1"/>
        <v/>
      </c>
      <c r="N19" s="17" t="str">
        <f t="shared" si="2"/>
        <v/>
      </c>
      <c r="O19" s="17" t="str">
        <f t="shared" si="3"/>
        <v/>
      </c>
      <c r="P19" s="17" t="str">
        <f>IF($A19="","",ROUND(C19*D19*Parámetros!$B$8*0.0417,0))</f>
        <v/>
      </c>
      <c r="Q19" s="17" t="str">
        <f t="shared" si="4"/>
        <v/>
      </c>
      <c r="R19" s="17" t="str">
        <f t="shared" si="5"/>
        <v/>
      </c>
    </row>
    <row r="20" spans="1:18" x14ac:dyDescent="0.25">
      <c r="A20" s="22" t="str">
        <f>IF(Trabajadores!A18="","",Trabajadores!A18)</f>
        <v/>
      </c>
      <c r="B20" s="23" t="str">
        <f>IF(A20="","",Trabajadores!B18)</f>
        <v/>
      </c>
      <c r="C20" s="24" t="str">
        <f>IF(A20="","",Trabajadores!G18)</f>
        <v/>
      </c>
      <c r="D20" s="19" t="str">
        <f>IF($A20="","",SUMIFS('Registro de turnos'!$L$5:$L$504,'Registro de turnos'!$B$5:$B$504,$A20,'Registro de turnos'!$A$5:$A$504,"&gt;="&amp;$B$3,'Registro de turnos'!$A$5:$A$504,"&lt;="&amp;$B$4))</f>
        <v/>
      </c>
      <c r="E20" s="19" t="str">
        <f>IF($A20="","",SUMIFS('Registro de turnos'!$M$5:$M$504,'Registro de turnos'!$B$5:$B$504,$A20,'Registro de turnos'!$A$5:$A$504,"&gt;="&amp;$B$3,'Registro de turnos'!$A$5:$A$504,"&lt;="&amp;$B$4))</f>
        <v/>
      </c>
      <c r="F20" s="19" t="str">
        <f>IF($A20="","",SUMIFS('Registro de turnos'!$N$5:$N$504,'Registro de turnos'!$B$5:$B$504,$A20,'Registro de turnos'!$A$5:$A$504,"&gt;="&amp;$B$3,'Registro de turnos'!$A$5:$A$504,"&lt;="&amp;$B$4))</f>
        <v/>
      </c>
      <c r="G20" s="19" t="str">
        <f>IF($A20="","",SUMIFS('Registro de turnos'!$O$5:$O$504,'Registro de turnos'!$B$5:$B$504,$A20,'Registro de turnos'!$A$5:$A$504,"&gt;="&amp;$B$3,'Registro de turnos'!$A$5:$A$504,"&lt;="&amp;$B$4))</f>
        <v/>
      </c>
      <c r="H20" s="19" t="str">
        <f>IF($A20="","",SUMIFS('Registro de turnos'!$P$5:$P$504,'Registro de turnos'!$B$5:$B$504,$A20,'Registro de turnos'!$A$5:$A$504,"&gt;="&amp;$B$3,'Registro de turnos'!$A$5:$A$504,"&lt;="&amp;$B$4))</f>
        <v/>
      </c>
      <c r="I20" s="19" t="str">
        <f>IF($A20="","",SUMIFS('Registro de turnos'!$Q$5:$Q$504,'Registro de turnos'!$B$5:$B$504,$A20,'Registro de turnos'!$A$5:$A$504,"&gt;="&amp;$B$3,'Registro de turnos'!$A$5:$A$504,"&lt;="&amp;$B$4))</f>
        <v/>
      </c>
      <c r="J20" s="19" t="str">
        <f>IF($A20="","",SUMIFS('Registro de turnos'!$R$5:$R$504,'Registro de turnos'!$B$5:$B$504,$A20,'Registro de turnos'!$A$5:$A$504,"&gt;="&amp;$B$3,'Registro de turnos'!$A$5:$A$504,"&lt;="&amp;$B$4))</f>
        <v/>
      </c>
      <c r="K20" s="19" t="str">
        <f t="shared" si="0"/>
        <v/>
      </c>
      <c r="L20" s="17" t="str">
        <f>IF($A20="","",SUMIFS('Registro de turnos'!$T$5:$T$504,'Registro de turnos'!$B$5:$B$504,$A20,'Registro de turnos'!$A$5:$A$504,"&gt;="&amp;$B$3,'Registro de turnos'!$A$5:$A$504,"&lt;="&amp;$B$4))</f>
        <v/>
      </c>
      <c r="M20" s="17" t="str">
        <f t="shared" si="1"/>
        <v/>
      </c>
      <c r="N20" s="17" t="str">
        <f t="shared" si="2"/>
        <v/>
      </c>
      <c r="O20" s="17" t="str">
        <f t="shared" si="3"/>
        <v/>
      </c>
      <c r="P20" s="17" t="str">
        <f>IF($A20="","",ROUND(C20*D20*Parámetros!$B$8*0.0417,0))</f>
        <v/>
      </c>
      <c r="Q20" s="17" t="str">
        <f t="shared" si="4"/>
        <v/>
      </c>
      <c r="R20" s="17" t="str">
        <f t="shared" si="5"/>
        <v/>
      </c>
    </row>
    <row r="21" spans="1:18" x14ac:dyDescent="0.25">
      <c r="A21" s="22" t="str">
        <f>IF(Trabajadores!A19="","",Trabajadores!A19)</f>
        <v/>
      </c>
      <c r="B21" s="23" t="str">
        <f>IF(A21="","",Trabajadores!B19)</f>
        <v/>
      </c>
      <c r="C21" s="24" t="str">
        <f>IF(A21="","",Trabajadores!G19)</f>
        <v/>
      </c>
      <c r="D21" s="19" t="str">
        <f>IF($A21="","",SUMIFS('Registro de turnos'!$L$5:$L$504,'Registro de turnos'!$B$5:$B$504,$A21,'Registro de turnos'!$A$5:$A$504,"&gt;="&amp;$B$3,'Registro de turnos'!$A$5:$A$504,"&lt;="&amp;$B$4))</f>
        <v/>
      </c>
      <c r="E21" s="19" t="str">
        <f>IF($A21="","",SUMIFS('Registro de turnos'!$M$5:$M$504,'Registro de turnos'!$B$5:$B$504,$A21,'Registro de turnos'!$A$5:$A$504,"&gt;="&amp;$B$3,'Registro de turnos'!$A$5:$A$504,"&lt;="&amp;$B$4))</f>
        <v/>
      </c>
      <c r="F21" s="19" t="str">
        <f>IF($A21="","",SUMIFS('Registro de turnos'!$N$5:$N$504,'Registro de turnos'!$B$5:$B$504,$A21,'Registro de turnos'!$A$5:$A$504,"&gt;="&amp;$B$3,'Registro de turnos'!$A$5:$A$504,"&lt;="&amp;$B$4))</f>
        <v/>
      </c>
      <c r="G21" s="19" t="str">
        <f>IF($A21="","",SUMIFS('Registro de turnos'!$O$5:$O$504,'Registro de turnos'!$B$5:$B$504,$A21,'Registro de turnos'!$A$5:$A$504,"&gt;="&amp;$B$3,'Registro de turnos'!$A$5:$A$504,"&lt;="&amp;$B$4))</f>
        <v/>
      </c>
      <c r="H21" s="19" t="str">
        <f>IF($A21="","",SUMIFS('Registro de turnos'!$P$5:$P$504,'Registro de turnos'!$B$5:$B$504,$A21,'Registro de turnos'!$A$5:$A$504,"&gt;="&amp;$B$3,'Registro de turnos'!$A$5:$A$504,"&lt;="&amp;$B$4))</f>
        <v/>
      </c>
      <c r="I21" s="19" t="str">
        <f>IF($A21="","",SUMIFS('Registro de turnos'!$Q$5:$Q$504,'Registro de turnos'!$B$5:$B$504,$A21,'Registro de turnos'!$A$5:$A$504,"&gt;="&amp;$B$3,'Registro de turnos'!$A$5:$A$504,"&lt;="&amp;$B$4))</f>
        <v/>
      </c>
      <c r="J21" s="19" t="str">
        <f>IF($A21="","",SUMIFS('Registro de turnos'!$R$5:$R$504,'Registro de turnos'!$B$5:$B$504,$A21,'Registro de turnos'!$A$5:$A$504,"&gt;="&amp;$B$3,'Registro de turnos'!$A$5:$A$504,"&lt;="&amp;$B$4))</f>
        <v/>
      </c>
      <c r="K21" s="19" t="str">
        <f t="shared" si="0"/>
        <v/>
      </c>
      <c r="L21" s="17" t="str">
        <f>IF($A21="","",SUMIFS('Registro de turnos'!$T$5:$T$504,'Registro de turnos'!$B$5:$B$504,$A21,'Registro de turnos'!$A$5:$A$504,"&gt;="&amp;$B$3,'Registro de turnos'!$A$5:$A$504,"&lt;="&amp;$B$4))</f>
        <v/>
      </c>
      <c r="M21" s="17" t="str">
        <f t="shared" si="1"/>
        <v/>
      </c>
      <c r="N21" s="17" t="str">
        <f t="shared" si="2"/>
        <v/>
      </c>
      <c r="O21" s="17" t="str">
        <f t="shared" si="3"/>
        <v/>
      </c>
      <c r="P21" s="17" t="str">
        <f>IF($A21="","",ROUND(C21*D21*Parámetros!$B$8*0.0417,0))</f>
        <v/>
      </c>
      <c r="Q21" s="17" t="str">
        <f t="shared" si="4"/>
        <v/>
      </c>
      <c r="R21" s="17" t="str">
        <f t="shared" si="5"/>
        <v/>
      </c>
    </row>
    <row r="22" spans="1:18" x14ac:dyDescent="0.25">
      <c r="A22" s="22" t="str">
        <f>IF(Trabajadores!A20="","",Trabajadores!A20)</f>
        <v/>
      </c>
      <c r="B22" s="23" t="str">
        <f>IF(A22="","",Trabajadores!B20)</f>
        <v/>
      </c>
      <c r="C22" s="24" t="str">
        <f>IF(A22="","",Trabajadores!G20)</f>
        <v/>
      </c>
      <c r="D22" s="19" t="str">
        <f>IF($A22="","",SUMIFS('Registro de turnos'!$L$5:$L$504,'Registro de turnos'!$B$5:$B$504,$A22,'Registro de turnos'!$A$5:$A$504,"&gt;="&amp;$B$3,'Registro de turnos'!$A$5:$A$504,"&lt;="&amp;$B$4))</f>
        <v/>
      </c>
      <c r="E22" s="19" t="str">
        <f>IF($A22="","",SUMIFS('Registro de turnos'!$M$5:$M$504,'Registro de turnos'!$B$5:$B$504,$A22,'Registro de turnos'!$A$5:$A$504,"&gt;="&amp;$B$3,'Registro de turnos'!$A$5:$A$504,"&lt;="&amp;$B$4))</f>
        <v/>
      </c>
      <c r="F22" s="19" t="str">
        <f>IF($A22="","",SUMIFS('Registro de turnos'!$N$5:$N$504,'Registro de turnos'!$B$5:$B$504,$A22,'Registro de turnos'!$A$5:$A$504,"&gt;="&amp;$B$3,'Registro de turnos'!$A$5:$A$504,"&lt;="&amp;$B$4))</f>
        <v/>
      </c>
      <c r="G22" s="19" t="str">
        <f>IF($A22="","",SUMIFS('Registro de turnos'!$O$5:$O$504,'Registro de turnos'!$B$5:$B$504,$A22,'Registro de turnos'!$A$5:$A$504,"&gt;="&amp;$B$3,'Registro de turnos'!$A$5:$A$504,"&lt;="&amp;$B$4))</f>
        <v/>
      </c>
      <c r="H22" s="19" t="str">
        <f>IF($A22="","",SUMIFS('Registro de turnos'!$P$5:$P$504,'Registro de turnos'!$B$5:$B$504,$A22,'Registro de turnos'!$A$5:$A$504,"&gt;="&amp;$B$3,'Registro de turnos'!$A$5:$A$504,"&lt;="&amp;$B$4))</f>
        <v/>
      </c>
      <c r="I22" s="19" t="str">
        <f>IF($A22="","",SUMIFS('Registro de turnos'!$Q$5:$Q$504,'Registro de turnos'!$B$5:$B$504,$A22,'Registro de turnos'!$A$5:$A$504,"&gt;="&amp;$B$3,'Registro de turnos'!$A$5:$A$504,"&lt;="&amp;$B$4))</f>
        <v/>
      </c>
      <c r="J22" s="19" t="str">
        <f>IF($A22="","",SUMIFS('Registro de turnos'!$R$5:$R$504,'Registro de turnos'!$B$5:$B$504,$A22,'Registro de turnos'!$A$5:$A$504,"&gt;="&amp;$B$3,'Registro de turnos'!$A$5:$A$504,"&lt;="&amp;$B$4))</f>
        <v/>
      </c>
      <c r="K22" s="19" t="str">
        <f t="shared" si="0"/>
        <v/>
      </c>
      <c r="L22" s="17" t="str">
        <f>IF($A22="","",SUMIFS('Registro de turnos'!$T$5:$T$504,'Registro de turnos'!$B$5:$B$504,$A22,'Registro de turnos'!$A$5:$A$504,"&gt;="&amp;$B$3,'Registro de turnos'!$A$5:$A$504,"&lt;="&amp;$B$4))</f>
        <v/>
      </c>
      <c r="M22" s="17" t="str">
        <f t="shared" si="1"/>
        <v/>
      </c>
      <c r="N22" s="17" t="str">
        <f t="shared" si="2"/>
        <v/>
      </c>
      <c r="O22" s="17" t="str">
        <f t="shared" si="3"/>
        <v/>
      </c>
      <c r="P22" s="17" t="str">
        <f>IF($A22="","",ROUND(C22*D22*Parámetros!$B$8*0.0417,0))</f>
        <v/>
      </c>
      <c r="Q22" s="17" t="str">
        <f t="shared" si="4"/>
        <v/>
      </c>
      <c r="R22" s="17" t="str">
        <f t="shared" si="5"/>
        <v/>
      </c>
    </row>
    <row r="23" spans="1:18" x14ac:dyDescent="0.25">
      <c r="A23" s="22" t="str">
        <f>IF(Trabajadores!A21="","",Trabajadores!A21)</f>
        <v/>
      </c>
      <c r="B23" s="23" t="str">
        <f>IF(A23="","",Trabajadores!B21)</f>
        <v/>
      </c>
      <c r="C23" s="24" t="str">
        <f>IF(A23="","",Trabajadores!G21)</f>
        <v/>
      </c>
      <c r="D23" s="19" t="str">
        <f>IF($A23="","",SUMIFS('Registro de turnos'!$L$5:$L$504,'Registro de turnos'!$B$5:$B$504,$A23,'Registro de turnos'!$A$5:$A$504,"&gt;="&amp;$B$3,'Registro de turnos'!$A$5:$A$504,"&lt;="&amp;$B$4))</f>
        <v/>
      </c>
      <c r="E23" s="19" t="str">
        <f>IF($A23="","",SUMIFS('Registro de turnos'!$M$5:$M$504,'Registro de turnos'!$B$5:$B$504,$A23,'Registro de turnos'!$A$5:$A$504,"&gt;="&amp;$B$3,'Registro de turnos'!$A$5:$A$504,"&lt;="&amp;$B$4))</f>
        <v/>
      </c>
      <c r="F23" s="19" t="str">
        <f>IF($A23="","",SUMIFS('Registro de turnos'!$N$5:$N$504,'Registro de turnos'!$B$5:$B$504,$A23,'Registro de turnos'!$A$5:$A$504,"&gt;="&amp;$B$3,'Registro de turnos'!$A$5:$A$504,"&lt;="&amp;$B$4))</f>
        <v/>
      </c>
      <c r="G23" s="19" t="str">
        <f>IF($A23="","",SUMIFS('Registro de turnos'!$O$5:$O$504,'Registro de turnos'!$B$5:$B$504,$A23,'Registro de turnos'!$A$5:$A$504,"&gt;="&amp;$B$3,'Registro de turnos'!$A$5:$A$504,"&lt;="&amp;$B$4))</f>
        <v/>
      </c>
      <c r="H23" s="19" t="str">
        <f>IF($A23="","",SUMIFS('Registro de turnos'!$P$5:$P$504,'Registro de turnos'!$B$5:$B$504,$A23,'Registro de turnos'!$A$5:$A$504,"&gt;="&amp;$B$3,'Registro de turnos'!$A$5:$A$504,"&lt;="&amp;$B$4))</f>
        <v/>
      </c>
      <c r="I23" s="19" t="str">
        <f>IF($A23="","",SUMIFS('Registro de turnos'!$Q$5:$Q$504,'Registro de turnos'!$B$5:$B$504,$A23,'Registro de turnos'!$A$5:$A$504,"&gt;="&amp;$B$3,'Registro de turnos'!$A$5:$A$504,"&lt;="&amp;$B$4))</f>
        <v/>
      </c>
      <c r="J23" s="19" t="str">
        <f>IF($A23="","",SUMIFS('Registro de turnos'!$R$5:$R$504,'Registro de turnos'!$B$5:$B$504,$A23,'Registro de turnos'!$A$5:$A$504,"&gt;="&amp;$B$3,'Registro de turnos'!$A$5:$A$504,"&lt;="&amp;$B$4))</f>
        <v/>
      </c>
      <c r="K23" s="19" t="str">
        <f t="shared" si="0"/>
        <v/>
      </c>
      <c r="L23" s="17" t="str">
        <f>IF($A23="","",SUMIFS('Registro de turnos'!$T$5:$T$504,'Registro de turnos'!$B$5:$B$504,$A23,'Registro de turnos'!$A$5:$A$504,"&gt;="&amp;$B$3,'Registro de turnos'!$A$5:$A$504,"&lt;="&amp;$B$4))</f>
        <v/>
      </c>
      <c r="M23" s="17" t="str">
        <f t="shared" si="1"/>
        <v/>
      </c>
      <c r="N23" s="17" t="str">
        <f t="shared" si="2"/>
        <v/>
      </c>
      <c r="O23" s="17" t="str">
        <f t="shared" si="3"/>
        <v/>
      </c>
      <c r="P23" s="17" t="str">
        <f>IF($A23="","",ROUND(C23*D23*Parámetros!$B$8*0.0417,0))</f>
        <v/>
      </c>
      <c r="Q23" s="17" t="str">
        <f t="shared" si="4"/>
        <v/>
      </c>
      <c r="R23" s="17" t="str">
        <f t="shared" si="5"/>
        <v/>
      </c>
    </row>
    <row r="24" spans="1:18" x14ac:dyDescent="0.25">
      <c r="A24" s="22" t="str">
        <f>IF(Trabajadores!A22="","",Trabajadores!A22)</f>
        <v/>
      </c>
      <c r="B24" s="23" t="str">
        <f>IF(A24="","",Trabajadores!B22)</f>
        <v/>
      </c>
      <c r="C24" s="24" t="str">
        <f>IF(A24="","",Trabajadores!G22)</f>
        <v/>
      </c>
      <c r="D24" s="19" t="str">
        <f>IF($A24="","",SUMIFS('Registro de turnos'!$L$5:$L$504,'Registro de turnos'!$B$5:$B$504,$A24,'Registro de turnos'!$A$5:$A$504,"&gt;="&amp;$B$3,'Registro de turnos'!$A$5:$A$504,"&lt;="&amp;$B$4))</f>
        <v/>
      </c>
      <c r="E24" s="19" t="str">
        <f>IF($A24="","",SUMIFS('Registro de turnos'!$M$5:$M$504,'Registro de turnos'!$B$5:$B$504,$A24,'Registro de turnos'!$A$5:$A$504,"&gt;="&amp;$B$3,'Registro de turnos'!$A$5:$A$504,"&lt;="&amp;$B$4))</f>
        <v/>
      </c>
      <c r="F24" s="19" t="str">
        <f>IF($A24="","",SUMIFS('Registro de turnos'!$N$5:$N$504,'Registro de turnos'!$B$5:$B$504,$A24,'Registro de turnos'!$A$5:$A$504,"&gt;="&amp;$B$3,'Registro de turnos'!$A$5:$A$504,"&lt;="&amp;$B$4))</f>
        <v/>
      </c>
      <c r="G24" s="19" t="str">
        <f>IF($A24="","",SUMIFS('Registro de turnos'!$O$5:$O$504,'Registro de turnos'!$B$5:$B$504,$A24,'Registro de turnos'!$A$5:$A$504,"&gt;="&amp;$B$3,'Registro de turnos'!$A$5:$A$504,"&lt;="&amp;$B$4))</f>
        <v/>
      </c>
      <c r="H24" s="19" t="str">
        <f>IF($A24="","",SUMIFS('Registro de turnos'!$P$5:$P$504,'Registro de turnos'!$B$5:$B$504,$A24,'Registro de turnos'!$A$5:$A$504,"&gt;="&amp;$B$3,'Registro de turnos'!$A$5:$A$504,"&lt;="&amp;$B$4))</f>
        <v/>
      </c>
      <c r="I24" s="19" t="str">
        <f>IF($A24="","",SUMIFS('Registro de turnos'!$Q$5:$Q$504,'Registro de turnos'!$B$5:$B$504,$A24,'Registro de turnos'!$A$5:$A$504,"&gt;="&amp;$B$3,'Registro de turnos'!$A$5:$A$504,"&lt;="&amp;$B$4))</f>
        <v/>
      </c>
      <c r="J24" s="19" t="str">
        <f>IF($A24="","",SUMIFS('Registro de turnos'!$R$5:$R$504,'Registro de turnos'!$B$5:$B$504,$A24,'Registro de turnos'!$A$5:$A$504,"&gt;="&amp;$B$3,'Registro de turnos'!$A$5:$A$504,"&lt;="&amp;$B$4))</f>
        <v/>
      </c>
      <c r="K24" s="19" t="str">
        <f t="shared" si="0"/>
        <v/>
      </c>
      <c r="L24" s="17" t="str">
        <f>IF($A24="","",SUMIFS('Registro de turnos'!$T$5:$T$504,'Registro de turnos'!$B$5:$B$504,$A24,'Registro de turnos'!$A$5:$A$504,"&gt;="&amp;$B$3,'Registro de turnos'!$A$5:$A$504,"&lt;="&amp;$B$4))</f>
        <v/>
      </c>
      <c r="M24" s="17" t="str">
        <f t="shared" si="1"/>
        <v/>
      </c>
      <c r="N24" s="17" t="str">
        <f t="shared" si="2"/>
        <v/>
      </c>
      <c r="O24" s="17" t="str">
        <f t="shared" si="3"/>
        <v/>
      </c>
      <c r="P24" s="17" t="str">
        <f>IF($A24="","",ROUND(C24*D24*Parámetros!$B$8*0.0417,0))</f>
        <v/>
      </c>
      <c r="Q24" s="17" t="str">
        <f t="shared" si="4"/>
        <v/>
      </c>
      <c r="R24" s="17" t="str">
        <f t="shared" si="5"/>
        <v/>
      </c>
    </row>
    <row r="25" spans="1:18" x14ac:dyDescent="0.25">
      <c r="A25" s="22" t="str">
        <f>IF(Trabajadores!A23="","",Trabajadores!A23)</f>
        <v/>
      </c>
      <c r="B25" s="23" t="str">
        <f>IF(A25="","",Trabajadores!B23)</f>
        <v/>
      </c>
      <c r="C25" s="24" t="str">
        <f>IF(A25="","",Trabajadores!G23)</f>
        <v/>
      </c>
      <c r="D25" s="19" t="str">
        <f>IF($A25="","",SUMIFS('Registro de turnos'!$L$5:$L$504,'Registro de turnos'!$B$5:$B$504,$A25,'Registro de turnos'!$A$5:$A$504,"&gt;="&amp;$B$3,'Registro de turnos'!$A$5:$A$504,"&lt;="&amp;$B$4))</f>
        <v/>
      </c>
      <c r="E25" s="19" t="str">
        <f>IF($A25="","",SUMIFS('Registro de turnos'!$M$5:$M$504,'Registro de turnos'!$B$5:$B$504,$A25,'Registro de turnos'!$A$5:$A$504,"&gt;="&amp;$B$3,'Registro de turnos'!$A$5:$A$504,"&lt;="&amp;$B$4))</f>
        <v/>
      </c>
      <c r="F25" s="19" t="str">
        <f>IF($A25="","",SUMIFS('Registro de turnos'!$N$5:$N$504,'Registro de turnos'!$B$5:$B$504,$A25,'Registro de turnos'!$A$5:$A$504,"&gt;="&amp;$B$3,'Registro de turnos'!$A$5:$A$504,"&lt;="&amp;$B$4))</f>
        <v/>
      </c>
      <c r="G25" s="19" t="str">
        <f>IF($A25="","",SUMIFS('Registro de turnos'!$O$5:$O$504,'Registro de turnos'!$B$5:$B$504,$A25,'Registro de turnos'!$A$5:$A$504,"&gt;="&amp;$B$3,'Registro de turnos'!$A$5:$A$504,"&lt;="&amp;$B$4))</f>
        <v/>
      </c>
      <c r="H25" s="19" t="str">
        <f>IF($A25="","",SUMIFS('Registro de turnos'!$P$5:$P$504,'Registro de turnos'!$B$5:$B$504,$A25,'Registro de turnos'!$A$5:$A$504,"&gt;="&amp;$B$3,'Registro de turnos'!$A$5:$A$504,"&lt;="&amp;$B$4))</f>
        <v/>
      </c>
      <c r="I25" s="19" t="str">
        <f>IF($A25="","",SUMIFS('Registro de turnos'!$Q$5:$Q$504,'Registro de turnos'!$B$5:$B$504,$A25,'Registro de turnos'!$A$5:$A$504,"&gt;="&amp;$B$3,'Registro de turnos'!$A$5:$A$504,"&lt;="&amp;$B$4))</f>
        <v/>
      </c>
      <c r="J25" s="19" t="str">
        <f>IF($A25="","",SUMIFS('Registro de turnos'!$R$5:$R$504,'Registro de turnos'!$B$5:$B$504,$A25,'Registro de turnos'!$A$5:$A$504,"&gt;="&amp;$B$3,'Registro de turnos'!$A$5:$A$504,"&lt;="&amp;$B$4))</f>
        <v/>
      </c>
      <c r="K25" s="19" t="str">
        <f t="shared" si="0"/>
        <v/>
      </c>
      <c r="L25" s="17" t="str">
        <f>IF($A25="","",SUMIFS('Registro de turnos'!$T$5:$T$504,'Registro de turnos'!$B$5:$B$504,$A25,'Registro de turnos'!$A$5:$A$504,"&gt;="&amp;$B$3,'Registro de turnos'!$A$5:$A$504,"&lt;="&amp;$B$4))</f>
        <v/>
      </c>
      <c r="M25" s="17" t="str">
        <f t="shared" si="1"/>
        <v/>
      </c>
      <c r="N25" s="17" t="str">
        <f t="shared" si="2"/>
        <v/>
      </c>
      <c r="O25" s="17" t="str">
        <f t="shared" si="3"/>
        <v/>
      </c>
      <c r="P25" s="17" t="str">
        <f>IF($A25="","",ROUND(C25*D25*Parámetros!$B$8*0.0417,0))</f>
        <v/>
      </c>
      <c r="Q25" s="17" t="str">
        <f t="shared" si="4"/>
        <v/>
      </c>
      <c r="R25" s="17" t="str">
        <f t="shared" si="5"/>
        <v/>
      </c>
    </row>
    <row r="26" spans="1:18" x14ac:dyDescent="0.25">
      <c r="A26" s="22" t="str">
        <f>IF(Trabajadores!A24="","",Trabajadores!A24)</f>
        <v/>
      </c>
      <c r="B26" s="23" t="str">
        <f>IF(A26="","",Trabajadores!B24)</f>
        <v/>
      </c>
      <c r="C26" s="24" t="str">
        <f>IF(A26="","",Trabajadores!G24)</f>
        <v/>
      </c>
      <c r="D26" s="19" t="str">
        <f>IF($A26="","",SUMIFS('Registro de turnos'!$L$5:$L$504,'Registro de turnos'!$B$5:$B$504,$A26,'Registro de turnos'!$A$5:$A$504,"&gt;="&amp;$B$3,'Registro de turnos'!$A$5:$A$504,"&lt;="&amp;$B$4))</f>
        <v/>
      </c>
      <c r="E26" s="19" t="str">
        <f>IF($A26="","",SUMIFS('Registro de turnos'!$M$5:$M$504,'Registro de turnos'!$B$5:$B$504,$A26,'Registro de turnos'!$A$5:$A$504,"&gt;="&amp;$B$3,'Registro de turnos'!$A$5:$A$504,"&lt;="&amp;$B$4))</f>
        <v/>
      </c>
      <c r="F26" s="19" t="str">
        <f>IF($A26="","",SUMIFS('Registro de turnos'!$N$5:$N$504,'Registro de turnos'!$B$5:$B$504,$A26,'Registro de turnos'!$A$5:$A$504,"&gt;="&amp;$B$3,'Registro de turnos'!$A$5:$A$504,"&lt;="&amp;$B$4))</f>
        <v/>
      </c>
      <c r="G26" s="19" t="str">
        <f>IF($A26="","",SUMIFS('Registro de turnos'!$O$5:$O$504,'Registro de turnos'!$B$5:$B$504,$A26,'Registro de turnos'!$A$5:$A$504,"&gt;="&amp;$B$3,'Registro de turnos'!$A$5:$A$504,"&lt;="&amp;$B$4))</f>
        <v/>
      </c>
      <c r="H26" s="19" t="str">
        <f>IF($A26="","",SUMIFS('Registro de turnos'!$P$5:$P$504,'Registro de turnos'!$B$5:$B$504,$A26,'Registro de turnos'!$A$5:$A$504,"&gt;="&amp;$B$3,'Registro de turnos'!$A$5:$A$504,"&lt;="&amp;$B$4))</f>
        <v/>
      </c>
      <c r="I26" s="19" t="str">
        <f>IF($A26="","",SUMIFS('Registro de turnos'!$Q$5:$Q$504,'Registro de turnos'!$B$5:$B$504,$A26,'Registro de turnos'!$A$5:$A$504,"&gt;="&amp;$B$3,'Registro de turnos'!$A$5:$A$504,"&lt;="&amp;$B$4))</f>
        <v/>
      </c>
      <c r="J26" s="19" t="str">
        <f>IF($A26="","",SUMIFS('Registro de turnos'!$R$5:$R$504,'Registro de turnos'!$B$5:$B$504,$A26,'Registro de turnos'!$A$5:$A$504,"&gt;="&amp;$B$3,'Registro de turnos'!$A$5:$A$504,"&lt;="&amp;$B$4))</f>
        <v/>
      </c>
      <c r="K26" s="19" t="str">
        <f t="shared" si="0"/>
        <v/>
      </c>
      <c r="L26" s="17" t="str">
        <f>IF($A26="","",SUMIFS('Registro de turnos'!$T$5:$T$504,'Registro de turnos'!$B$5:$B$504,$A26,'Registro de turnos'!$A$5:$A$504,"&gt;="&amp;$B$3,'Registro de turnos'!$A$5:$A$504,"&lt;="&amp;$B$4))</f>
        <v/>
      </c>
      <c r="M26" s="17" t="str">
        <f t="shared" si="1"/>
        <v/>
      </c>
      <c r="N26" s="17" t="str">
        <f t="shared" si="2"/>
        <v/>
      </c>
      <c r="O26" s="17" t="str">
        <f t="shared" si="3"/>
        <v/>
      </c>
      <c r="P26" s="17" t="str">
        <f>IF($A26="","",ROUND(C26*D26*Parámetros!$B$8*0.0417,0))</f>
        <v/>
      </c>
      <c r="Q26" s="17" t="str">
        <f t="shared" si="4"/>
        <v/>
      </c>
      <c r="R26" s="17" t="str">
        <f t="shared" si="5"/>
        <v/>
      </c>
    </row>
    <row r="27" spans="1:18" x14ac:dyDescent="0.25">
      <c r="A27" s="22" t="str">
        <f>IF(Trabajadores!A25="","",Trabajadores!A25)</f>
        <v/>
      </c>
      <c r="B27" s="23" t="str">
        <f>IF(A27="","",Trabajadores!B25)</f>
        <v/>
      </c>
      <c r="C27" s="24" t="str">
        <f>IF(A27="","",Trabajadores!G25)</f>
        <v/>
      </c>
      <c r="D27" s="19" t="str">
        <f>IF($A27="","",SUMIFS('Registro de turnos'!$L$5:$L$504,'Registro de turnos'!$B$5:$B$504,$A27,'Registro de turnos'!$A$5:$A$504,"&gt;="&amp;$B$3,'Registro de turnos'!$A$5:$A$504,"&lt;="&amp;$B$4))</f>
        <v/>
      </c>
      <c r="E27" s="19" t="str">
        <f>IF($A27="","",SUMIFS('Registro de turnos'!$M$5:$M$504,'Registro de turnos'!$B$5:$B$504,$A27,'Registro de turnos'!$A$5:$A$504,"&gt;="&amp;$B$3,'Registro de turnos'!$A$5:$A$504,"&lt;="&amp;$B$4))</f>
        <v/>
      </c>
      <c r="F27" s="19" t="str">
        <f>IF($A27="","",SUMIFS('Registro de turnos'!$N$5:$N$504,'Registro de turnos'!$B$5:$B$504,$A27,'Registro de turnos'!$A$5:$A$504,"&gt;="&amp;$B$3,'Registro de turnos'!$A$5:$A$504,"&lt;="&amp;$B$4))</f>
        <v/>
      </c>
      <c r="G27" s="19" t="str">
        <f>IF($A27="","",SUMIFS('Registro de turnos'!$O$5:$O$504,'Registro de turnos'!$B$5:$B$504,$A27,'Registro de turnos'!$A$5:$A$504,"&gt;="&amp;$B$3,'Registro de turnos'!$A$5:$A$504,"&lt;="&amp;$B$4))</f>
        <v/>
      </c>
      <c r="H27" s="19" t="str">
        <f>IF($A27="","",SUMIFS('Registro de turnos'!$P$5:$P$504,'Registro de turnos'!$B$5:$B$504,$A27,'Registro de turnos'!$A$5:$A$504,"&gt;="&amp;$B$3,'Registro de turnos'!$A$5:$A$504,"&lt;="&amp;$B$4))</f>
        <v/>
      </c>
      <c r="I27" s="19" t="str">
        <f>IF($A27="","",SUMIFS('Registro de turnos'!$Q$5:$Q$504,'Registro de turnos'!$B$5:$B$504,$A27,'Registro de turnos'!$A$5:$A$504,"&gt;="&amp;$B$3,'Registro de turnos'!$A$5:$A$504,"&lt;="&amp;$B$4))</f>
        <v/>
      </c>
      <c r="J27" s="19" t="str">
        <f>IF($A27="","",SUMIFS('Registro de turnos'!$R$5:$R$504,'Registro de turnos'!$B$5:$B$504,$A27,'Registro de turnos'!$A$5:$A$504,"&gt;="&amp;$B$3,'Registro de turnos'!$A$5:$A$504,"&lt;="&amp;$B$4))</f>
        <v/>
      </c>
      <c r="K27" s="19" t="str">
        <f t="shared" si="0"/>
        <v/>
      </c>
      <c r="L27" s="17" t="str">
        <f>IF($A27="","",SUMIFS('Registro de turnos'!$T$5:$T$504,'Registro de turnos'!$B$5:$B$504,$A27,'Registro de turnos'!$A$5:$A$504,"&gt;="&amp;$B$3,'Registro de turnos'!$A$5:$A$504,"&lt;="&amp;$B$4))</f>
        <v/>
      </c>
      <c r="M27" s="17" t="str">
        <f t="shared" si="1"/>
        <v/>
      </c>
      <c r="N27" s="17" t="str">
        <f t="shared" si="2"/>
        <v/>
      </c>
      <c r="O27" s="17" t="str">
        <f t="shared" si="3"/>
        <v/>
      </c>
      <c r="P27" s="17" t="str">
        <f>IF($A27="","",ROUND(C27*D27*Parámetros!$B$8*0.0417,0))</f>
        <v/>
      </c>
      <c r="Q27" s="17" t="str">
        <f t="shared" si="4"/>
        <v/>
      </c>
      <c r="R27" s="17" t="str">
        <f t="shared" si="5"/>
        <v/>
      </c>
    </row>
    <row r="28" spans="1:18" x14ac:dyDescent="0.25">
      <c r="A28" s="22" t="str">
        <f>IF(Trabajadores!A26="","",Trabajadores!A26)</f>
        <v/>
      </c>
      <c r="B28" s="23" t="str">
        <f>IF(A28="","",Trabajadores!B26)</f>
        <v/>
      </c>
      <c r="C28" s="24" t="str">
        <f>IF(A28="","",Trabajadores!G26)</f>
        <v/>
      </c>
      <c r="D28" s="19" t="str">
        <f>IF($A28="","",SUMIFS('Registro de turnos'!$L$5:$L$504,'Registro de turnos'!$B$5:$B$504,$A28,'Registro de turnos'!$A$5:$A$504,"&gt;="&amp;$B$3,'Registro de turnos'!$A$5:$A$504,"&lt;="&amp;$B$4))</f>
        <v/>
      </c>
      <c r="E28" s="19" t="str">
        <f>IF($A28="","",SUMIFS('Registro de turnos'!$M$5:$M$504,'Registro de turnos'!$B$5:$B$504,$A28,'Registro de turnos'!$A$5:$A$504,"&gt;="&amp;$B$3,'Registro de turnos'!$A$5:$A$504,"&lt;="&amp;$B$4))</f>
        <v/>
      </c>
      <c r="F28" s="19" t="str">
        <f>IF($A28="","",SUMIFS('Registro de turnos'!$N$5:$N$504,'Registro de turnos'!$B$5:$B$504,$A28,'Registro de turnos'!$A$5:$A$504,"&gt;="&amp;$B$3,'Registro de turnos'!$A$5:$A$504,"&lt;="&amp;$B$4))</f>
        <v/>
      </c>
      <c r="G28" s="19" t="str">
        <f>IF($A28="","",SUMIFS('Registro de turnos'!$O$5:$O$504,'Registro de turnos'!$B$5:$B$504,$A28,'Registro de turnos'!$A$5:$A$504,"&gt;="&amp;$B$3,'Registro de turnos'!$A$5:$A$504,"&lt;="&amp;$B$4))</f>
        <v/>
      </c>
      <c r="H28" s="19" t="str">
        <f>IF($A28="","",SUMIFS('Registro de turnos'!$P$5:$P$504,'Registro de turnos'!$B$5:$B$504,$A28,'Registro de turnos'!$A$5:$A$504,"&gt;="&amp;$B$3,'Registro de turnos'!$A$5:$A$504,"&lt;="&amp;$B$4))</f>
        <v/>
      </c>
      <c r="I28" s="19" t="str">
        <f>IF($A28="","",SUMIFS('Registro de turnos'!$Q$5:$Q$504,'Registro de turnos'!$B$5:$B$504,$A28,'Registro de turnos'!$A$5:$A$504,"&gt;="&amp;$B$3,'Registro de turnos'!$A$5:$A$504,"&lt;="&amp;$B$4))</f>
        <v/>
      </c>
      <c r="J28" s="19" t="str">
        <f>IF($A28="","",SUMIFS('Registro de turnos'!$R$5:$R$504,'Registro de turnos'!$B$5:$B$504,$A28,'Registro de turnos'!$A$5:$A$504,"&gt;="&amp;$B$3,'Registro de turnos'!$A$5:$A$504,"&lt;="&amp;$B$4))</f>
        <v/>
      </c>
      <c r="K28" s="19" t="str">
        <f t="shared" si="0"/>
        <v/>
      </c>
      <c r="L28" s="17" t="str">
        <f>IF($A28="","",SUMIFS('Registro de turnos'!$T$5:$T$504,'Registro de turnos'!$B$5:$B$504,$A28,'Registro de turnos'!$A$5:$A$504,"&gt;="&amp;$B$3,'Registro de turnos'!$A$5:$A$504,"&lt;="&amp;$B$4))</f>
        <v/>
      </c>
      <c r="M28" s="17" t="str">
        <f t="shared" si="1"/>
        <v/>
      </c>
      <c r="N28" s="17" t="str">
        <f t="shared" si="2"/>
        <v/>
      </c>
      <c r="O28" s="17" t="str">
        <f t="shared" si="3"/>
        <v/>
      </c>
      <c r="P28" s="17" t="str">
        <f>IF($A28="","",ROUND(C28*D28*Parámetros!$B$8*0.0417,0))</f>
        <v/>
      </c>
      <c r="Q28" s="17" t="str">
        <f t="shared" si="4"/>
        <v/>
      </c>
      <c r="R28" s="17" t="str">
        <f t="shared" si="5"/>
        <v/>
      </c>
    </row>
    <row r="29" spans="1:18" x14ac:dyDescent="0.25">
      <c r="A29" s="22" t="str">
        <f>IF(Trabajadores!A27="","",Trabajadores!A27)</f>
        <v/>
      </c>
      <c r="B29" s="23" t="str">
        <f>IF(A29="","",Trabajadores!B27)</f>
        <v/>
      </c>
      <c r="C29" s="24" t="str">
        <f>IF(A29="","",Trabajadores!G27)</f>
        <v/>
      </c>
      <c r="D29" s="19" t="str">
        <f>IF($A29="","",SUMIFS('Registro de turnos'!$L$5:$L$504,'Registro de turnos'!$B$5:$B$504,$A29,'Registro de turnos'!$A$5:$A$504,"&gt;="&amp;$B$3,'Registro de turnos'!$A$5:$A$504,"&lt;="&amp;$B$4))</f>
        <v/>
      </c>
      <c r="E29" s="19" t="str">
        <f>IF($A29="","",SUMIFS('Registro de turnos'!$M$5:$M$504,'Registro de turnos'!$B$5:$B$504,$A29,'Registro de turnos'!$A$5:$A$504,"&gt;="&amp;$B$3,'Registro de turnos'!$A$5:$A$504,"&lt;="&amp;$B$4))</f>
        <v/>
      </c>
      <c r="F29" s="19" t="str">
        <f>IF($A29="","",SUMIFS('Registro de turnos'!$N$5:$N$504,'Registro de turnos'!$B$5:$B$504,$A29,'Registro de turnos'!$A$5:$A$504,"&gt;="&amp;$B$3,'Registro de turnos'!$A$5:$A$504,"&lt;="&amp;$B$4))</f>
        <v/>
      </c>
      <c r="G29" s="19" t="str">
        <f>IF($A29="","",SUMIFS('Registro de turnos'!$O$5:$O$504,'Registro de turnos'!$B$5:$B$504,$A29,'Registro de turnos'!$A$5:$A$504,"&gt;="&amp;$B$3,'Registro de turnos'!$A$5:$A$504,"&lt;="&amp;$B$4))</f>
        <v/>
      </c>
      <c r="H29" s="19" t="str">
        <f>IF($A29="","",SUMIFS('Registro de turnos'!$P$5:$P$504,'Registro de turnos'!$B$5:$B$504,$A29,'Registro de turnos'!$A$5:$A$504,"&gt;="&amp;$B$3,'Registro de turnos'!$A$5:$A$504,"&lt;="&amp;$B$4))</f>
        <v/>
      </c>
      <c r="I29" s="19" t="str">
        <f>IF($A29="","",SUMIFS('Registro de turnos'!$Q$5:$Q$504,'Registro de turnos'!$B$5:$B$504,$A29,'Registro de turnos'!$A$5:$A$504,"&gt;="&amp;$B$3,'Registro de turnos'!$A$5:$A$504,"&lt;="&amp;$B$4))</f>
        <v/>
      </c>
      <c r="J29" s="19" t="str">
        <f>IF($A29="","",SUMIFS('Registro de turnos'!$R$5:$R$504,'Registro de turnos'!$B$5:$B$504,$A29,'Registro de turnos'!$A$5:$A$504,"&gt;="&amp;$B$3,'Registro de turnos'!$A$5:$A$504,"&lt;="&amp;$B$4))</f>
        <v/>
      </c>
      <c r="K29" s="19" t="str">
        <f t="shared" si="0"/>
        <v/>
      </c>
      <c r="L29" s="17" t="str">
        <f>IF($A29="","",SUMIFS('Registro de turnos'!$T$5:$T$504,'Registro de turnos'!$B$5:$B$504,$A29,'Registro de turnos'!$A$5:$A$504,"&gt;="&amp;$B$3,'Registro de turnos'!$A$5:$A$504,"&lt;="&amp;$B$4))</f>
        <v/>
      </c>
      <c r="M29" s="17" t="str">
        <f t="shared" si="1"/>
        <v/>
      </c>
      <c r="N29" s="17" t="str">
        <f t="shared" si="2"/>
        <v/>
      </c>
      <c r="O29" s="17" t="str">
        <f t="shared" si="3"/>
        <v/>
      </c>
      <c r="P29" s="17" t="str">
        <f>IF($A29="","",ROUND(C29*D29*Parámetros!$B$8*0.0417,0))</f>
        <v/>
      </c>
      <c r="Q29" s="17" t="str">
        <f t="shared" si="4"/>
        <v/>
      </c>
      <c r="R29" s="17" t="str">
        <f t="shared" si="5"/>
        <v/>
      </c>
    </row>
    <row r="30" spans="1:18" x14ac:dyDescent="0.25">
      <c r="A30" s="22" t="str">
        <f>IF(Trabajadores!A28="","",Trabajadores!A28)</f>
        <v/>
      </c>
      <c r="B30" s="23" t="str">
        <f>IF(A30="","",Trabajadores!B28)</f>
        <v/>
      </c>
      <c r="C30" s="24" t="str">
        <f>IF(A30="","",Trabajadores!G28)</f>
        <v/>
      </c>
      <c r="D30" s="19" t="str">
        <f>IF($A30="","",SUMIFS('Registro de turnos'!$L$5:$L$504,'Registro de turnos'!$B$5:$B$504,$A30,'Registro de turnos'!$A$5:$A$504,"&gt;="&amp;$B$3,'Registro de turnos'!$A$5:$A$504,"&lt;="&amp;$B$4))</f>
        <v/>
      </c>
      <c r="E30" s="19" t="str">
        <f>IF($A30="","",SUMIFS('Registro de turnos'!$M$5:$M$504,'Registro de turnos'!$B$5:$B$504,$A30,'Registro de turnos'!$A$5:$A$504,"&gt;="&amp;$B$3,'Registro de turnos'!$A$5:$A$504,"&lt;="&amp;$B$4))</f>
        <v/>
      </c>
      <c r="F30" s="19" t="str">
        <f>IF($A30="","",SUMIFS('Registro de turnos'!$N$5:$N$504,'Registro de turnos'!$B$5:$B$504,$A30,'Registro de turnos'!$A$5:$A$504,"&gt;="&amp;$B$3,'Registro de turnos'!$A$5:$A$504,"&lt;="&amp;$B$4))</f>
        <v/>
      </c>
      <c r="G30" s="19" t="str">
        <f>IF($A30="","",SUMIFS('Registro de turnos'!$O$5:$O$504,'Registro de turnos'!$B$5:$B$504,$A30,'Registro de turnos'!$A$5:$A$504,"&gt;="&amp;$B$3,'Registro de turnos'!$A$5:$A$504,"&lt;="&amp;$B$4))</f>
        <v/>
      </c>
      <c r="H30" s="19" t="str">
        <f>IF($A30="","",SUMIFS('Registro de turnos'!$P$5:$P$504,'Registro de turnos'!$B$5:$B$504,$A30,'Registro de turnos'!$A$5:$A$504,"&gt;="&amp;$B$3,'Registro de turnos'!$A$5:$A$504,"&lt;="&amp;$B$4))</f>
        <v/>
      </c>
      <c r="I30" s="19" t="str">
        <f>IF($A30="","",SUMIFS('Registro de turnos'!$Q$5:$Q$504,'Registro de turnos'!$B$5:$B$504,$A30,'Registro de turnos'!$A$5:$A$504,"&gt;="&amp;$B$3,'Registro de turnos'!$A$5:$A$504,"&lt;="&amp;$B$4))</f>
        <v/>
      </c>
      <c r="J30" s="19" t="str">
        <f>IF($A30="","",SUMIFS('Registro de turnos'!$R$5:$R$504,'Registro de turnos'!$B$5:$B$504,$A30,'Registro de turnos'!$A$5:$A$504,"&gt;="&amp;$B$3,'Registro de turnos'!$A$5:$A$504,"&lt;="&amp;$B$4))</f>
        <v/>
      </c>
      <c r="K30" s="19" t="str">
        <f t="shared" si="0"/>
        <v/>
      </c>
      <c r="L30" s="17" t="str">
        <f>IF($A30="","",SUMIFS('Registro de turnos'!$T$5:$T$504,'Registro de turnos'!$B$5:$B$504,$A30,'Registro de turnos'!$A$5:$A$504,"&gt;="&amp;$B$3,'Registro de turnos'!$A$5:$A$504,"&lt;="&amp;$B$4))</f>
        <v/>
      </c>
      <c r="M30" s="17" t="str">
        <f t="shared" si="1"/>
        <v/>
      </c>
      <c r="N30" s="17" t="str">
        <f t="shared" si="2"/>
        <v/>
      </c>
      <c r="O30" s="17" t="str">
        <f t="shared" si="3"/>
        <v/>
      </c>
      <c r="P30" s="17" t="str">
        <f>IF($A30="","",ROUND(C30*D30*Parámetros!$B$8*0.0417,0))</f>
        <v/>
      </c>
      <c r="Q30" s="17" t="str">
        <f t="shared" si="4"/>
        <v/>
      </c>
      <c r="R30" s="17" t="str">
        <f t="shared" si="5"/>
        <v/>
      </c>
    </row>
    <row r="31" spans="1:18" x14ac:dyDescent="0.25">
      <c r="A31" s="22" t="str">
        <f>IF(Trabajadores!A29="","",Trabajadores!A29)</f>
        <v/>
      </c>
      <c r="B31" s="23" t="str">
        <f>IF(A31="","",Trabajadores!B29)</f>
        <v/>
      </c>
      <c r="C31" s="24" t="str">
        <f>IF(A31="","",Trabajadores!G29)</f>
        <v/>
      </c>
      <c r="D31" s="19" t="str">
        <f>IF($A31="","",SUMIFS('Registro de turnos'!$L$5:$L$504,'Registro de turnos'!$B$5:$B$504,$A31,'Registro de turnos'!$A$5:$A$504,"&gt;="&amp;$B$3,'Registro de turnos'!$A$5:$A$504,"&lt;="&amp;$B$4))</f>
        <v/>
      </c>
      <c r="E31" s="19" t="str">
        <f>IF($A31="","",SUMIFS('Registro de turnos'!$M$5:$M$504,'Registro de turnos'!$B$5:$B$504,$A31,'Registro de turnos'!$A$5:$A$504,"&gt;="&amp;$B$3,'Registro de turnos'!$A$5:$A$504,"&lt;="&amp;$B$4))</f>
        <v/>
      </c>
      <c r="F31" s="19" t="str">
        <f>IF($A31="","",SUMIFS('Registro de turnos'!$N$5:$N$504,'Registro de turnos'!$B$5:$B$504,$A31,'Registro de turnos'!$A$5:$A$504,"&gt;="&amp;$B$3,'Registro de turnos'!$A$5:$A$504,"&lt;="&amp;$B$4))</f>
        <v/>
      </c>
      <c r="G31" s="19" t="str">
        <f>IF($A31="","",SUMIFS('Registro de turnos'!$O$5:$O$504,'Registro de turnos'!$B$5:$B$504,$A31,'Registro de turnos'!$A$5:$A$504,"&gt;="&amp;$B$3,'Registro de turnos'!$A$5:$A$504,"&lt;="&amp;$B$4))</f>
        <v/>
      </c>
      <c r="H31" s="19" t="str">
        <f>IF($A31="","",SUMIFS('Registro de turnos'!$P$5:$P$504,'Registro de turnos'!$B$5:$B$504,$A31,'Registro de turnos'!$A$5:$A$504,"&gt;="&amp;$B$3,'Registro de turnos'!$A$5:$A$504,"&lt;="&amp;$B$4))</f>
        <v/>
      </c>
      <c r="I31" s="19" t="str">
        <f>IF($A31="","",SUMIFS('Registro de turnos'!$Q$5:$Q$504,'Registro de turnos'!$B$5:$B$504,$A31,'Registro de turnos'!$A$5:$A$504,"&gt;="&amp;$B$3,'Registro de turnos'!$A$5:$A$504,"&lt;="&amp;$B$4))</f>
        <v/>
      </c>
      <c r="J31" s="19" t="str">
        <f>IF($A31="","",SUMIFS('Registro de turnos'!$R$5:$R$504,'Registro de turnos'!$B$5:$B$504,$A31,'Registro de turnos'!$A$5:$A$504,"&gt;="&amp;$B$3,'Registro de turnos'!$A$5:$A$504,"&lt;="&amp;$B$4))</f>
        <v/>
      </c>
      <c r="K31" s="19" t="str">
        <f t="shared" si="0"/>
        <v/>
      </c>
      <c r="L31" s="17" t="str">
        <f>IF($A31="","",SUMIFS('Registro de turnos'!$T$5:$T$504,'Registro de turnos'!$B$5:$B$504,$A31,'Registro de turnos'!$A$5:$A$504,"&gt;="&amp;$B$3,'Registro de turnos'!$A$5:$A$504,"&lt;="&amp;$B$4))</f>
        <v/>
      </c>
      <c r="M31" s="17" t="str">
        <f t="shared" si="1"/>
        <v/>
      </c>
      <c r="N31" s="17" t="str">
        <f t="shared" si="2"/>
        <v/>
      </c>
      <c r="O31" s="17" t="str">
        <f t="shared" si="3"/>
        <v/>
      </c>
      <c r="P31" s="17" t="str">
        <f>IF($A31="","",ROUND(C31*D31*Parámetros!$B$8*0.0417,0))</f>
        <v/>
      </c>
      <c r="Q31" s="17" t="str">
        <f t="shared" si="4"/>
        <v/>
      </c>
      <c r="R31" s="17" t="str">
        <f t="shared" si="5"/>
        <v/>
      </c>
    </row>
    <row r="32" spans="1:18" x14ac:dyDescent="0.25">
      <c r="A32" s="22" t="str">
        <f>IF(Trabajadores!A30="","",Trabajadores!A30)</f>
        <v/>
      </c>
      <c r="B32" s="23" t="str">
        <f>IF(A32="","",Trabajadores!B30)</f>
        <v/>
      </c>
      <c r="C32" s="24" t="str">
        <f>IF(A32="","",Trabajadores!G30)</f>
        <v/>
      </c>
      <c r="D32" s="19" t="str">
        <f>IF($A32="","",SUMIFS('Registro de turnos'!$L$5:$L$504,'Registro de turnos'!$B$5:$B$504,$A32,'Registro de turnos'!$A$5:$A$504,"&gt;="&amp;$B$3,'Registro de turnos'!$A$5:$A$504,"&lt;="&amp;$B$4))</f>
        <v/>
      </c>
      <c r="E32" s="19" t="str">
        <f>IF($A32="","",SUMIFS('Registro de turnos'!$M$5:$M$504,'Registro de turnos'!$B$5:$B$504,$A32,'Registro de turnos'!$A$5:$A$504,"&gt;="&amp;$B$3,'Registro de turnos'!$A$5:$A$504,"&lt;="&amp;$B$4))</f>
        <v/>
      </c>
      <c r="F32" s="19" t="str">
        <f>IF($A32="","",SUMIFS('Registro de turnos'!$N$5:$N$504,'Registro de turnos'!$B$5:$B$504,$A32,'Registro de turnos'!$A$5:$A$504,"&gt;="&amp;$B$3,'Registro de turnos'!$A$5:$A$504,"&lt;="&amp;$B$4))</f>
        <v/>
      </c>
      <c r="G32" s="19" t="str">
        <f>IF($A32="","",SUMIFS('Registro de turnos'!$O$5:$O$504,'Registro de turnos'!$B$5:$B$504,$A32,'Registro de turnos'!$A$5:$A$504,"&gt;="&amp;$B$3,'Registro de turnos'!$A$5:$A$504,"&lt;="&amp;$B$4))</f>
        <v/>
      </c>
      <c r="H32" s="19" t="str">
        <f>IF($A32="","",SUMIFS('Registro de turnos'!$P$5:$P$504,'Registro de turnos'!$B$5:$B$504,$A32,'Registro de turnos'!$A$5:$A$504,"&gt;="&amp;$B$3,'Registro de turnos'!$A$5:$A$504,"&lt;="&amp;$B$4))</f>
        <v/>
      </c>
      <c r="I32" s="19" t="str">
        <f>IF($A32="","",SUMIFS('Registro de turnos'!$Q$5:$Q$504,'Registro de turnos'!$B$5:$B$504,$A32,'Registro de turnos'!$A$5:$A$504,"&gt;="&amp;$B$3,'Registro de turnos'!$A$5:$A$504,"&lt;="&amp;$B$4))</f>
        <v/>
      </c>
      <c r="J32" s="19" t="str">
        <f>IF($A32="","",SUMIFS('Registro de turnos'!$R$5:$R$504,'Registro de turnos'!$B$5:$B$504,$A32,'Registro de turnos'!$A$5:$A$504,"&gt;="&amp;$B$3,'Registro de turnos'!$A$5:$A$504,"&lt;="&amp;$B$4))</f>
        <v/>
      </c>
      <c r="K32" s="19" t="str">
        <f t="shared" si="0"/>
        <v/>
      </c>
      <c r="L32" s="17" t="str">
        <f>IF($A32="","",SUMIFS('Registro de turnos'!$T$5:$T$504,'Registro de turnos'!$B$5:$B$504,$A32,'Registro de turnos'!$A$5:$A$504,"&gt;="&amp;$B$3,'Registro de turnos'!$A$5:$A$504,"&lt;="&amp;$B$4))</f>
        <v/>
      </c>
      <c r="M32" s="17" t="str">
        <f t="shared" si="1"/>
        <v/>
      </c>
      <c r="N32" s="17" t="str">
        <f t="shared" si="2"/>
        <v/>
      </c>
      <c r="O32" s="17" t="str">
        <f t="shared" si="3"/>
        <v/>
      </c>
      <c r="P32" s="17" t="str">
        <f>IF($A32="","",ROUND(C32*D32*Parámetros!$B$8*0.0417,0))</f>
        <v/>
      </c>
      <c r="Q32" s="17" t="str">
        <f t="shared" si="4"/>
        <v/>
      </c>
      <c r="R32" s="17" t="str">
        <f t="shared" si="5"/>
        <v/>
      </c>
    </row>
    <row r="33" spans="1:18" x14ac:dyDescent="0.25">
      <c r="A33" s="22" t="str">
        <f>IF(Trabajadores!A31="","",Trabajadores!A31)</f>
        <v/>
      </c>
      <c r="B33" s="23" t="str">
        <f>IF(A33="","",Trabajadores!B31)</f>
        <v/>
      </c>
      <c r="C33" s="24" t="str">
        <f>IF(A33="","",Trabajadores!G31)</f>
        <v/>
      </c>
      <c r="D33" s="19" t="str">
        <f>IF($A33="","",SUMIFS('Registro de turnos'!$L$5:$L$504,'Registro de turnos'!$B$5:$B$504,$A33,'Registro de turnos'!$A$5:$A$504,"&gt;="&amp;$B$3,'Registro de turnos'!$A$5:$A$504,"&lt;="&amp;$B$4))</f>
        <v/>
      </c>
      <c r="E33" s="19" t="str">
        <f>IF($A33="","",SUMIFS('Registro de turnos'!$M$5:$M$504,'Registro de turnos'!$B$5:$B$504,$A33,'Registro de turnos'!$A$5:$A$504,"&gt;="&amp;$B$3,'Registro de turnos'!$A$5:$A$504,"&lt;="&amp;$B$4))</f>
        <v/>
      </c>
      <c r="F33" s="19" t="str">
        <f>IF($A33="","",SUMIFS('Registro de turnos'!$N$5:$N$504,'Registro de turnos'!$B$5:$B$504,$A33,'Registro de turnos'!$A$5:$A$504,"&gt;="&amp;$B$3,'Registro de turnos'!$A$5:$A$504,"&lt;="&amp;$B$4))</f>
        <v/>
      </c>
      <c r="G33" s="19" t="str">
        <f>IF($A33="","",SUMIFS('Registro de turnos'!$O$5:$O$504,'Registro de turnos'!$B$5:$B$504,$A33,'Registro de turnos'!$A$5:$A$504,"&gt;="&amp;$B$3,'Registro de turnos'!$A$5:$A$504,"&lt;="&amp;$B$4))</f>
        <v/>
      </c>
      <c r="H33" s="19" t="str">
        <f>IF($A33="","",SUMIFS('Registro de turnos'!$P$5:$P$504,'Registro de turnos'!$B$5:$B$504,$A33,'Registro de turnos'!$A$5:$A$504,"&gt;="&amp;$B$3,'Registro de turnos'!$A$5:$A$504,"&lt;="&amp;$B$4))</f>
        <v/>
      </c>
      <c r="I33" s="19" t="str">
        <f>IF($A33="","",SUMIFS('Registro de turnos'!$Q$5:$Q$504,'Registro de turnos'!$B$5:$B$504,$A33,'Registro de turnos'!$A$5:$A$504,"&gt;="&amp;$B$3,'Registro de turnos'!$A$5:$A$504,"&lt;="&amp;$B$4))</f>
        <v/>
      </c>
      <c r="J33" s="19" t="str">
        <f>IF($A33="","",SUMIFS('Registro de turnos'!$R$5:$R$504,'Registro de turnos'!$B$5:$B$504,$A33,'Registro de turnos'!$A$5:$A$504,"&gt;="&amp;$B$3,'Registro de turnos'!$A$5:$A$504,"&lt;="&amp;$B$4))</f>
        <v/>
      </c>
      <c r="K33" s="19" t="str">
        <f t="shared" si="0"/>
        <v/>
      </c>
      <c r="L33" s="17" t="str">
        <f>IF($A33="","",SUMIFS('Registro de turnos'!$T$5:$T$504,'Registro de turnos'!$B$5:$B$504,$A33,'Registro de turnos'!$A$5:$A$504,"&gt;="&amp;$B$3,'Registro de turnos'!$A$5:$A$504,"&lt;="&amp;$B$4))</f>
        <v/>
      </c>
      <c r="M33" s="17" t="str">
        <f t="shared" si="1"/>
        <v/>
      </c>
      <c r="N33" s="17" t="str">
        <f t="shared" si="2"/>
        <v/>
      </c>
      <c r="O33" s="17" t="str">
        <f t="shared" si="3"/>
        <v/>
      </c>
      <c r="P33" s="17" t="str">
        <f>IF($A33="","",ROUND(C33*D33*Parámetros!$B$8*0.0417,0))</f>
        <v/>
      </c>
      <c r="Q33" s="17" t="str">
        <f t="shared" si="4"/>
        <v/>
      </c>
      <c r="R33" s="17" t="str">
        <f t="shared" si="5"/>
        <v/>
      </c>
    </row>
    <row r="34" spans="1:18" x14ac:dyDescent="0.25">
      <c r="A34" s="22" t="str">
        <f>IF(Trabajadores!A32="","",Trabajadores!A32)</f>
        <v/>
      </c>
      <c r="B34" s="23" t="str">
        <f>IF(A34="","",Trabajadores!B32)</f>
        <v/>
      </c>
      <c r="C34" s="24" t="str">
        <f>IF(A34="","",Trabajadores!G32)</f>
        <v/>
      </c>
      <c r="D34" s="19" t="str">
        <f>IF($A34="","",SUMIFS('Registro de turnos'!$L$5:$L$504,'Registro de turnos'!$B$5:$B$504,$A34,'Registro de turnos'!$A$5:$A$504,"&gt;="&amp;$B$3,'Registro de turnos'!$A$5:$A$504,"&lt;="&amp;$B$4))</f>
        <v/>
      </c>
      <c r="E34" s="19" t="str">
        <f>IF($A34="","",SUMIFS('Registro de turnos'!$M$5:$M$504,'Registro de turnos'!$B$5:$B$504,$A34,'Registro de turnos'!$A$5:$A$504,"&gt;="&amp;$B$3,'Registro de turnos'!$A$5:$A$504,"&lt;="&amp;$B$4))</f>
        <v/>
      </c>
      <c r="F34" s="19" t="str">
        <f>IF($A34="","",SUMIFS('Registro de turnos'!$N$5:$N$504,'Registro de turnos'!$B$5:$B$504,$A34,'Registro de turnos'!$A$5:$A$504,"&gt;="&amp;$B$3,'Registro de turnos'!$A$5:$A$504,"&lt;="&amp;$B$4))</f>
        <v/>
      </c>
      <c r="G34" s="19" t="str">
        <f>IF($A34="","",SUMIFS('Registro de turnos'!$O$5:$O$504,'Registro de turnos'!$B$5:$B$504,$A34,'Registro de turnos'!$A$5:$A$504,"&gt;="&amp;$B$3,'Registro de turnos'!$A$5:$A$504,"&lt;="&amp;$B$4))</f>
        <v/>
      </c>
      <c r="H34" s="19" t="str">
        <f>IF($A34="","",SUMIFS('Registro de turnos'!$P$5:$P$504,'Registro de turnos'!$B$5:$B$504,$A34,'Registro de turnos'!$A$5:$A$504,"&gt;="&amp;$B$3,'Registro de turnos'!$A$5:$A$504,"&lt;="&amp;$B$4))</f>
        <v/>
      </c>
      <c r="I34" s="19" t="str">
        <f>IF($A34="","",SUMIFS('Registro de turnos'!$Q$5:$Q$504,'Registro de turnos'!$B$5:$B$504,$A34,'Registro de turnos'!$A$5:$A$504,"&gt;="&amp;$B$3,'Registro de turnos'!$A$5:$A$504,"&lt;="&amp;$B$4))</f>
        <v/>
      </c>
      <c r="J34" s="19" t="str">
        <f>IF($A34="","",SUMIFS('Registro de turnos'!$R$5:$R$504,'Registro de turnos'!$B$5:$B$504,$A34,'Registro de turnos'!$A$5:$A$504,"&gt;="&amp;$B$3,'Registro de turnos'!$A$5:$A$504,"&lt;="&amp;$B$4))</f>
        <v/>
      </c>
      <c r="K34" s="19" t="str">
        <f t="shared" si="0"/>
        <v/>
      </c>
      <c r="L34" s="17" t="str">
        <f>IF($A34="","",SUMIFS('Registro de turnos'!$T$5:$T$504,'Registro de turnos'!$B$5:$B$504,$A34,'Registro de turnos'!$A$5:$A$504,"&gt;="&amp;$B$3,'Registro de turnos'!$A$5:$A$504,"&lt;="&amp;$B$4))</f>
        <v/>
      </c>
      <c r="M34" s="17" t="str">
        <f t="shared" si="1"/>
        <v/>
      </c>
      <c r="N34" s="17" t="str">
        <f t="shared" si="2"/>
        <v/>
      </c>
      <c r="O34" s="17" t="str">
        <f t="shared" si="3"/>
        <v/>
      </c>
      <c r="P34" s="17" t="str">
        <f>IF($A34="","",ROUND(C34*D34*Parámetros!$B$8*0.0417,0))</f>
        <v/>
      </c>
      <c r="Q34" s="17" t="str">
        <f t="shared" si="4"/>
        <v/>
      </c>
      <c r="R34" s="17" t="str">
        <f t="shared" si="5"/>
        <v/>
      </c>
    </row>
    <row r="35" spans="1:18" x14ac:dyDescent="0.25">
      <c r="A35" s="22" t="str">
        <f>IF(Trabajadores!A33="","",Trabajadores!A33)</f>
        <v/>
      </c>
      <c r="B35" s="23" t="str">
        <f>IF(A35="","",Trabajadores!B33)</f>
        <v/>
      </c>
      <c r="C35" s="24" t="str">
        <f>IF(A35="","",Trabajadores!G33)</f>
        <v/>
      </c>
      <c r="D35" s="19" t="str">
        <f>IF($A35="","",SUMIFS('Registro de turnos'!$L$5:$L$504,'Registro de turnos'!$B$5:$B$504,$A35,'Registro de turnos'!$A$5:$A$504,"&gt;="&amp;$B$3,'Registro de turnos'!$A$5:$A$504,"&lt;="&amp;$B$4))</f>
        <v/>
      </c>
      <c r="E35" s="19" t="str">
        <f>IF($A35="","",SUMIFS('Registro de turnos'!$M$5:$M$504,'Registro de turnos'!$B$5:$B$504,$A35,'Registro de turnos'!$A$5:$A$504,"&gt;="&amp;$B$3,'Registro de turnos'!$A$5:$A$504,"&lt;="&amp;$B$4))</f>
        <v/>
      </c>
      <c r="F35" s="19" t="str">
        <f>IF($A35="","",SUMIFS('Registro de turnos'!$N$5:$N$504,'Registro de turnos'!$B$5:$B$504,$A35,'Registro de turnos'!$A$5:$A$504,"&gt;="&amp;$B$3,'Registro de turnos'!$A$5:$A$504,"&lt;="&amp;$B$4))</f>
        <v/>
      </c>
      <c r="G35" s="19" t="str">
        <f>IF($A35="","",SUMIFS('Registro de turnos'!$O$5:$O$504,'Registro de turnos'!$B$5:$B$504,$A35,'Registro de turnos'!$A$5:$A$504,"&gt;="&amp;$B$3,'Registro de turnos'!$A$5:$A$504,"&lt;="&amp;$B$4))</f>
        <v/>
      </c>
      <c r="H35" s="19" t="str">
        <f>IF($A35="","",SUMIFS('Registro de turnos'!$P$5:$P$504,'Registro de turnos'!$B$5:$B$504,$A35,'Registro de turnos'!$A$5:$A$504,"&gt;="&amp;$B$3,'Registro de turnos'!$A$5:$A$504,"&lt;="&amp;$B$4))</f>
        <v/>
      </c>
      <c r="I35" s="19" t="str">
        <f>IF($A35="","",SUMIFS('Registro de turnos'!$Q$5:$Q$504,'Registro de turnos'!$B$5:$B$504,$A35,'Registro de turnos'!$A$5:$A$504,"&gt;="&amp;$B$3,'Registro de turnos'!$A$5:$A$504,"&lt;="&amp;$B$4))</f>
        <v/>
      </c>
      <c r="J35" s="19" t="str">
        <f>IF($A35="","",SUMIFS('Registro de turnos'!$R$5:$R$504,'Registro de turnos'!$B$5:$B$504,$A35,'Registro de turnos'!$A$5:$A$504,"&gt;="&amp;$B$3,'Registro de turnos'!$A$5:$A$504,"&lt;="&amp;$B$4))</f>
        <v/>
      </c>
      <c r="K35" s="19" t="str">
        <f t="shared" si="0"/>
        <v/>
      </c>
      <c r="L35" s="17" t="str">
        <f>IF($A35="","",SUMIFS('Registro de turnos'!$T$5:$T$504,'Registro de turnos'!$B$5:$B$504,$A35,'Registro de turnos'!$A$5:$A$504,"&gt;="&amp;$B$3,'Registro de turnos'!$A$5:$A$504,"&lt;="&amp;$B$4))</f>
        <v/>
      </c>
      <c r="M35" s="17" t="str">
        <f t="shared" si="1"/>
        <v/>
      </c>
      <c r="N35" s="17" t="str">
        <f t="shared" si="2"/>
        <v/>
      </c>
      <c r="O35" s="17" t="str">
        <f t="shared" si="3"/>
        <v/>
      </c>
      <c r="P35" s="17" t="str">
        <f>IF($A35="","",ROUND(C35*D35*Parámetros!$B$8*0.0417,0))</f>
        <v/>
      </c>
      <c r="Q35" s="17" t="str">
        <f t="shared" si="4"/>
        <v/>
      </c>
      <c r="R35" s="17" t="str">
        <f t="shared" si="5"/>
        <v/>
      </c>
    </row>
    <row r="36" spans="1:18" x14ac:dyDescent="0.25">
      <c r="A36" s="22" t="str">
        <f>IF(Trabajadores!A34="","",Trabajadores!A34)</f>
        <v/>
      </c>
      <c r="B36" s="23" t="str">
        <f>IF(A36="","",Trabajadores!B34)</f>
        <v/>
      </c>
      <c r="C36" s="24" t="str">
        <f>IF(A36="","",Trabajadores!G34)</f>
        <v/>
      </c>
      <c r="D36" s="19" t="str">
        <f>IF($A36="","",SUMIFS('Registro de turnos'!$L$5:$L$504,'Registro de turnos'!$B$5:$B$504,$A36,'Registro de turnos'!$A$5:$A$504,"&gt;="&amp;$B$3,'Registro de turnos'!$A$5:$A$504,"&lt;="&amp;$B$4))</f>
        <v/>
      </c>
      <c r="E36" s="19" t="str">
        <f>IF($A36="","",SUMIFS('Registro de turnos'!$M$5:$M$504,'Registro de turnos'!$B$5:$B$504,$A36,'Registro de turnos'!$A$5:$A$504,"&gt;="&amp;$B$3,'Registro de turnos'!$A$5:$A$504,"&lt;="&amp;$B$4))</f>
        <v/>
      </c>
      <c r="F36" s="19" t="str">
        <f>IF($A36="","",SUMIFS('Registro de turnos'!$N$5:$N$504,'Registro de turnos'!$B$5:$B$504,$A36,'Registro de turnos'!$A$5:$A$504,"&gt;="&amp;$B$3,'Registro de turnos'!$A$5:$A$504,"&lt;="&amp;$B$4))</f>
        <v/>
      </c>
      <c r="G36" s="19" t="str">
        <f>IF($A36="","",SUMIFS('Registro de turnos'!$O$5:$O$504,'Registro de turnos'!$B$5:$B$504,$A36,'Registro de turnos'!$A$5:$A$504,"&gt;="&amp;$B$3,'Registro de turnos'!$A$5:$A$504,"&lt;="&amp;$B$4))</f>
        <v/>
      </c>
      <c r="H36" s="19" t="str">
        <f>IF($A36="","",SUMIFS('Registro de turnos'!$P$5:$P$504,'Registro de turnos'!$B$5:$B$504,$A36,'Registro de turnos'!$A$5:$A$504,"&gt;="&amp;$B$3,'Registro de turnos'!$A$5:$A$504,"&lt;="&amp;$B$4))</f>
        <v/>
      </c>
      <c r="I36" s="19" t="str">
        <f>IF($A36="","",SUMIFS('Registro de turnos'!$Q$5:$Q$504,'Registro de turnos'!$B$5:$B$504,$A36,'Registro de turnos'!$A$5:$A$504,"&gt;="&amp;$B$3,'Registro de turnos'!$A$5:$A$504,"&lt;="&amp;$B$4))</f>
        <v/>
      </c>
      <c r="J36" s="19" t="str">
        <f>IF($A36="","",SUMIFS('Registro de turnos'!$R$5:$R$504,'Registro de turnos'!$B$5:$B$504,$A36,'Registro de turnos'!$A$5:$A$504,"&gt;="&amp;$B$3,'Registro de turnos'!$A$5:$A$504,"&lt;="&amp;$B$4))</f>
        <v/>
      </c>
      <c r="K36" s="19" t="str">
        <f t="shared" si="0"/>
        <v/>
      </c>
      <c r="L36" s="17" t="str">
        <f>IF($A36="","",SUMIFS('Registro de turnos'!$T$5:$T$504,'Registro de turnos'!$B$5:$B$504,$A36,'Registro de turnos'!$A$5:$A$504,"&gt;="&amp;$B$3,'Registro de turnos'!$A$5:$A$504,"&lt;="&amp;$B$4))</f>
        <v/>
      </c>
      <c r="M36" s="17" t="str">
        <f t="shared" si="1"/>
        <v/>
      </c>
      <c r="N36" s="17" t="str">
        <f t="shared" si="2"/>
        <v/>
      </c>
      <c r="O36" s="17" t="str">
        <f t="shared" si="3"/>
        <v/>
      </c>
      <c r="P36" s="17" t="str">
        <f>IF($A36="","",ROUND(C36*D36*Parámetros!$B$8*0.0417,0))</f>
        <v/>
      </c>
      <c r="Q36" s="17" t="str">
        <f t="shared" si="4"/>
        <v/>
      </c>
      <c r="R36" s="17" t="str">
        <f t="shared" si="5"/>
        <v/>
      </c>
    </row>
    <row r="37" spans="1:18" x14ac:dyDescent="0.25">
      <c r="A37" s="22" t="str">
        <f>IF(Trabajadores!A35="","",Trabajadores!A35)</f>
        <v/>
      </c>
      <c r="B37" s="23" t="str">
        <f>IF(A37="","",Trabajadores!B35)</f>
        <v/>
      </c>
      <c r="C37" s="24" t="str">
        <f>IF(A37="","",Trabajadores!G35)</f>
        <v/>
      </c>
      <c r="D37" s="19" t="str">
        <f>IF($A37="","",SUMIFS('Registro de turnos'!$L$5:$L$504,'Registro de turnos'!$B$5:$B$504,$A37,'Registro de turnos'!$A$5:$A$504,"&gt;="&amp;$B$3,'Registro de turnos'!$A$5:$A$504,"&lt;="&amp;$B$4))</f>
        <v/>
      </c>
      <c r="E37" s="19" t="str">
        <f>IF($A37="","",SUMIFS('Registro de turnos'!$M$5:$M$504,'Registro de turnos'!$B$5:$B$504,$A37,'Registro de turnos'!$A$5:$A$504,"&gt;="&amp;$B$3,'Registro de turnos'!$A$5:$A$504,"&lt;="&amp;$B$4))</f>
        <v/>
      </c>
      <c r="F37" s="19" t="str">
        <f>IF($A37="","",SUMIFS('Registro de turnos'!$N$5:$N$504,'Registro de turnos'!$B$5:$B$504,$A37,'Registro de turnos'!$A$5:$A$504,"&gt;="&amp;$B$3,'Registro de turnos'!$A$5:$A$504,"&lt;="&amp;$B$4))</f>
        <v/>
      </c>
      <c r="G37" s="19" t="str">
        <f>IF($A37="","",SUMIFS('Registro de turnos'!$O$5:$O$504,'Registro de turnos'!$B$5:$B$504,$A37,'Registro de turnos'!$A$5:$A$504,"&gt;="&amp;$B$3,'Registro de turnos'!$A$5:$A$504,"&lt;="&amp;$B$4))</f>
        <v/>
      </c>
      <c r="H37" s="19" t="str">
        <f>IF($A37="","",SUMIFS('Registro de turnos'!$P$5:$P$504,'Registro de turnos'!$B$5:$B$504,$A37,'Registro de turnos'!$A$5:$A$504,"&gt;="&amp;$B$3,'Registro de turnos'!$A$5:$A$504,"&lt;="&amp;$B$4))</f>
        <v/>
      </c>
      <c r="I37" s="19" t="str">
        <f>IF($A37="","",SUMIFS('Registro de turnos'!$Q$5:$Q$504,'Registro de turnos'!$B$5:$B$504,$A37,'Registro de turnos'!$A$5:$A$504,"&gt;="&amp;$B$3,'Registro de turnos'!$A$5:$A$504,"&lt;="&amp;$B$4))</f>
        <v/>
      </c>
      <c r="J37" s="19" t="str">
        <f>IF($A37="","",SUMIFS('Registro de turnos'!$R$5:$R$504,'Registro de turnos'!$B$5:$B$504,$A37,'Registro de turnos'!$A$5:$A$504,"&gt;="&amp;$B$3,'Registro de turnos'!$A$5:$A$504,"&lt;="&amp;$B$4))</f>
        <v/>
      </c>
      <c r="K37" s="19" t="str">
        <f t="shared" si="0"/>
        <v/>
      </c>
      <c r="L37" s="17" t="str">
        <f>IF($A37="","",SUMIFS('Registro de turnos'!$T$5:$T$504,'Registro de turnos'!$B$5:$B$504,$A37,'Registro de turnos'!$A$5:$A$504,"&gt;="&amp;$B$3,'Registro de turnos'!$A$5:$A$504,"&lt;="&amp;$B$4))</f>
        <v/>
      </c>
      <c r="M37" s="17" t="str">
        <f t="shared" si="1"/>
        <v/>
      </c>
      <c r="N37" s="17" t="str">
        <f t="shared" si="2"/>
        <v/>
      </c>
      <c r="O37" s="17" t="str">
        <f t="shared" si="3"/>
        <v/>
      </c>
      <c r="P37" s="17" t="str">
        <f>IF($A37="","",ROUND(C37*D37*Parámetros!$B$8*0.0417,0))</f>
        <v/>
      </c>
      <c r="Q37" s="17" t="str">
        <f t="shared" si="4"/>
        <v/>
      </c>
      <c r="R37" s="17" t="str">
        <f t="shared" si="5"/>
        <v/>
      </c>
    </row>
    <row r="38" spans="1:18" x14ac:dyDescent="0.25">
      <c r="A38" s="22" t="str">
        <f>IF(Trabajadores!A36="","",Trabajadores!A36)</f>
        <v/>
      </c>
      <c r="B38" s="23" t="str">
        <f>IF(A38="","",Trabajadores!B36)</f>
        <v/>
      </c>
      <c r="C38" s="24" t="str">
        <f>IF(A38="","",Trabajadores!G36)</f>
        <v/>
      </c>
      <c r="D38" s="19" t="str">
        <f>IF($A38="","",SUMIFS('Registro de turnos'!$L$5:$L$504,'Registro de turnos'!$B$5:$B$504,$A38,'Registro de turnos'!$A$5:$A$504,"&gt;="&amp;$B$3,'Registro de turnos'!$A$5:$A$504,"&lt;="&amp;$B$4))</f>
        <v/>
      </c>
      <c r="E38" s="19" t="str">
        <f>IF($A38="","",SUMIFS('Registro de turnos'!$M$5:$M$504,'Registro de turnos'!$B$5:$B$504,$A38,'Registro de turnos'!$A$5:$A$504,"&gt;="&amp;$B$3,'Registro de turnos'!$A$5:$A$504,"&lt;="&amp;$B$4))</f>
        <v/>
      </c>
      <c r="F38" s="19" t="str">
        <f>IF($A38="","",SUMIFS('Registro de turnos'!$N$5:$N$504,'Registro de turnos'!$B$5:$B$504,$A38,'Registro de turnos'!$A$5:$A$504,"&gt;="&amp;$B$3,'Registro de turnos'!$A$5:$A$504,"&lt;="&amp;$B$4))</f>
        <v/>
      </c>
      <c r="G38" s="19" t="str">
        <f>IF($A38="","",SUMIFS('Registro de turnos'!$O$5:$O$504,'Registro de turnos'!$B$5:$B$504,$A38,'Registro de turnos'!$A$5:$A$504,"&gt;="&amp;$B$3,'Registro de turnos'!$A$5:$A$504,"&lt;="&amp;$B$4))</f>
        <v/>
      </c>
      <c r="H38" s="19" t="str">
        <f>IF($A38="","",SUMIFS('Registro de turnos'!$P$5:$P$504,'Registro de turnos'!$B$5:$B$504,$A38,'Registro de turnos'!$A$5:$A$504,"&gt;="&amp;$B$3,'Registro de turnos'!$A$5:$A$504,"&lt;="&amp;$B$4))</f>
        <v/>
      </c>
      <c r="I38" s="19" t="str">
        <f>IF($A38="","",SUMIFS('Registro de turnos'!$Q$5:$Q$504,'Registro de turnos'!$B$5:$B$504,$A38,'Registro de turnos'!$A$5:$A$504,"&gt;="&amp;$B$3,'Registro de turnos'!$A$5:$A$504,"&lt;="&amp;$B$4))</f>
        <v/>
      </c>
      <c r="J38" s="19" t="str">
        <f>IF($A38="","",SUMIFS('Registro de turnos'!$R$5:$R$504,'Registro de turnos'!$B$5:$B$504,$A38,'Registro de turnos'!$A$5:$A$504,"&gt;="&amp;$B$3,'Registro de turnos'!$A$5:$A$504,"&lt;="&amp;$B$4))</f>
        <v/>
      </c>
      <c r="K38" s="19" t="str">
        <f t="shared" si="0"/>
        <v/>
      </c>
      <c r="L38" s="17" t="str">
        <f>IF($A38="","",SUMIFS('Registro de turnos'!$T$5:$T$504,'Registro de turnos'!$B$5:$B$504,$A38,'Registro de turnos'!$A$5:$A$504,"&gt;="&amp;$B$3,'Registro de turnos'!$A$5:$A$504,"&lt;="&amp;$B$4))</f>
        <v/>
      </c>
      <c r="M38" s="17" t="str">
        <f t="shared" si="1"/>
        <v/>
      </c>
      <c r="N38" s="17" t="str">
        <f t="shared" si="2"/>
        <v/>
      </c>
      <c r="O38" s="17" t="str">
        <f t="shared" si="3"/>
        <v/>
      </c>
      <c r="P38" s="17" t="str">
        <f>IF($A38="","",ROUND(C38*D38*Parámetros!$B$8*0.0417,0))</f>
        <v/>
      </c>
      <c r="Q38" s="17" t="str">
        <f t="shared" si="4"/>
        <v/>
      </c>
      <c r="R38" s="17" t="str">
        <f t="shared" si="5"/>
        <v/>
      </c>
    </row>
    <row r="39" spans="1:18" x14ac:dyDescent="0.25">
      <c r="A39" s="22" t="str">
        <f>IF(Trabajadores!A37="","",Trabajadores!A37)</f>
        <v/>
      </c>
      <c r="B39" s="23" t="str">
        <f>IF(A39="","",Trabajadores!B37)</f>
        <v/>
      </c>
      <c r="C39" s="24" t="str">
        <f>IF(A39="","",Trabajadores!G37)</f>
        <v/>
      </c>
      <c r="D39" s="19" t="str">
        <f>IF($A39="","",SUMIFS('Registro de turnos'!$L$5:$L$504,'Registro de turnos'!$B$5:$B$504,$A39,'Registro de turnos'!$A$5:$A$504,"&gt;="&amp;$B$3,'Registro de turnos'!$A$5:$A$504,"&lt;="&amp;$B$4))</f>
        <v/>
      </c>
      <c r="E39" s="19" t="str">
        <f>IF($A39="","",SUMIFS('Registro de turnos'!$M$5:$M$504,'Registro de turnos'!$B$5:$B$504,$A39,'Registro de turnos'!$A$5:$A$504,"&gt;="&amp;$B$3,'Registro de turnos'!$A$5:$A$504,"&lt;="&amp;$B$4))</f>
        <v/>
      </c>
      <c r="F39" s="19" t="str">
        <f>IF($A39="","",SUMIFS('Registro de turnos'!$N$5:$N$504,'Registro de turnos'!$B$5:$B$504,$A39,'Registro de turnos'!$A$5:$A$504,"&gt;="&amp;$B$3,'Registro de turnos'!$A$5:$A$504,"&lt;="&amp;$B$4))</f>
        <v/>
      </c>
      <c r="G39" s="19" t="str">
        <f>IF($A39="","",SUMIFS('Registro de turnos'!$O$5:$O$504,'Registro de turnos'!$B$5:$B$504,$A39,'Registro de turnos'!$A$5:$A$504,"&gt;="&amp;$B$3,'Registro de turnos'!$A$5:$A$504,"&lt;="&amp;$B$4))</f>
        <v/>
      </c>
      <c r="H39" s="19" t="str">
        <f>IF($A39="","",SUMIFS('Registro de turnos'!$P$5:$P$504,'Registro de turnos'!$B$5:$B$504,$A39,'Registro de turnos'!$A$5:$A$504,"&gt;="&amp;$B$3,'Registro de turnos'!$A$5:$A$504,"&lt;="&amp;$B$4))</f>
        <v/>
      </c>
      <c r="I39" s="19" t="str">
        <f>IF($A39="","",SUMIFS('Registro de turnos'!$Q$5:$Q$504,'Registro de turnos'!$B$5:$B$504,$A39,'Registro de turnos'!$A$5:$A$504,"&gt;="&amp;$B$3,'Registro de turnos'!$A$5:$A$504,"&lt;="&amp;$B$4))</f>
        <v/>
      </c>
      <c r="J39" s="19" t="str">
        <f>IF($A39="","",SUMIFS('Registro de turnos'!$R$5:$R$504,'Registro de turnos'!$B$5:$B$504,$A39,'Registro de turnos'!$A$5:$A$504,"&gt;="&amp;$B$3,'Registro de turnos'!$A$5:$A$504,"&lt;="&amp;$B$4))</f>
        <v/>
      </c>
      <c r="K39" s="19" t="str">
        <f t="shared" ref="K39:K70" si="6">IF($A39="","",E39+F39+I39+J39)</f>
        <v/>
      </c>
      <c r="L39" s="17" t="str">
        <f>IF($A39="","",SUMIFS('Registro de turnos'!$T$5:$T$504,'Registro de turnos'!$B$5:$B$504,$A39,'Registro de turnos'!$A$5:$A$504,"&gt;="&amp;$B$3,'Registro de turnos'!$A$5:$A$504,"&lt;="&amp;$B$4))</f>
        <v/>
      </c>
      <c r="M39" s="17" t="str">
        <f t="shared" ref="M39:M70" si="7">IF($A39="","",ROUND(L39*0.0833,0))</f>
        <v/>
      </c>
      <c r="N39" s="17" t="str">
        <f t="shared" ref="N39:N70" si="8">IF($A39="","",ROUND(L39*0.0833,0))</f>
        <v/>
      </c>
      <c r="O39" s="17" t="str">
        <f t="shared" ref="O39:O70" si="9">IF($A39="","",ROUND(L39*0.01,0))</f>
        <v/>
      </c>
      <c r="P39" s="17" t="str">
        <f>IF($A39="","",ROUND(C39*D39*Parámetros!$B$8*0.0417,0))</f>
        <v/>
      </c>
      <c r="Q39" s="17" t="str">
        <f t="shared" ref="Q39:Q70" si="10">IF($A39="","",ROUND(L39*0.08,0))</f>
        <v/>
      </c>
      <c r="R39" s="17" t="str">
        <f t="shared" ref="R39:R70" si="11">IF($A39="","",L39-Q39)</f>
        <v/>
      </c>
    </row>
    <row r="40" spans="1:18" x14ac:dyDescent="0.25">
      <c r="A40" s="22" t="str">
        <f>IF(Trabajadores!A38="","",Trabajadores!A38)</f>
        <v/>
      </c>
      <c r="B40" s="23" t="str">
        <f>IF(A40="","",Trabajadores!B38)</f>
        <v/>
      </c>
      <c r="C40" s="24" t="str">
        <f>IF(A40="","",Trabajadores!G38)</f>
        <v/>
      </c>
      <c r="D40" s="19" t="str">
        <f>IF($A40="","",SUMIFS('Registro de turnos'!$L$5:$L$504,'Registro de turnos'!$B$5:$B$504,$A40,'Registro de turnos'!$A$5:$A$504,"&gt;="&amp;$B$3,'Registro de turnos'!$A$5:$A$504,"&lt;="&amp;$B$4))</f>
        <v/>
      </c>
      <c r="E40" s="19" t="str">
        <f>IF($A40="","",SUMIFS('Registro de turnos'!$M$5:$M$504,'Registro de turnos'!$B$5:$B$504,$A40,'Registro de turnos'!$A$5:$A$504,"&gt;="&amp;$B$3,'Registro de turnos'!$A$5:$A$504,"&lt;="&amp;$B$4))</f>
        <v/>
      </c>
      <c r="F40" s="19" t="str">
        <f>IF($A40="","",SUMIFS('Registro de turnos'!$N$5:$N$504,'Registro de turnos'!$B$5:$B$504,$A40,'Registro de turnos'!$A$5:$A$504,"&gt;="&amp;$B$3,'Registro de turnos'!$A$5:$A$504,"&lt;="&amp;$B$4))</f>
        <v/>
      </c>
      <c r="G40" s="19" t="str">
        <f>IF($A40="","",SUMIFS('Registro de turnos'!$O$5:$O$504,'Registro de turnos'!$B$5:$B$504,$A40,'Registro de turnos'!$A$5:$A$504,"&gt;="&amp;$B$3,'Registro de turnos'!$A$5:$A$504,"&lt;="&amp;$B$4))</f>
        <v/>
      </c>
      <c r="H40" s="19" t="str">
        <f>IF($A40="","",SUMIFS('Registro de turnos'!$P$5:$P$504,'Registro de turnos'!$B$5:$B$504,$A40,'Registro de turnos'!$A$5:$A$504,"&gt;="&amp;$B$3,'Registro de turnos'!$A$5:$A$504,"&lt;="&amp;$B$4))</f>
        <v/>
      </c>
      <c r="I40" s="19" t="str">
        <f>IF($A40="","",SUMIFS('Registro de turnos'!$Q$5:$Q$504,'Registro de turnos'!$B$5:$B$504,$A40,'Registro de turnos'!$A$5:$A$504,"&gt;="&amp;$B$3,'Registro de turnos'!$A$5:$A$504,"&lt;="&amp;$B$4))</f>
        <v/>
      </c>
      <c r="J40" s="19" t="str">
        <f>IF($A40="","",SUMIFS('Registro de turnos'!$R$5:$R$504,'Registro de turnos'!$B$5:$B$504,$A40,'Registro de turnos'!$A$5:$A$504,"&gt;="&amp;$B$3,'Registro de turnos'!$A$5:$A$504,"&lt;="&amp;$B$4))</f>
        <v/>
      </c>
      <c r="K40" s="19" t="str">
        <f t="shared" si="6"/>
        <v/>
      </c>
      <c r="L40" s="17" t="str">
        <f>IF($A40="","",SUMIFS('Registro de turnos'!$T$5:$T$504,'Registro de turnos'!$B$5:$B$504,$A40,'Registro de turnos'!$A$5:$A$504,"&gt;="&amp;$B$3,'Registro de turnos'!$A$5:$A$504,"&lt;="&amp;$B$4))</f>
        <v/>
      </c>
      <c r="M40" s="17" t="str">
        <f t="shared" si="7"/>
        <v/>
      </c>
      <c r="N40" s="17" t="str">
        <f t="shared" si="8"/>
        <v/>
      </c>
      <c r="O40" s="17" t="str">
        <f t="shared" si="9"/>
        <v/>
      </c>
      <c r="P40" s="17" t="str">
        <f>IF($A40="","",ROUND(C40*D40*Parámetros!$B$8*0.0417,0))</f>
        <v/>
      </c>
      <c r="Q40" s="17" t="str">
        <f t="shared" si="10"/>
        <v/>
      </c>
      <c r="R40" s="17" t="str">
        <f t="shared" si="11"/>
        <v/>
      </c>
    </row>
    <row r="41" spans="1:18" x14ac:dyDescent="0.25">
      <c r="A41" s="22" t="str">
        <f>IF(Trabajadores!A39="","",Trabajadores!A39)</f>
        <v/>
      </c>
      <c r="B41" s="23" t="str">
        <f>IF(A41="","",Trabajadores!B39)</f>
        <v/>
      </c>
      <c r="C41" s="24" t="str">
        <f>IF(A41="","",Trabajadores!G39)</f>
        <v/>
      </c>
      <c r="D41" s="19" t="str">
        <f>IF($A41="","",SUMIFS('Registro de turnos'!$L$5:$L$504,'Registro de turnos'!$B$5:$B$504,$A41,'Registro de turnos'!$A$5:$A$504,"&gt;="&amp;$B$3,'Registro de turnos'!$A$5:$A$504,"&lt;="&amp;$B$4))</f>
        <v/>
      </c>
      <c r="E41" s="19" t="str">
        <f>IF($A41="","",SUMIFS('Registro de turnos'!$M$5:$M$504,'Registro de turnos'!$B$5:$B$504,$A41,'Registro de turnos'!$A$5:$A$504,"&gt;="&amp;$B$3,'Registro de turnos'!$A$5:$A$504,"&lt;="&amp;$B$4))</f>
        <v/>
      </c>
      <c r="F41" s="19" t="str">
        <f>IF($A41="","",SUMIFS('Registro de turnos'!$N$5:$N$504,'Registro de turnos'!$B$5:$B$504,$A41,'Registro de turnos'!$A$5:$A$504,"&gt;="&amp;$B$3,'Registro de turnos'!$A$5:$A$504,"&lt;="&amp;$B$4))</f>
        <v/>
      </c>
      <c r="G41" s="19" t="str">
        <f>IF($A41="","",SUMIFS('Registro de turnos'!$O$5:$O$504,'Registro de turnos'!$B$5:$B$504,$A41,'Registro de turnos'!$A$5:$A$504,"&gt;="&amp;$B$3,'Registro de turnos'!$A$5:$A$504,"&lt;="&amp;$B$4))</f>
        <v/>
      </c>
      <c r="H41" s="19" t="str">
        <f>IF($A41="","",SUMIFS('Registro de turnos'!$P$5:$P$504,'Registro de turnos'!$B$5:$B$504,$A41,'Registro de turnos'!$A$5:$A$504,"&gt;="&amp;$B$3,'Registro de turnos'!$A$5:$A$504,"&lt;="&amp;$B$4))</f>
        <v/>
      </c>
      <c r="I41" s="19" t="str">
        <f>IF($A41="","",SUMIFS('Registro de turnos'!$Q$5:$Q$504,'Registro de turnos'!$B$5:$B$504,$A41,'Registro de turnos'!$A$5:$A$504,"&gt;="&amp;$B$3,'Registro de turnos'!$A$5:$A$504,"&lt;="&amp;$B$4))</f>
        <v/>
      </c>
      <c r="J41" s="19" t="str">
        <f>IF($A41="","",SUMIFS('Registro de turnos'!$R$5:$R$504,'Registro de turnos'!$B$5:$B$504,$A41,'Registro de turnos'!$A$5:$A$504,"&gt;="&amp;$B$3,'Registro de turnos'!$A$5:$A$504,"&lt;="&amp;$B$4))</f>
        <v/>
      </c>
      <c r="K41" s="19" t="str">
        <f t="shared" si="6"/>
        <v/>
      </c>
      <c r="L41" s="17" t="str">
        <f>IF($A41="","",SUMIFS('Registro de turnos'!$T$5:$T$504,'Registro de turnos'!$B$5:$B$504,$A41,'Registro de turnos'!$A$5:$A$504,"&gt;="&amp;$B$3,'Registro de turnos'!$A$5:$A$504,"&lt;="&amp;$B$4))</f>
        <v/>
      </c>
      <c r="M41" s="17" t="str">
        <f t="shared" si="7"/>
        <v/>
      </c>
      <c r="N41" s="17" t="str">
        <f t="shared" si="8"/>
        <v/>
      </c>
      <c r="O41" s="17" t="str">
        <f t="shared" si="9"/>
        <v/>
      </c>
      <c r="P41" s="17" t="str">
        <f>IF($A41="","",ROUND(C41*D41*Parámetros!$B$8*0.0417,0))</f>
        <v/>
      </c>
      <c r="Q41" s="17" t="str">
        <f t="shared" si="10"/>
        <v/>
      </c>
      <c r="R41" s="17" t="str">
        <f t="shared" si="11"/>
        <v/>
      </c>
    </row>
    <row r="42" spans="1:18" x14ac:dyDescent="0.25">
      <c r="A42" s="22" t="str">
        <f>IF(Trabajadores!A40="","",Trabajadores!A40)</f>
        <v/>
      </c>
      <c r="B42" s="23" t="str">
        <f>IF(A42="","",Trabajadores!B40)</f>
        <v/>
      </c>
      <c r="C42" s="24" t="str">
        <f>IF(A42="","",Trabajadores!G40)</f>
        <v/>
      </c>
      <c r="D42" s="19" t="str">
        <f>IF($A42="","",SUMIFS('Registro de turnos'!$L$5:$L$504,'Registro de turnos'!$B$5:$B$504,$A42,'Registro de turnos'!$A$5:$A$504,"&gt;="&amp;$B$3,'Registro de turnos'!$A$5:$A$504,"&lt;="&amp;$B$4))</f>
        <v/>
      </c>
      <c r="E42" s="19" t="str">
        <f>IF($A42="","",SUMIFS('Registro de turnos'!$M$5:$M$504,'Registro de turnos'!$B$5:$B$504,$A42,'Registro de turnos'!$A$5:$A$504,"&gt;="&amp;$B$3,'Registro de turnos'!$A$5:$A$504,"&lt;="&amp;$B$4))</f>
        <v/>
      </c>
      <c r="F42" s="19" t="str">
        <f>IF($A42="","",SUMIFS('Registro de turnos'!$N$5:$N$504,'Registro de turnos'!$B$5:$B$504,$A42,'Registro de turnos'!$A$5:$A$504,"&gt;="&amp;$B$3,'Registro de turnos'!$A$5:$A$504,"&lt;="&amp;$B$4))</f>
        <v/>
      </c>
      <c r="G42" s="19" t="str">
        <f>IF($A42="","",SUMIFS('Registro de turnos'!$O$5:$O$504,'Registro de turnos'!$B$5:$B$504,$A42,'Registro de turnos'!$A$5:$A$504,"&gt;="&amp;$B$3,'Registro de turnos'!$A$5:$A$504,"&lt;="&amp;$B$4))</f>
        <v/>
      </c>
      <c r="H42" s="19" t="str">
        <f>IF($A42="","",SUMIFS('Registro de turnos'!$P$5:$P$504,'Registro de turnos'!$B$5:$B$504,$A42,'Registro de turnos'!$A$5:$A$504,"&gt;="&amp;$B$3,'Registro de turnos'!$A$5:$A$504,"&lt;="&amp;$B$4))</f>
        <v/>
      </c>
      <c r="I42" s="19" t="str">
        <f>IF($A42="","",SUMIFS('Registro de turnos'!$Q$5:$Q$504,'Registro de turnos'!$B$5:$B$504,$A42,'Registro de turnos'!$A$5:$A$504,"&gt;="&amp;$B$3,'Registro de turnos'!$A$5:$A$504,"&lt;="&amp;$B$4))</f>
        <v/>
      </c>
      <c r="J42" s="19" t="str">
        <f>IF($A42="","",SUMIFS('Registro de turnos'!$R$5:$R$504,'Registro de turnos'!$B$5:$B$504,$A42,'Registro de turnos'!$A$5:$A$504,"&gt;="&amp;$B$3,'Registro de turnos'!$A$5:$A$504,"&lt;="&amp;$B$4))</f>
        <v/>
      </c>
      <c r="K42" s="19" t="str">
        <f t="shared" si="6"/>
        <v/>
      </c>
      <c r="L42" s="17" t="str">
        <f>IF($A42="","",SUMIFS('Registro de turnos'!$T$5:$T$504,'Registro de turnos'!$B$5:$B$504,$A42,'Registro de turnos'!$A$5:$A$504,"&gt;="&amp;$B$3,'Registro de turnos'!$A$5:$A$504,"&lt;="&amp;$B$4))</f>
        <v/>
      </c>
      <c r="M42" s="17" t="str">
        <f t="shared" si="7"/>
        <v/>
      </c>
      <c r="N42" s="17" t="str">
        <f t="shared" si="8"/>
        <v/>
      </c>
      <c r="O42" s="17" t="str">
        <f t="shared" si="9"/>
        <v/>
      </c>
      <c r="P42" s="17" t="str">
        <f>IF($A42="","",ROUND(C42*D42*Parámetros!$B$8*0.0417,0))</f>
        <v/>
      </c>
      <c r="Q42" s="17" t="str">
        <f t="shared" si="10"/>
        <v/>
      </c>
      <c r="R42" s="17" t="str">
        <f t="shared" si="11"/>
        <v/>
      </c>
    </row>
    <row r="43" spans="1:18" x14ac:dyDescent="0.25">
      <c r="A43" s="22" t="str">
        <f>IF(Trabajadores!A41="","",Trabajadores!A41)</f>
        <v/>
      </c>
      <c r="B43" s="23" t="str">
        <f>IF(A43="","",Trabajadores!B41)</f>
        <v/>
      </c>
      <c r="C43" s="24" t="str">
        <f>IF(A43="","",Trabajadores!G41)</f>
        <v/>
      </c>
      <c r="D43" s="19" t="str">
        <f>IF($A43="","",SUMIFS('Registro de turnos'!$L$5:$L$504,'Registro de turnos'!$B$5:$B$504,$A43,'Registro de turnos'!$A$5:$A$504,"&gt;="&amp;$B$3,'Registro de turnos'!$A$5:$A$504,"&lt;="&amp;$B$4))</f>
        <v/>
      </c>
      <c r="E43" s="19" t="str">
        <f>IF($A43="","",SUMIFS('Registro de turnos'!$M$5:$M$504,'Registro de turnos'!$B$5:$B$504,$A43,'Registro de turnos'!$A$5:$A$504,"&gt;="&amp;$B$3,'Registro de turnos'!$A$5:$A$504,"&lt;="&amp;$B$4))</f>
        <v/>
      </c>
      <c r="F43" s="19" t="str">
        <f>IF($A43="","",SUMIFS('Registro de turnos'!$N$5:$N$504,'Registro de turnos'!$B$5:$B$504,$A43,'Registro de turnos'!$A$5:$A$504,"&gt;="&amp;$B$3,'Registro de turnos'!$A$5:$A$504,"&lt;="&amp;$B$4))</f>
        <v/>
      </c>
      <c r="G43" s="19" t="str">
        <f>IF($A43="","",SUMIFS('Registro de turnos'!$O$5:$O$504,'Registro de turnos'!$B$5:$B$504,$A43,'Registro de turnos'!$A$5:$A$504,"&gt;="&amp;$B$3,'Registro de turnos'!$A$5:$A$504,"&lt;="&amp;$B$4))</f>
        <v/>
      </c>
      <c r="H43" s="19" t="str">
        <f>IF($A43="","",SUMIFS('Registro de turnos'!$P$5:$P$504,'Registro de turnos'!$B$5:$B$504,$A43,'Registro de turnos'!$A$5:$A$504,"&gt;="&amp;$B$3,'Registro de turnos'!$A$5:$A$504,"&lt;="&amp;$B$4))</f>
        <v/>
      </c>
      <c r="I43" s="19" t="str">
        <f>IF($A43="","",SUMIFS('Registro de turnos'!$Q$5:$Q$504,'Registro de turnos'!$B$5:$B$504,$A43,'Registro de turnos'!$A$5:$A$504,"&gt;="&amp;$B$3,'Registro de turnos'!$A$5:$A$504,"&lt;="&amp;$B$4))</f>
        <v/>
      </c>
      <c r="J43" s="19" t="str">
        <f>IF($A43="","",SUMIFS('Registro de turnos'!$R$5:$R$504,'Registro de turnos'!$B$5:$B$504,$A43,'Registro de turnos'!$A$5:$A$504,"&gt;="&amp;$B$3,'Registro de turnos'!$A$5:$A$504,"&lt;="&amp;$B$4))</f>
        <v/>
      </c>
      <c r="K43" s="19" t="str">
        <f t="shared" si="6"/>
        <v/>
      </c>
      <c r="L43" s="17" t="str">
        <f>IF($A43="","",SUMIFS('Registro de turnos'!$T$5:$T$504,'Registro de turnos'!$B$5:$B$504,$A43,'Registro de turnos'!$A$5:$A$504,"&gt;="&amp;$B$3,'Registro de turnos'!$A$5:$A$504,"&lt;="&amp;$B$4))</f>
        <v/>
      </c>
      <c r="M43" s="17" t="str">
        <f t="shared" si="7"/>
        <v/>
      </c>
      <c r="N43" s="17" t="str">
        <f t="shared" si="8"/>
        <v/>
      </c>
      <c r="O43" s="17" t="str">
        <f t="shared" si="9"/>
        <v/>
      </c>
      <c r="P43" s="17" t="str">
        <f>IF($A43="","",ROUND(C43*D43*Parámetros!$B$8*0.0417,0))</f>
        <v/>
      </c>
      <c r="Q43" s="17" t="str">
        <f t="shared" si="10"/>
        <v/>
      </c>
      <c r="R43" s="17" t="str">
        <f t="shared" si="11"/>
        <v/>
      </c>
    </row>
    <row r="44" spans="1:18" x14ac:dyDescent="0.25">
      <c r="A44" s="22" t="str">
        <f>IF(Trabajadores!A42="","",Trabajadores!A42)</f>
        <v/>
      </c>
      <c r="B44" s="23" t="str">
        <f>IF(A44="","",Trabajadores!B42)</f>
        <v/>
      </c>
      <c r="C44" s="24" t="str">
        <f>IF(A44="","",Trabajadores!G42)</f>
        <v/>
      </c>
      <c r="D44" s="19" t="str">
        <f>IF($A44="","",SUMIFS('Registro de turnos'!$L$5:$L$504,'Registro de turnos'!$B$5:$B$504,$A44,'Registro de turnos'!$A$5:$A$504,"&gt;="&amp;$B$3,'Registro de turnos'!$A$5:$A$504,"&lt;="&amp;$B$4))</f>
        <v/>
      </c>
      <c r="E44" s="19" t="str">
        <f>IF($A44="","",SUMIFS('Registro de turnos'!$M$5:$M$504,'Registro de turnos'!$B$5:$B$504,$A44,'Registro de turnos'!$A$5:$A$504,"&gt;="&amp;$B$3,'Registro de turnos'!$A$5:$A$504,"&lt;="&amp;$B$4))</f>
        <v/>
      </c>
      <c r="F44" s="19" t="str">
        <f>IF($A44="","",SUMIFS('Registro de turnos'!$N$5:$N$504,'Registro de turnos'!$B$5:$B$504,$A44,'Registro de turnos'!$A$5:$A$504,"&gt;="&amp;$B$3,'Registro de turnos'!$A$5:$A$504,"&lt;="&amp;$B$4))</f>
        <v/>
      </c>
      <c r="G44" s="19" t="str">
        <f>IF($A44="","",SUMIFS('Registro de turnos'!$O$5:$O$504,'Registro de turnos'!$B$5:$B$504,$A44,'Registro de turnos'!$A$5:$A$504,"&gt;="&amp;$B$3,'Registro de turnos'!$A$5:$A$504,"&lt;="&amp;$B$4))</f>
        <v/>
      </c>
      <c r="H44" s="19" t="str">
        <f>IF($A44="","",SUMIFS('Registro de turnos'!$P$5:$P$504,'Registro de turnos'!$B$5:$B$504,$A44,'Registro de turnos'!$A$5:$A$504,"&gt;="&amp;$B$3,'Registro de turnos'!$A$5:$A$504,"&lt;="&amp;$B$4))</f>
        <v/>
      </c>
      <c r="I44" s="19" t="str">
        <f>IF($A44="","",SUMIFS('Registro de turnos'!$Q$5:$Q$504,'Registro de turnos'!$B$5:$B$504,$A44,'Registro de turnos'!$A$5:$A$504,"&gt;="&amp;$B$3,'Registro de turnos'!$A$5:$A$504,"&lt;="&amp;$B$4))</f>
        <v/>
      </c>
      <c r="J44" s="19" t="str">
        <f>IF($A44="","",SUMIFS('Registro de turnos'!$R$5:$R$504,'Registro de turnos'!$B$5:$B$504,$A44,'Registro de turnos'!$A$5:$A$504,"&gt;="&amp;$B$3,'Registro de turnos'!$A$5:$A$504,"&lt;="&amp;$B$4))</f>
        <v/>
      </c>
      <c r="K44" s="19" t="str">
        <f t="shared" si="6"/>
        <v/>
      </c>
      <c r="L44" s="17" t="str">
        <f>IF($A44="","",SUMIFS('Registro de turnos'!$T$5:$T$504,'Registro de turnos'!$B$5:$B$504,$A44,'Registro de turnos'!$A$5:$A$504,"&gt;="&amp;$B$3,'Registro de turnos'!$A$5:$A$504,"&lt;="&amp;$B$4))</f>
        <v/>
      </c>
      <c r="M44" s="17" t="str">
        <f t="shared" si="7"/>
        <v/>
      </c>
      <c r="N44" s="17" t="str">
        <f t="shared" si="8"/>
        <v/>
      </c>
      <c r="O44" s="17" t="str">
        <f t="shared" si="9"/>
        <v/>
      </c>
      <c r="P44" s="17" t="str">
        <f>IF($A44="","",ROUND(C44*D44*Parámetros!$B$8*0.0417,0))</f>
        <v/>
      </c>
      <c r="Q44" s="17" t="str">
        <f t="shared" si="10"/>
        <v/>
      </c>
      <c r="R44" s="17" t="str">
        <f t="shared" si="11"/>
        <v/>
      </c>
    </row>
    <row r="45" spans="1:18" x14ac:dyDescent="0.25">
      <c r="A45" s="22" t="str">
        <f>IF(Trabajadores!A43="","",Trabajadores!A43)</f>
        <v/>
      </c>
      <c r="B45" s="23" t="str">
        <f>IF(A45="","",Trabajadores!B43)</f>
        <v/>
      </c>
      <c r="C45" s="24" t="str">
        <f>IF(A45="","",Trabajadores!G43)</f>
        <v/>
      </c>
      <c r="D45" s="19" t="str">
        <f>IF($A45="","",SUMIFS('Registro de turnos'!$L$5:$L$504,'Registro de turnos'!$B$5:$B$504,$A45,'Registro de turnos'!$A$5:$A$504,"&gt;="&amp;$B$3,'Registro de turnos'!$A$5:$A$504,"&lt;="&amp;$B$4))</f>
        <v/>
      </c>
      <c r="E45" s="19" t="str">
        <f>IF($A45="","",SUMIFS('Registro de turnos'!$M$5:$M$504,'Registro de turnos'!$B$5:$B$504,$A45,'Registro de turnos'!$A$5:$A$504,"&gt;="&amp;$B$3,'Registro de turnos'!$A$5:$A$504,"&lt;="&amp;$B$4))</f>
        <v/>
      </c>
      <c r="F45" s="19" t="str">
        <f>IF($A45="","",SUMIFS('Registro de turnos'!$N$5:$N$504,'Registro de turnos'!$B$5:$B$504,$A45,'Registro de turnos'!$A$5:$A$504,"&gt;="&amp;$B$3,'Registro de turnos'!$A$5:$A$504,"&lt;="&amp;$B$4))</f>
        <v/>
      </c>
      <c r="G45" s="19" t="str">
        <f>IF($A45="","",SUMIFS('Registro de turnos'!$O$5:$O$504,'Registro de turnos'!$B$5:$B$504,$A45,'Registro de turnos'!$A$5:$A$504,"&gt;="&amp;$B$3,'Registro de turnos'!$A$5:$A$504,"&lt;="&amp;$B$4))</f>
        <v/>
      </c>
      <c r="H45" s="19" t="str">
        <f>IF($A45="","",SUMIFS('Registro de turnos'!$P$5:$P$504,'Registro de turnos'!$B$5:$B$504,$A45,'Registro de turnos'!$A$5:$A$504,"&gt;="&amp;$B$3,'Registro de turnos'!$A$5:$A$504,"&lt;="&amp;$B$4))</f>
        <v/>
      </c>
      <c r="I45" s="19" t="str">
        <f>IF($A45="","",SUMIFS('Registro de turnos'!$Q$5:$Q$504,'Registro de turnos'!$B$5:$B$504,$A45,'Registro de turnos'!$A$5:$A$504,"&gt;="&amp;$B$3,'Registro de turnos'!$A$5:$A$504,"&lt;="&amp;$B$4))</f>
        <v/>
      </c>
      <c r="J45" s="19" t="str">
        <f>IF($A45="","",SUMIFS('Registro de turnos'!$R$5:$R$504,'Registro de turnos'!$B$5:$B$504,$A45,'Registro de turnos'!$A$5:$A$504,"&gt;="&amp;$B$3,'Registro de turnos'!$A$5:$A$504,"&lt;="&amp;$B$4))</f>
        <v/>
      </c>
      <c r="K45" s="19" t="str">
        <f t="shared" si="6"/>
        <v/>
      </c>
      <c r="L45" s="17" t="str">
        <f>IF($A45="","",SUMIFS('Registro de turnos'!$T$5:$T$504,'Registro de turnos'!$B$5:$B$504,$A45,'Registro de turnos'!$A$5:$A$504,"&gt;="&amp;$B$3,'Registro de turnos'!$A$5:$A$504,"&lt;="&amp;$B$4))</f>
        <v/>
      </c>
      <c r="M45" s="17" t="str">
        <f t="shared" si="7"/>
        <v/>
      </c>
      <c r="N45" s="17" t="str">
        <f t="shared" si="8"/>
        <v/>
      </c>
      <c r="O45" s="17" t="str">
        <f t="shared" si="9"/>
        <v/>
      </c>
      <c r="P45" s="17" t="str">
        <f>IF($A45="","",ROUND(C45*D45*Parámetros!$B$8*0.0417,0))</f>
        <v/>
      </c>
      <c r="Q45" s="17" t="str">
        <f t="shared" si="10"/>
        <v/>
      </c>
      <c r="R45" s="17" t="str">
        <f t="shared" si="11"/>
        <v/>
      </c>
    </row>
    <row r="46" spans="1:18" x14ac:dyDescent="0.25">
      <c r="A46" s="22" t="str">
        <f>IF(Trabajadores!A44="","",Trabajadores!A44)</f>
        <v/>
      </c>
      <c r="B46" s="23" t="str">
        <f>IF(A46="","",Trabajadores!B44)</f>
        <v/>
      </c>
      <c r="C46" s="24" t="str">
        <f>IF(A46="","",Trabajadores!G44)</f>
        <v/>
      </c>
      <c r="D46" s="19" t="str">
        <f>IF($A46="","",SUMIFS('Registro de turnos'!$L$5:$L$504,'Registro de turnos'!$B$5:$B$504,$A46,'Registro de turnos'!$A$5:$A$504,"&gt;="&amp;$B$3,'Registro de turnos'!$A$5:$A$504,"&lt;="&amp;$B$4))</f>
        <v/>
      </c>
      <c r="E46" s="19" t="str">
        <f>IF($A46="","",SUMIFS('Registro de turnos'!$M$5:$M$504,'Registro de turnos'!$B$5:$B$504,$A46,'Registro de turnos'!$A$5:$A$504,"&gt;="&amp;$B$3,'Registro de turnos'!$A$5:$A$504,"&lt;="&amp;$B$4))</f>
        <v/>
      </c>
      <c r="F46" s="19" t="str">
        <f>IF($A46="","",SUMIFS('Registro de turnos'!$N$5:$N$504,'Registro de turnos'!$B$5:$B$504,$A46,'Registro de turnos'!$A$5:$A$504,"&gt;="&amp;$B$3,'Registro de turnos'!$A$5:$A$504,"&lt;="&amp;$B$4))</f>
        <v/>
      </c>
      <c r="G46" s="19" t="str">
        <f>IF($A46="","",SUMIFS('Registro de turnos'!$O$5:$O$504,'Registro de turnos'!$B$5:$B$504,$A46,'Registro de turnos'!$A$5:$A$504,"&gt;="&amp;$B$3,'Registro de turnos'!$A$5:$A$504,"&lt;="&amp;$B$4))</f>
        <v/>
      </c>
      <c r="H46" s="19" t="str">
        <f>IF($A46="","",SUMIFS('Registro de turnos'!$P$5:$P$504,'Registro de turnos'!$B$5:$B$504,$A46,'Registro de turnos'!$A$5:$A$504,"&gt;="&amp;$B$3,'Registro de turnos'!$A$5:$A$504,"&lt;="&amp;$B$4))</f>
        <v/>
      </c>
      <c r="I46" s="19" t="str">
        <f>IF($A46="","",SUMIFS('Registro de turnos'!$Q$5:$Q$504,'Registro de turnos'!$B$5:$B$504,$A46,'Registro de turnos'!$A$5:$A$504,"&gt;="&amp;$B$3,'Registro de turnos'!$A$5:$A$504,"&lt;="&amp;$B$4))</f>
        <v/>
      </c>
      <c r="J46" s="19" t="str">
        <f>IF($A46="","",SUMIFS('Registro de turnos'!$R$5:$R$504,'Registro de turnos'!$B$5:$B$504,$A46,'Registro de turnos'!$A$5:$A$504,"&gt;="&amp;$B$3,'Registro de turnos'!$A$5:$A$504,"&lt;="&amp;$B$4))</f>
        <v/>
      </c>
      <c r="K46" s="19" t="str">
        <f t="shared" si="6"/>
        <v/>
      </c>
      <c r="L46" s="17" t="str">
        <f>IF($A46="","",SUMIFS('Registro de turnos'!$T$5:$T$504,'Registro de turnos'!$B$5:$B$504,$A46,'Registro de turnos'!$A$5:$A$504,"&gt;="&amp;$B$3,'Registro de turnos'!$A$5:$A$504,"&lt;="&amp;$B$4))</f>
        <v/>
      </c>
      <c r="M46" s="17" t="str">
        <f t="shared" si="7"/>
        <v/>
      </c>
      <c r="N46" s="17" t="str">
        <f t="shared" si="8"/>
        <v/>
      </c>
      <c r="O46" s="17" t="str">
        <f t="shared" si="9"/>
        <v/>
      </c>
      <c r="P46" s="17" t="str">
        <f>IF($A46="","",ROUND(C46*D46*Parámetros!$B$8*0.0417,0))</f>
        <v/>
      </c>
      <c r="Q46" s="17" t="str">
        <f t="shared" si="10"/>
        <v/>
      </c>
      <c r="R46" s="17" t="str">
        <f t="shared" si="11"/>
        <v/>
      </c>
    </row>
    <row r="47" spans="1:18" x14ac:dyDescent="0.25">
      <c r="A47" s="22" t="str">
        <f>IF(Trabajadores!A45="","",Trabajadores!A45)</f>
        <v/>
      </c>
      <c r="B47" s="23" t="str">
        <f>IF(A47="","",Trabajadores!B45)</f>
        <v/>
      </c>
      <c r="C47" s="24" t="str">
        <f>IF(A47="","",Trabajadores!G45)</f>
        <v/>
      </c>
      <c r="D47" s="19" t="str">
        <f>IF($A47="","",SUMIFS('Registro de turnos'!$L$5:$L$504,'Registro de turnos'!$B$5:$B$504,$A47,'Registro de turnos'!$A$5:$A$504,"&gt;="&amp;$B$3,'Registro de turnos'!$A$5:$A$504,"&lt;="&amp;$B$4))</f>
        <v/>
      </c>
      <c r="E47" s="19" t="str">
        <f>IF($A47="","",SUMIFS('Registro de turnos'!$M$5:$M$504,'Registro de turnos'!$B$5:$B$504,$A47,'Registro de turnos'!$A$5:$A$504,"&gt;="&amp;$B$3,'Registro de turnos'!$A$5:$A$504,"&lt;="&amp;$B$4))</f>
        <v/>
      </c>
      <c r="F47" s="19" t="str">
        <f>IF($A47="","",SUMIFS('Registro de turnos'!$N$5:$N$504,'Registro de turnos'!$B$5:$B$504,$A47,'Registro de turnos'!$A$5:$A$504,"&gt;="&amp;$B$3,'Registro de turnos'!$A$5:$A$504,"&lt;="&amp;$B$4))</f>
        <v/>
      </c>
      <c r="G47" s="19" t="str">
        <f>IF($A47="","",SUMIFS('Registro de turnos'!$O$5:$O$504,'Registro de turnos'!$B$5:$B$504,$A47,'Registro de turnos'!$A$5:$A$504,"&gt;="&amp;$B$3,'Registro de turnos'!$A$5:$A$504,"&lt;="&amp;$B$4))</f>
        <v/>
      </c>
      <c r="H47" s="19" t="str">
        <f>IF($A47="","",SUMIFS('Registro de turnos'!$P$5:$P$504,'Registro de turnos'!$B$5:$B$504,$A47,'Registro de turnos'!$A$5:$A$504,"&gt;="&amp;$B$3,'Registro de turnos'!$A$5:$A$504,"&lt;="&amp;$B$4))</f>
        <v/>
      </c>
      <c r="I47" s="19" t="str">
        <f>IF($A47="","",SUMIFS('Registro de turnos'!$Q$5:$Q$504,'Registro de turnos'!$B$5:$B$504,$A47,'Registro de turnos'!$A$5:$A$504,"&gt;="&amp;$B$3,'Registro de turnos'!$A$5:$A$504,"&lt;="&amp;$B$4))</f>
        <v/>
      </c>
      <c r="J47" s="19" t="str">
        <f>IF($A47="","",SUMIFS('Registro de turnos'!$R$5:$R$504,'Registro de turnos'!$B$5:$B$504,$A47,'Registro de turnos'!$A$5:$A$504,"&gt;="&amp;$B$3,'Registro de turnos'!$A$5:$A$504,"&lt;="&amp;$B$4))</f>
        <v/>
      </c>
      <c r="K47" s="19" t="str">
        <f t="shared" si="6"/>
        <v/>
      </c>
      <c r="L47" s="17" t="str">
        <f>IF($A47="","",SUMIFS('Registro de turnos'!$T$5:$T$504,'Registro de turnos'!$B$5:$B$504,$A47,'Registro de turnos'!$A$5:$A$504,"&gt;="&amp;$B$3,'Registro de turnos'!$A$5:$A$504,"&lt;="&amp;$B$4))</f>
        <v/>
      </c>
      <c r="M47" s="17" t="str">
        <f t="shared" si="7"/>
        <v/>
      </c>
      <c r="N47" s="17" t="str">
        <f t="shared" si="8"/>
        <v/>
      </c>
      <c r="O47" s="17" t="str">
        <f t="shared" si="9"/>
        <v/>
      </c>
      <c r="P47" s="17" t="str">
        <f>IF($A47="","",ROUND(C47*D47*Parámetros!$B$8*0.0417,0))</f>
        <v/>
      </c>
      <c r="Q47" s="17" t="str">
        <f t="shared" si="10"/>
        <v/>
      </c>
      <c r="R47" s="17" t="str">
        <f t="shared" si="11"/>
        <v/>
      </c>
    </row>
    <row r="48" spans="1:18" x14ac:dyDescent="0.25">
      <c r="A48" s="22" t="str">
        <f>IF(Trabajadores!A46="","",Trabajadores!A46)</f>
        <v/>
      </c>
      <c r="B48" s="23" t="str">
        <f>IF(A48="","",Trabajadores!B46)</f>
        <v/>
      </c>
      <c r="C48" s="24" t="str">
        <f>IF(A48="","",Trabajadores!G46)</f>
        <v/>
      </c>
      <c r="D48" s="19" t="str">
        <f>IF($A48="","",SUMIFS('Registro de turnos'!$L$5:$L$504,'Registro de turnos'!$B$5:$B$504,$A48,'Registro de turnos'!$A$5:$A$504,"&gt;="&amp;$B$3,'Registro de turnos'!$A$5:$A$504,"&lt;="&amp;$B$4))</f>
        <v/>
      </c>
      <c r="E48" s="19" t="str">
        <f>IF($A48="","",SUMIFS('Registro de turnos'!$M$5:$M$504,'Registro de turnos'!$B$5:$B$504,$A48,'Registro de turnos'!$A$5:$A$504,"&gt;="&amp;$B$3,'Registro de turnos'!$A$5:$A$504,"&lt;="&amp;$B$4))</f>
        <v/>
      </c>
      <c r="F48" s="19" t="str">
        <f>IF($A48="","",SUMIFS('Registro de turnos'!$N$5:$N$504,'Registro de turnos'!$B$5:$B$504,$A48,'Registro de turnos'!$A$5:$A$504,"&gt;="&amp;$B$3,'Registro de turnos'!$A$5:$A$504,"&lt;="&amp;$B$4))</f>
        <v/>
      </c>
      <c r="G48" s="19" t="str">
        <f>IF($A48="","",SUMIFS('Registro de turnos'!$O$5:$O$504,'Registro de turnos'!$B$5:$B$504,$A48,'Registro de turnos'!$A$5:$A$504,"&gt;="&amp;$B$3,'Registro de turnos'!$A$5:$A$504,"&lt;="&amp;$B$4))</f>
        <v/>
      </c>
      <c r="H48" s="19" t="str">
        <f>IF($A48="","",SUMIFS('Registro de turnos'!$P$5:$P$504,'Registro de turnos'!$B$5:$B$504,$A48,'Registro de turnos'!$A$5:$A$504,"&gt;="&amp;$B$3,'Registro de turnos'!$A$5:$A$504,"&lt;="&amp;$B$4))</f>
        <v/>
      </c>
      <c r="I48" s="19" t="str">
        <f>IF($A48="","",SUMIFS('Registro de turnos'!$Q$5:$Q$504,'Registro de turnos'!$B$5:$B$504,$A48,'Registro de turnos'!$A$5:$A$504,"&gt;="&amp;$B$3,'Registro de turnos'!$A$5:$A$504,"&lt;="&amp;$B$4))</f>
        <v/>
      </c>
      <c r="J48" s="19" t="str">
        <f>IF($A48="","",SUMIFS('Registro de turnos'!$R$5:$R$504,'Registro de turnos'!$B$5:$B$504,$A48,'Registro de turnos'!$A$5:$A$504,"&gt;="&amp;$B$3,'Registro de turnos'!$A$5:$A$504,"&lt;="&amp;$B$4))</f>
        <v/>
      </c>
      <c r="K48" s="19" t="str">
        <f t="shared" si="6"/>
        <v/>
      </c>
      <c r="L48" s="17" t="str">
        <f>IF($A48="","",SUMIFS('Registro de turnos'!$T$5:$T$504,'Registro de turnos'!$B$5:$B$504,$A48,'Registro de turnos'!$A$5:$A$504,"&gt;="&amp;$B$3,'Registro de turnos'!$A$5:$A$504,"&lt;="&amp;$B$4))</f>
        <v/>
      </c>
      <c r="M48" s="17" t="str">
        <f t="shared" si="7"/>
        <v/>
      </c>
      <c r="N48" s="17" t="str">
        <f t="shared" si="8"/>
        <v/>
      </c>
      <c r="O48" s="17" t="str">
        <f t="shared" si="9"/>
        <v/>
      </c>
      <c r="P48" s="17" t="str">
        <f>IF($A48="","",ROUND(C48*D48*Parámetros!$B$8*0.0417,0))</f>
        <v/>
      </c>
      <c r="Q48" s="17" t="str">
        <f t="shared" si="10"/>
        <v/>
      </c>
      <c r="R48" s="17" t="str">
        <f t="shared" si="11"/>
        <v/>
      </c>
    </row>
    <row r="49" spans="1:18" x14ac:dyDescent="0.25">
      <c r="A49" s="22" t="str">
        <f>IF(Trabajadores!A47="","",Trabajadores!A47)</f>
        <v/>
      </c>
      <c r="B49" s="23" t="str">
        <f>IF(A49="","",Trabajadores!B47)</f>
        <v/>
      </c>
      <c r="C49" s="24" t="str">
        <f>IF(A49="","",Trabajadores!G47)</f>
        <v/>
      </c>
      <c r="D49" s="19" t="str">
        <f>IF($A49="","",SUMIFS('Registro de turnos'!$L$5:$L$504,'Registro de turnos'!$B$5:$B$504,$A49,'Registro de turnos'!$A$5:$A$504,"&gt;="&amp;$B$3,'Registro de turnos'!$A$5:$A$504,"&lt;="&amp;$B$4))</f>
        <v/>
      </c>
      <c r="E49" s="19" t="str">
        <f>IF($A49="","",SUMIFS('Registro de turnos'!$M$5:$M$504,'Registro de turnos'!$B$5:$B$504,$A49,'Registro de turnos'!$A$5:$A$504,"&gt;="&amp;$B$3,'Registro de turnos'!$A$5:$A$504,"&lt;="&amp;$B$4))</f>
        <v/>
      </c>
      <c r="F49" s="19" t="str">
        <f>IF($A49="","",SUMIFS('Registro de turnos'!$N$5:$N$504,'Registro de turnos'!$B$5:$B$504,$A49,'Registro de turnos'!$A$5:$A$504,"&gt;="&amp;$B$3,'Registro de turnos'!$A$5:$A$504,"&lt;="&amp;$B$4))</f>
        <v/>
      </c>
      <c r="G49" s="19" t="str">
        <f>IF($A49="","",SUMIFS('Registro de turnos'!$O$5:$O$504,'Registro de turnos'!$B$5:$B$504,$A49,'Registro de turnos'!$A$5:$A$504,"&gt;="&amp;$B$3,'Registro de turnos'!$A$5:$A$504,"&lt;="&amp;$B$4))</f>
        <v/>
      </c>
      <c r="H49" s="19" t="str">
        <f>IF($A49="","",SUMIFS('Registro de turnos'!$P$5:$P$504,'Registro de turnos'!$B$5:$B$504,$A49,'Registro de turnos'!$A$5:$A$504,"&gt;="&amp;$B$3,'Registro de turnos'!$A$5:$A$504,"&lt;="&amp;$B$4))</f>
        <v/>
      </c>
      <c r="I49" s="19" t="str">
        <f>IF($A49="","",SUMIFS('Registro de turnos'!$Q$5:$Q$504,'Registro de turnos'!$B$5:$B$504,$A49,'Registro de turnos'!$A$5:$A$504,"&gt;="&amp;$B$3,'Registro de turnos'!$A$5:$A$504,"&lt;="&amp;$B$4))</f>
        <v/>
      </c>
      <c r="J49" s="19" t="str">
        <f>IF($A49="","",SUMIFS('Registro de turnos'!$R$5:$R$504,'Registro de turnos'!$B$5:$B$504,$A49,'Registro de turnos'!$A$5:$A$504,"&gt;="&amp;$B$3,'Registro de turnos'!$A$5:$A$504,"&lt;="&amp;$B$4))</f>
        <v/>
      </c>
      <c r="K49" s="19" t="str">
        <f t="shared" si="6"/>
        <v/>
      </c>
      <c r="L49" s="17" t="str">
        <f>IF($A49="","",SUMIFS('Registro de turnos'!$T$5:$T$504,'Registro de turnos'!$B$5:$B$504,$A49,'Registro de turnos'!$A$5:$A$504,"&gt;="&amp;$B$3,'Registro de turnos'!$A$5:$A$504,"&lt;="&amp;$B$4))</f>
        <v/>
      </c>
      <c r="M49" s="17" t="str">
        <f t="shared" si="7"/>
        <v/>
      </c>
      <c r="N49" s="17" t="str">
        <f t="shared" si="8"/>
        <v/>
      </c>
      <c r="O49" s="17" t="str">
        <f t="shared" si="9"/>
        <v/>
      </c>
      <c r="P49" s="17" t="str">
        <f>IF($A49="","",ROUND(C49*D49*Parámetros!$B$8*0.0417,0))</f>
        <v/>
      </c>
      <c r="Q49" s="17" t="str">
        <f t="shared" si="10"/>
        <v/>
      </c>
      <c r="R49" s="17" t="str">
        <f t="shared" si="11"/>
        <v/>
      </c>
    </row>
    <row r="50" spans="1:18" x14ac:dyDescent="0.25">
      <c r="A50" s="22" t="str">
        <f>IF(Trabajadores!A48="","",Trabajadores!A48)</f>
        <v/>
      </c>
      <c r="B50" s="23" t="str">
        <f>IF(A50="","",Trabajadores!B48)</f>
        <v/>
      </c>
      <c r="C50" s="24" t="str">
        <f>IF(A50="","",Trabajadores!G48)</f>
        <v/>
      </c>
      <c r="D50" s="19" t="str">
        <f>IF($A50="","",SUMIFS('Registro de turnos'!$L$5:$L$504,'Registro de turnos'!$B$5:$B$504,$A50,'Registro de turnos'!$A$5:$A$504,"&gt;="&amp;$B$3,'Registro de turnos'!$A$5:$A$504,"&lt;="&amp;$B$4))</f>
        <v/>
      </c>
      <c r="E50" s="19" t="str">
        <f>IF($A50="","",SUMIFS('Registro de turnos'!$M$5:$M$504,'Registro de turnos'!$B$5:$B$504,$A50,'Registro de turnos'!$A$5:$A$504,"&gt;="&amp;$B$3,'Registro de turnos'!$A$5:$A$504,"&lt;="&amp;$B$4))</f>
        <v/>
      </c>
      <c r="F50" s="19" t="str">
        <f>IF($A50="","",SUMIFS('Registro de turnos'!$N$5:$N$504,'Registro de turnos'!$B$5:$B$504,$A50,'Registro de turnos'!$A$5:$A$504,"&gt;="&amp;$B$3,'Registro de turnos'!$A$5:$A$504,"&lt;="&amp;$B$4))</f>
        <v/>
      </c>
      <c r="G50" s="19" t="str">
        <f>IF($A50="","",SUMIFS('Registro de turnos'!$O$5:$O$504,'Registro de turnos'!$B$5:$B$504,$A50,'Registro de turnos'!$A$5:$A$504,"&gt;="&amp;$B$3,'Registro de turnos'!$A$5:$A$504,"&lt;="&amp;$B$4))</f>
        <v/>
      </c>
      <c r="H50" s="19" t="str">
        <f>IF($A50="","",SUMIFS('Registro de turnos'!$P$5:$P$504,'Registro de turnos'!$B$5:$B$504,$A50,'Registro de turnos'!$A$5:$A$504,"&gt;="&amp;$B$3,'Registro de turnos'!$A$5:$A$504,"&lt;="&amp;$B$4))</f>
        <v/>
      </c>
      <c r="I50" s="19" t="str">
        <f>IF($A50="","",SUMIFS('Registro de turnos'!$Q$5:$Q$504,'Registro de turnos'!$B$5:$B$504,$A50,'Registro de turnos'!$A$5:$A$504,"&gt;="&amp;$B$3,'Registro de turnos'!$A$5:$A$504,"&lt;="&amp;$B$4))</f>
        <v/>
      </c>
      <c r="J50" s="19" t="str">
        <f>IF($A50="","",SUMIFS('Registro de turnos'!$R$5:$R$504,'Registro de turnos'!$B$5:$B$504,$A50,'Registro de turnos'!$A$5:$A$504,"&gt;="&amp;$B$3,'Registro de turnos'!$A$5:$A$504,"&lt;="&amp;$B$4))</f>
        <v/>
      </c>
      <c r="K50" s="19" t="str">
        <f t="shared" si="6"/>
        <v/>
      </c>
      <c r="L50" s="17" t="str">
        <f>IF($A50="","",SUMIFS('Registro de turnos'!$T$5:$T$504,'Registro de turnos'!$B$5:$B$504,$A50,'Registro de turnos'!$A$5:$A$504,"&gt;="&amp;$B$3,'Registro de turnos'!$A$5:$A$504,"&lt;="&amp;$B$4))</f>
        <v/>
      </c>
      <c r="M50" s="17" t="str">
        <f t="shared" si="7"/>
        <v/>
      </c>
      <c r="N50" s="17" t="str">
        <f t="shared" si="8"/>
        <v/>
      </c>
      <c r="O50" s="17" t="str">
        <f t="shared" si="9"/>
        <v/>
      </c>
      <c r="P50" s="17" t="str">
        <f>IF($A50="","",ROUND(C50*D50*Parámetros!$B$8*0.0417,0))</f>
        <v/>
      </c>
      <c r="Q50" s="17" t="str">
        <f t="shared" si="10"/>
        <v/>
      </c>
      <c r="R50" s="17" t="str">
        <f t="shared" si="11"/>
        <v/>
      </c>
    </row>
    <row r="51" spans="1:18" x14ac:dyDescent="0.25">
      <c r="A51" s="22" t="str">
        <f>IF(Trabajadores!A49="","",Trabajadores!A49)</f>
        <v/>
      </c>
      <c r="B51" s="23" t="str">
        <f>IF(A51="","",Trabajadores!B49)</f>
        <v/>
      </c>
      <c r="C51" s="24" t="str">
        <f>IF(A51="","",Trabajadores!G49)</f>
        <v/>
      </c>
      <c r="D51" s="19" t="str">
        <f>IF($A51="","",SUMIFS('Registro de turnos'!$L$5:$L$504,'Registro de turnos'!$B$5:$B$504,$A51,'Registro de turnos'!$A$5:$A$504,"&gt;="&amp;$B$3,'Registro de turnos'!$A$5:$A$504,"&lt;="&amp;$B$4))</f>
        <v/>
      </c>
      <c r="E51" s="19" t="str">
        <f>IF($A51="","",SUMIFS('Registro de turnos'!$M$5:$M$504,'Registro de turnos'!$B$5:$B$504,$A51,'Registro de turnos'!$A$5:$A$504,"&gt;="&amp;$B$3,'Registro de turnos'!$A$5:$A$504,"&lt;="&amp;$B$4))</f>
        <v/>
      </c>
      <c r="F51" s="19" t="str">
        <f>IF($A51="","",SUMIFS('Registro de turnos'!$N$5:$N$504,'Registro de turnos'!$B$5:$B$504,$A51,'Registro de turnos'!$A$5:$A$504,"&gt;="&amp;$B$3,'Registro de turnos'!$A$5:$A$504,"&lt;="&amp;$B$4))</f>
        <v/>
      </c>
      <c r="G51" s="19" t="str">
        <f>IF($A51="","",SUMIFS('Registro de turnos'!$O$5:$O$504,'Registro de turnos'!$B$5:$B$504,$A51,'Registro de turnos'!$A$5:$A$504,"&gt;="&amp;$B$3,'Registro de turnos'!$A$5:$A$504,"&lt;="&amp;$B$4))</f>
        <v/>
      </c>
      <c r="H51" s="19" t="str">
        <f>IF($A51="","",SUMIFS('Registro de turnos'!$P$5:$P$504,'Registro de turnos'!$B$5:$B$504,$A51,'Registro de turnos'!$A$5:$A$504,"&gt;="&amp;$B$3,'Registro de turnos'!$A$5:$A$504,"&lt;="&amp;$B$4))</f>
        <v/>
      </c>
      <c r="I51" s="19" t="str">
        <f>IF($A51="","",SUMIFS('Registro de turnos'!$Q$5:$Q$504,'Registro de turnos'!$B$5:$B$504,$A51,'Registro de turnos'!$A$5:$A$504,"&gt;="&amp;$B$3,'Registro de turnos'!$A$5:$A$504,"&lt;="&amp;$B$4))</f>
        <v/>
      </c>
      <c r="J51" s="19" t="str">
        <f>IF($A51="","",SUMIFS('Registro de turnos'!$R$5:$R$504,'Registro de turnos'!$B$5:$B$504,$A51,'Registro de turnos'!$A$5:$A$504,"&gt;="&amp;$B$3,'Registro de turnos'!$A$5:$A$504,"&lt;="&amp;$B$4))</f>
        <v/>
      </c>
      <c r="K51" s="19" t="str">
        <f t="shared" si="6"/>
        <v/>
      </c>
      <c r="L51" s="17" t="str">
        <f>IF($A51="","",SUMIFS('Registro de turnos'!$T$5:$T$504,'Registro de turnos'!$B$5:$B$504,$A51,'Registro de turnos'!$A$5:$A$504,"&gt;="&amp;$B$3,'Registro de turnos'!$A$5:$A$504,"&lt;="&amp;$B$4))</f>
        <v/>
      </c>
      <c r="M51" s="17" t="str">
        <f t="shared" si="7"/>
        <v/>
      </c>
      <c r="N51" s="17" t="str">
        <f t="shared" si="8"/>
        <v/>
      </c>
      <c r="O51" s="17" t="str">
        <f t="shared" si="9"/>
        <v/>
      </c>
      <c r="P51" s="17" t="str">
        <f>IF($A51="","",ROUND(C51*D51*Parámetros!$B$8*0.0417,0))</f>
        <v/>
      </c>
      <c r="Q51" s="17" t="str">
        <f t="shared" si="10"/>
        <v/>
      </c>
      <c r="R51" s="17" t="str">
        <f t="shared" si="11"/>
        <v/>
      </c>
    </row>
    <row r="52" spans="1:18" x14ac:dyDescent="0.25">
      <c r="A52" s="22" t="str">
        <f>IF(Trabajadores!A50="","",Trabajadores!A50)</f>
        <v/>
      </c>
      <c r="B52" s="23" t="str">
        <f>IF(A52="","",Trabajadores!B50)</f>
        <v/>
      </c>
      <c r="C52" s="24" t="str">
        <f>IF(A52="","",Trabajadores!G50)</f>
        <v/>
      </c>
      <c r="D52" s="19" t="str">
        <f>IF($A52="","",SUMIFS('Registro de turnos'!$L$5:$L$504,'Registro de turnos'!$B$5:$B$504,$A52,'Registro de turnos'!$A$5:$A$504,"&gt;="&amp;$B$3,'Registro de turnos'!$A$5:$A$504,"&lt;="&amp;$B$4))</f>
        <v/>
      </c>
      <c r="E52" s="19" t="str">
        <f>IF($A52="","",SUMIFS('Registro de turnos'!$M$5:$M$504,'Registro de turnos'!$B$5:$B$504,$A52,'Registro de turnos'!$A$5:$A$504,"&gt;="&amp;$B$3,'Registro de turnos'!$A$5:$A$504,"&lt;="&amp;$B$4))</f>
        <v/>
      </c>
      <c r="F52" s="19" t="str">
        <f>IF($A52="","",SUMIFS('Registro de turnos'!$N$5:$N$504,'Registro de turnos'!$B$5:$B$504,$A52,'Registro de turnos'!$A$5:$A$504,"&gt;="&amp;$B$3,'Registro de turnos'!$A$5:$A$504,"&lt;="&amp;$B$4))</f>
        <v/>
      </c>
      <c r="G52" s="19" t="str">
        <f>IF($A52="","",SUMIFS('Registro de turnos'!$O$5:$O$504,'Registro de turnos'!$B$5:$B$504,$A52,'Registro de turnos'!$A$5:$A$504,"&gt;="&amp;$B$3,'Registro de turnos'!$A$5:$A$504,"&lt;="&amp;$B$4))</f>
        <v/>
      </c>
      <c r="H52" s="19" t="str">
        <f>IF($A52="","",SUMIFS('Registro de turnos'!$P$5:$P$504,'Registro de turnos'!$B$5:$B$504,$A52,'Registro de turnos'!$A$5:$A$504,"&gt;="&amp;$B$3,'Registro de turnos'!$A$5:$A$504,"&lt;="&amp;$B$4))</f>
        <v/>
      </c>
      <c r="I52" s="19" t="str">
        <f>IF($A52="","",SUMIFS('Registro de turnos'!$Q$5:$Q$504,'Registro de turnos'!$B$5:$B$504,$A52,'Registro de turnos'!$A$5:$A$504,"&gt;="&amp;$B$3,'Registro de turnos'!$A$5:$A$504,"&lt;="&amp;$B$4))</f>
        <v/>
      </c>
      <c r="J52" s="19" t="str">
        <f>IF($A52="","",SUMIFS('Registro de turnos'!$R$5:$R$504,'Registro de turnos'!$B$5:$B$504,$A52,'Registro de turnos'!$A$5:$A$504,"&gt;="&amp;$B$3,'Registro de turnos'!$A$5:$A$504,"&lt;="&amp;$B$4))</f>
        <v/>
      </c>
      <c r="K52" s="19" t="str">
        <f t="shared" si="6"/>
        <v/>
      </c>
      <c r="L52" s="17" t="str">
        <f>IF($A52="","",SUMIFS('Registro de turnos'!$T$5:$T$504,'Registro de turnos'!$B$5:$B$504,$A52,'Registro de turnos'!$A$5:$A$504,"&gt;="&amp;$B$3,'Registro de turnos'!$A$5:$A$504,"&lt;="&amp;$B$4))</f>
        <v/>
      </c>
      <c r="M52" s="17" t="str">
        <f t="shared" si="7"/>
        <v/>
      </c>
      <c r="N52" s="17" t="str">
        <f t="shared" si="8"/>
        <v/>
      </c>
      <c r="O52" s="17" t="str">
        <f t="shared" si="9"/>
        <v/>
      </c>
      <c r="P52" s="17" t="str">
        <f>IF($A52="","",ROUND(C52*D52*Parámetros!$B$8*0.0417,0))</f>
        <v/>
      </c>
      <c r="Q52" s="17" t="str">
        <f t="shared" si="10"/>
        <v/>
      </c>
      <c r="R52" s="17" t="str">
        <f t="shared" si="11"/>
        <v/>
      </c>
    </row>
    <row r="53" spans="1:18" x14ac:dyDescent="0.25">
      <c r="A53" s="22" t="str">
        <f>IF(Trabajadores!A51="","",Trabajadores!A51)</f>
        <v/>
      </c>
      <c r="B53" s="23" t="str">
        <f>IF(A53="","",Trabajadores!B51)</f>
        <v/>
      </c>
      <c r="C53" s="24" t="str">
        <f>IF(A53="","",Trabajadores!G51)</f>
        <v/>
      </c>
      <c r="D53" s="19" t="str">
        <f>IF($A53="","",SUMIFS('Registro de turnos'!$L$5:$L$504,'Registro de turnos'!$B$5:$B$504,$A53,'Registro de turnos'!$A$5:$A$504,"&gt;="&amp;$B$3,'Registro de turnos'!$A$5:$A$504,"&lt;="&amp;$B$4))</f>
        <v/>
      </c>
      <c r="E53" s="19" t="str">
        <f>IF($A53="","",SUMIFS('Registro de turnos'!$M$5:$M$504,'Registro de turnos'!$B$5:$B$504,$A53,'Registro de turnos'!$A$5:$A$504,"&gt;="&amp;$B$3,'Registro de turnos'!$A$5:$A$504,"&lt;="&amp;$B$4))</f>
        <v/>
      </c>
      <c r="F53" s="19" t="str">
        <f>IF($A53="","",SUMIFS('Registro de turnos'!$N$5:$N$504,'Registro de turnos'!$B$5:$B$504,$A53,'Registro de turnos'!$A$5:$A$504,"&gt;="&amp;$B$3,'Registro de turnos'!$A$5:$A$504,"&lt;="&amp;$B$4))</f>
        <v/>
      </c>
      <c r="G53" s="19" t="str">
        <f>IF($A53="","",SUMIFS('Registro de turnos'!$O$5:$O$504,'Registro de turnos'!$B$5:$B$504,$A53,'Registro de turnos'!$A$5:$A$504,"&gt;="&amp;$B$3,'Registro de turnos'!$A$5:$A$504,"&lt;="&amp;$B$4))</f>
        <v/>
      </c>
      <c r="H53" s="19" t="str">
        <f>IF($A53="","",SUMIFS('Registro de turnos'!$P$5:$P$504,'Registro de turnos'!$B$5:$B$504,$A53,'Registro de turnos'!$A$5:$A$504,"&gt;="&amp;$B$3,'Registro de turnos'!$A$5:$A$504,"&lt;="&amp;$B$4))</f>
        <v/>
      </c>
      <c r="I53" s="19" t="str">
        <f>IF($A53="","",SUMIFS('Registro de turnos'!$Q$5:$Q$504,'Registro de turnos'!$B$5:$B$504,$A53,'Registro de turnos'!$A$5:$A$504,"&gt;="&amp;$B$3,'Registro de turnos'!$A$5:$A$504,"&lt;="&amp;$B$4))</f>
        <v/>
      </c>
      <c r="J53" s="19" t="str">
        <f>IF($A53="","",SUMIFS('Registro de turnos'!$R$5:$R$504,'Registro de turnos'!$B$5:$B$504,$A53,'Registro de turnos'!$A$5:$A$504,"&gt;="&amp;$B$3,'Registro de turnos'!$A$5:$A$504,"&lt;="&amp;$B$4))</f>
        <v/>
      </c>
      <c r="K53" s="19" t="str">
        <f t="shared" si="6"/>
        <v/>
      </c>
      <c r="L53" s="17" t="str">
        <f>IF($A53="","",SUMIFS('Registro de turnos'!$T$5:$T$504,'Registro de turnos'!$B$5:$B$504,$A53,'Registro de turnos'!$A$5:$A$504,"&gt;="&amp;$B$3,'Registro de turnos'!$A$5:$A$504,"&lt;="&amp;$B$4))</f>
        <v/>
      </c>
      <c r="M53" s="17" t="str">
        <f t="shared" si="7"/>
        <v/>
      </c>
      <c r="N53" s="17" t="str">
        <f t="shared" si="8"/>
        <v/>
      </c>
      <c r="O53" s="17" t="str">
        <f t="shared" si="9"/>
        <v/>
      </c>
      <c r="P53" s="17" t="str">
        <f>IF($A53="","",ROUND(C53*D53*Parámetros!$B$8*0.0417,0))</f>
        <v/>
      </c>
      <c r="Q53" s="17" t="str">
        <f t="shared" si="10"/>
        <v/>
      </c>
      <c r="R53" s="17" t="str">
        <f t="shared" si="11"/>
        <v/>
      </c>
    </row>
    <row r="54" spans="1:18" x14ac:dyDescent="0.25">
      <c r="A54" s="22" t="str">
        <f>IF(Trabajadores!A52="","",Trabajadores!A52)</f>
        <v/>
      </c>
      <c r="B54" s="23" t="str">
        <f>IF(A54="","",Trabajadores!B52)</f>
        <v/>
      </c>
      <c r="C54" s="24" t="str">
        <f>IF(A54="","",Trabajadores!G52)</f>
        <v/>
      </c>
      <c r="D54" s="19" t="str">
        <f>IF($A54="","",SUMIFS('Registro de turnos'!$L$5:$L$504,'Registro de turnos'!$B$5:$B$504,$A54,'Registro de turnos'!$A$5:$A$504,"&gt;="&amp;$B$3,'Registro de turnos'!$A$5:$A$504,"&lt;="&amp;$B$4))</f>
        <v/>
      </c>
      <c r="E54" s="19" t="str">
        <f>IF($A54="","",SUMIFS('Registro de turnos'!$M$5:$M$504,'Registro de turnos'!$B$5:$B$504,$A54,'Registro de turnos'!$A$5:$A$504,"&gt;="&amp;$B$3,'Registro de turnos'!$A$5:$A$504,"&lt;="&amp;$B$4))</f>
        <v/>
      </c>
      <c r="F54" s="19" t="str">
        <f>IF($A54="","",SUMIFS('Registro de turnos'!$N$5:$N$504,'Registro de turnos'!$B$5:$B$504,$A54,'Registro de turnos'!$A$5:$A$504,"&gt;="&amp;$B$3,'Registro de turnos'!$A$5:$A$504,"&lt;="&amp;$B$4))</f>
        <v/>
      </c>
      <c r="G54" s="19" t="str">
        <f>IF($A54="","",SUMIFS('Registro de turnos'!$O$5:$O$504,'Registro de turnos'!$B$5:$B$504,$A54,'Registro de turnos'!$A$5:$A$504,"&gt;="&amp;$B$3,'Registro de turnos'!$A$5:$A$504,"&lt;="&amp;$B$4))</f>
        <v/>
      </c>
      <c r="H54" s="19" t="str">
        <f>IF($A54="","",SUMIFS('Registro de turnos'!$P$5:$P$504,'Registro de turnos'!$B$5:$B$504,$A54,'Registro de turnos'!$A$5:$A$504,"&gt;="&amp;$B$3,'Registro de turnos'!$A$5:$A$504,"&lt;="&amp;$B$4))</f>
        <v/>
      </c>
      <c r="I54" s="19" t="str">
        <f>IF($A54="","",SUMIFS('Registro de turnos'!$Q$5:$Q$504,'Registro de turnos'!$B$5:$B$504,$A54,'Registro de turnos'!$A$5:$A$504,"&gt;="&amp;$B$3,'Registro de turnos'!$A$5:$A$504,"&lt;="&amp;$B$4))</f>
        <v/>
      </c>
      <c r="J54" s="19" t="str">
        <f>IF($A54="","",SUMIFS('Registro de turnos'!$R$5:$R$504,'Registro de turnos'!$B$5:$B$504,$A54,'Registro de turnos'!$A$5:$A$504,"&gt;="&amp;$B$3,'Registro de turnos'!$A$5:$A$504,"&lt;="&amp;$B$4))</f>
        <v/>
      </c>
      <c r="K54" s="19" t="str">
        <f t="shared" si="6"/>
        <v/>
      </c>
      <c r="L54" s="17" t="str">
        <f>IF($A54="","",SUMIFS('Registro de turnos'!$T$5:$T$504,'Registro de turnos'!$B$5:$B$504,$A54,'Registro de turnos'!$A$5:$A$504,"&gt;="&amp;$B$3,'Registro de turnos'!$A$5:$A$504,"&lt;="&amp;$B$4))</f>
        <v/>
      </c>
      <c r="M54" s="17" t="str">
        <f t="shared" si="7"/>
        <v/>
      </c>
      <c r="N54" s="17" t="str">
        <f t="shared" si="8"/>
        <v/>
      </c>
      <c r="O54" s="17" t="str">
        <f t="shared" si="9"/>
        <v/>
      </c>
      <c r="P54" s="17" t="str">
        <f>IF($A54="","",ROUND(C54*D54*Parámetros!$B$8*0.0417,0))</f>
        <v/>
      </c>
      <c r="Q54" s="17" t="str">
        <f t="shared" si="10"/>
        <v/>
      </c>
      <c r="R54" s="17" t="str">
        <f t="shared" si="11"/>
        <v/>
      </c>
    </row>
    <row r="55" spans="1:18" x14ac:dyDescent="0.25">
      <c r="A55" s="22" t="str">
        <f>IF(Trabajadores!A53="","",Trabajadores!A53)</f>
        <v/>
      </c>
      <c r="B55" s="23" t="str">
        <f>IF(A55="","",Trabajadores!B53)</f>
        <v/>
      </c>
      <c r="C55" s="24" t="str">
        <f>IF(A55="","",Trabajadores!G53)</f>
        <v/>
      </c>
      <c r="D55" s="19" t="str">
        <f>IF($A55="","",SUMIFS('Registro de turnos'!$L$5:$L$504,'Registro de turnos'!$B$5:$B$504,$A55,'Registro de turnos'!$A$5:$A$504,"&gt;="&amp;$B$3,'Registro de turnos'!$A$5:$A$504,"&lt;="&amp;$B$4))</f>
        <v/>
      </c>
      <c r="E55" s="19" t="str">
        <f>IF($A55="","",SUMIFS('Registro de turnos'!$M$5:$M$504,'Registro de turnos'!$B$5:$B$504,$A55,'Registro de turnos'!$A$5:$A$504,"&gt;="&amp;$B$3,'Registro de turnos'!$A$5:$A$504,"&lt;="&amp;$B$4))</f>
        <v/>
      </c>
      <c r="F55" s="19" t="str">
        <f>IF($A55="","",SUMIFS('Registro de turnos'!$N$5:$N$504,'Registro de turnos'!$B$5:$B$504,$A55,'Registro de turnos'!$A$5:$A$504,"&gt;="&amp;$B$3,'Registro de turnos'!$A$5:$A$504,"&lt;="&amp;$B$4))</f>
        <v/>
      </c>
      <c r="G55" s="19" t="str">
        <f>IF($A55="","",SUMIFS('Registro de turnos'!$O$5:$O$504,'Registro de turnos'!$B$5:$B$504,$A55,'Registro de turnos'!$A$5:$A$504,"&gt;="&amp;$B$3,'Registro de turnos'!$A$5:$A$504,"&lt;="&amp;$B$4))</f>
        <v/>
      </c>
      <c r="H55" s="19" t="str">
        <f>IF($A55="","",SUMIFS('Registro de turnos'!$P$5:$P$504,'Registro de turnos'!$B$5:$B$504,$A55,'Registro de turnos'!$A$5:$A$504,"&gt;="&amp;$B$3,'Registro de turnos'!$A$5:$A$504,"&lt;="&amp;$B$4))</f>
        <v/>
      </c>
      <c r="I55" s="19" t="str">
        <f>IF($A55="","",SUMIFS('Registro de turnos'!$Q$5:$Q$504,'Registro de turnos'!$B$5:$B$504,$A55,'Registro de turnos'!$A$5:$A$504,"&gt;="&amp;$B$3,'Registro de turnos'!$A$5:$A$504,"&lt;="&amp;$B$4))</f>
        <v/>
      </c>
      <c r="J55" s="19" t="str">
        <f>IF($A55="","",SUMIFS('Registro de turnos'!$R$5:$R$504,'Registro de turnos'!$B$5:$B$504,$A55,'Registro de turnos'!$A$5:$A$504,"&gt;="&amp;$B$3,'Registro de turnos'!$A$5:$A$504,"&lt;="&amp;$B$4))</f>
        <v/>
      </c>
      <c r="K55" s="19" t="str">
        <f t="shared" si="6"/>
        <v/>
      </c>
      <c r="L55" s="17" t="str">
        <f>IF($A55="","",SUMIFS('Registro de turnos'!$T$5:$T$504,'Registro de turnos'!$B$5:$B$504,$A55,'Registro de turnos'!$A$5:$A$504,"&gt;="&amp;$B$3,'Registro de turnos'!$A$5:$A$504,"&lt;="&amp;$B$4))</f>
        <v/>
      </c>
      <c r="M55" s="17" t="str">
        <f t="shared" si="7"/>
        <v/>
      </c>
      <c r="N55" s="17" t="str">
        <f t="shared" si="8"/>
        <v/>
      </c>
      <c r="O55" s="17" t="str">
        <f t="shared" si="9"/>
        <v/>
      </c>
      <c r="P55" s="17" t="str">
        <f>IF($A55="","",ROUND(C55*D55*Parámetros!$B$8*0.0417,0))</f>
        <v/>
      </c>
      <c r="Q55" s="17" t="str">
        <f t="shared" si="10"/>
        <v/>
      </c>
      <c r="R55" s="17" t="str">
        <f t="shared" si="11"/>
        <v/>
      </c>
    </row>
    <row r="56" spans="1:18" x14ac:dyDescent="0.25">
      <c r="A56" s="22" t="str">
        <f>IF(Trabajadores!A54="","",Trabajadores!A54)</f>
        <v/>
      </c>
      <c r="B56" s="23" t="str">
        <f>IF(A56="","",Trabajadores!B54)</f>
        <v/>
      </c>
      <c r="C56" s="24" t="str">
        <f>IF(A56="","",Trabajadores!G54)</f>
        <v/>
      </c>
      <c r="D56" s="19" t="str">
        <f>IF($A56="","",SUMIFS('Registro de turnos'!$L$5:$L$504,'Registro de turnos'!$B$5:$B$504,$A56,'Registro de turnos'!$A$5:$A$504,"&gt;="&amp;$B$3,'Registro de turnos'!$A$5:$A$504,"&lt;="&amp;$B$4))</f>
        <v/>
      </c>
      <c r="E56" s="19" t="str">
        <f>IF($A56="","",SUMIFS('Registro de turnos'!$M$5:$M$504,'Registro de turnos'!$B$5:$B$504,$A56,'Registro de turnos'!$A$5:$A$504,"&gt;="&amp;$B$3,'Registro de turnos'!$A$5:$A$504,"&lt;="&amp;$B$4))</f>
        <v/>
      </c>
      <c r="F56" s="19" t="str">
        <f>IF($A56="","",SUMIFS('Registro de turnos'!$N$5:$N$504,'Registro de turnos'!$B$5:$B$504,$A56,'Registro de turnos'!$A$5:$A$504,"&gt;="&amp;$B$3,'Registro de turnos'!$A$5:$A$504,"&lt;="&amp;$B$4))</f>
        <v/>
      </c>
      <c r="G56" s="19" t="str">
        <f>IF($A56="","",SUMIFS('Registro de turnos'!$O$5:$O$504,'Registro de turnos'!$B$5:$B$504,$A56,'Registro de turnos'!$A$5:$A$504,"&gt;="&amp;$B$3,'Registro de turnos'!$A$5:$A$504,"&lt;="&amp;$B$4))</f>
        <v/>
      </c>
      <c r="H56" s="19" t="str">
        <f>IF($A56="","",SUMIFS('Registro de turnos'!$P$5:$P$504,'Registro de turnos'!$B$5:$B$504,$A56,'Registro de turnos'!$A$5:$A$504,"&gt;="&amp;$B$3,'Registro de turnos'!$A$5:$A$504,"&lt;="&amp;$B$4))</f>
        <v/>
      </c>
      <c r="I56" s="19" t="str">
        <f>IF($A56="","",SUMIFS('Registro de turnos'!$Q$5:$Q$504,'Registro de turnos'!$B$5:$B$504,$A56,'Registro de turnos'!$A$5:$A$504,"&gt;="&amp;$B$3,'Registro de turnos'!$A$5:$A$504,"&lt;="&amp;$B$4))</f>
        <v/>
      </c>
      <c r="J56" s="19" t="str">
        <f>IF($A56="","",SUMIFS('Registro de turnos'!$R$5:$R$504,'Registro de turnos'!$B$5:$B$504,$A56,'Registro de turnos'!$A$5:$A$504,"&gt;="&amp;$B$3,'Registro de turnos'!$A$5:$A$504,"&lt;="&amp;$B$4))</f>
        <v/>
      </c>
      <c r="K56" s="19" t="str">
        <f t="shared" si="6"/>
        <v/>
      </c>
      <c r="L56" s="17" t="str">
        <f>IF($A56="","",SUMIFS('Registro de turnos'!$T$5:$T$504,'Registro de turnos'!$B$5:$B$504,$A56,'Registro de turnos'!$A$5:$A$504,"&gt;="&amp;$B$3,'Registro de turnos'!$A$5:$A$504,"&lt;="&amp;$B$4))</f>
        <v/>
      </c>
      <c r="M56" s="17" t="str">
        <f t="shared" si="7"/>
        <v/>
      </c>
      <c r="N56" s="17" t="str">
        <f t="shared" si="8"/>
        <v/>
      </c>
      <c r="O56" s="17" t="str">
        <f t="shared" si="9"/>
        <v/>
      </c>
      <c r="P56" s="17" t="str">
        <f>IF($A56="","",ROUND(C56*D56*Parámetros!$B$8*0.0417,0))</f>
        <v/>
      </c>
      <c r="Q56" s="17" t="str">
        <f t="shared" si="10"/>
        <v/>
      </c>
      <c r="R56" s="17" t="str">
        <f t="shared" si="11"/>
        <v/>
      </c>
    </row>
    <row r="57" spans="1:18" x14ac:dyDescent="0.25">
      <c r="A57" s="22" t="str">
        <f>IF(Trabajadores!A55="","",Trabajadores!A55)</f>
        <v/>
      </c>
      <c r="B57" s="23" t="str">
        <f>IF(A57="","",Trabajadores!B55)</f>
        <v/>
      </c>
      <c r="C57" s="24" t="str">
        <f>IF(A57="","",Trabajadores!G55)</f>
        <v/>
      </c>
      <c r="D57" s="19" t="str">
        <f>IF($A57="","",SUMIFS('Registro de turnos'!$L$5:$L$504,'Registro de turnos'!$B$5:$B$504,$A57,'Registro de turnos'!$A$5:$A$504,"&gt;="&amp;$B$3,'Registro de turnos'!$A$5:$A$504,"&lt;="&amp;$B$4))</f>
        <v/>
      </c>
      <c r="E57" s="19" t="str">
        <f>IF($A57="","",SUMIFS('Registro de turnos'!$M$5:$M$504,'Registro de turnos'!$B$5:$B$504,$A57,'Registro de turnos'!$A$5:$A$504,"&gt;="&amp;$B$3,'Registro de turnos'!$A$5:$A$504,"&lt;="&amp;$B$4))</f>
        <v/>
      </c>
      <c r="F57" s="19" t="str">
        <f>IF($A57="","",SUMIFS('Registro de turnos'!$N$5:$N$504,'Registro de turnos'!$B$5:$B$504,$A57,'Registro de turnos'!$A$5:$A$504,"&gt;="&amp;$B$3,'Registro de turnos'!$A$5:$A$504,"&lt;="&amp;$B$4))</f>
        <v/>
      </c>
      <c r="G57" s="19" t="str">
        <f>IF($A57="","",SUMIFS('Registro de turnos'!$O$5:$O$504,'Registro de turnos'!$B$5:$B$504,$A57,'Registro de turnos'!$A$5:$A$504,"&gt;="&amp;$B$3,'Registro de turnos'!$A$5:$A$504,"&lt;="&amp;$B$4))</f>
        <v/>
      </c>
      <c r="H57" s="19" t="str">
        <f>IF($A57="","",SUMIFS('Registro de turnos'!$P$5:$P$504,'Registro de turnos'!$B$5:$B$504,$A57,'Registro de turnos'!$A$5:$A$504,"&gt;="&amp;$B$3,'Registro de turnos'!$A$5:$A$504,"&lt;="&amp;$B$4))</f>
        <v/>
      </c>
      <c r="I57" s="19" t="str">
        <f>IF($A57="","",SUMIFS('Registro de turnos'!$Q$5:$Q$504,'Registro de turnos'!$B$5:$B$504,$A57,'Registro de turnos'!$A$5:$A$504,"&gt;="&amp;$B$3,'Registro de turnos'!$A$5:$A$504,"&lt;="&amp;$B$4))</f>
        <v/>
      </c>
      <c r="J57" s="19" t="str">
        <f>IF($A57="","",SUMIFS('Registro de turnos'!$R$5:$R$504,'Registro de turnos'!$B$5:$B$504,$A57,'Registro de turnos'!$A$5:$A$504,"&gt;="&amp;$B$3,'Registro de turnos'!$A$5:$A$504,"&lt;="&amp;$B$4))</f>
        <v/>
      </c>
      <c r="K57" s="19" t="str">
        <f t="shared" si="6"/>
        <v/>
      </c>
      <c r="L57" s="17" t="str">
        <f>IF($A57="","",SUMIFS('Registro de turnos'!$T$5:$T$504,'Registro de turnos'!$B$5:$B$504,$A57,'Registro de turnos'!$A$5:$A$504,"&gt;="&amp;$B$3,'Registro de turnos'!$A$5:$A$504,"&lt;="&amp;$B$4))</f>
        <v/>
      </c>
      <c r="M57" s="17" t="str">
        <f t="shared" si="7"/>
        <v/>
      </c>
      <c r="N57" s="17" t="str">
        <f t="shared" si="8"/>
        <v/>
      </c>
      <c r="O57" s="17" t="str">
        <f t="shared" si="9"/>
        <v/>
      </c>
      <c r="P57" s="17" t="str">
        <f>IF($A57="","",ROUND(C57*D57*Parámetros!$B$8*0.0417,0))</f>
        <v/>
      </c>
      <c r="Q57" s="17" t="str">
        <f t="shared" si="10"/>
        <v/>
      </c>
      <c r="R57" s="17" t="str">
        <f t="shared" si="11"/>
        <v/>
      </c>
    </row>
    <row r="58" spans="1:18" x14ac:dyDescent="0.25">
      <c r="A58" s="22" t="str">
        <f>IF(Trabajadores!A56="","",Trabajadores!A56)</f>
        <v/>
      </c>
      <c r="B58" s="23" t="str">
        <f>IF(A58="","",Trabajadores!B56)</f>
        <v/>
      </c>
      <c r="C58" s="24" t="str">
        <f>IF(A58="","",Trabajadores!G56)</f>
        <v/>
      </c>
      <c r="D58" s="19" t="str">
        <f>IF($A58="","",SUMIFS('Registro de turnos'!$L$5:$L$504,'Registro de turnos'!$B$5:$B$504,$A58,'Registro de turnos'!$A$5:$A$504,"&gt;="&amp;$B$3,'Registro de turnos'!$A$5:$A$504,"&lt;="&amp;$B$4))</f>
        <v/>
      </c>
      <c r="E58" s="19" t="str">
        <f>IF($A58="","",SUMIFS('Registro de turnos'!$M$5:$M$504,'Registro de turnos'!$B$5:$B$504,$A58,'Registro de turnos'!$A$5:$A$504,"&gt;="&amp;$B$3,'Registro de turnos'!$A$5:$A$504,"&lt;="&amp;$B$4))</f>
        <v/>
      </c>
      <c r="F58" s="19" t="str">
        <f>IF($A58="","",SUMIFS('Registro de turnos'!$N$5:$N$504,'Registro de turnos'!$B$5:$B$504,$A58,'Registro de turnos'!$A$5:$A$504,"&gt;="&amp;$B$3,'Registro de turnos'!$A$5:$A$504,"&lt;="&amp;$B$4))</f>
        <v/>
      </c>
      <c r="G58" s="19" t="str">
        <f>IF($A58="","",SUMIFS('Registro de turnos'!$O$5:$O$504,'Registro de turnos'!$B$5:$B$504,$A58,'Registro de turnos'!$A$5:$A$504,"&gt;="&amp;$B$3,'Registro de turnos'!$A$5:$A$504,"&lt;="&amp;$B$4))</f>
        <v/>
      </c>
      <c r="H58" s="19" t="str">
        <f>IF($A58="","",SUMIFS('Registro de turnos'!$P$5:$P$504,'Registro de turnos'!$B$5:$B$504,$A58,'Registro de turnos'!$A$5:$A$504,"&gt;="&amp;$B$3,'Registro de turnos'!$A$5:$A$504,"&lt;="&amp;$B$4))</f>
        <v/>
      </c>
      <c r="I58" s="19" t="str">
        <f>IF($A58="","",SUMIFS('Registro de turnos'!$Q$5:$Q$504,'Registro de turnos'!$B$5:$B$504,$A58,'Registro de turnos'!$A$5:$A$504,"&gt;="&amp;$B$3,'Registro de turnos'!$A$5:$A$504,"&lt;="&amp;$B$4))</f>
        <v/>
      </c>
      <c r="J58" s="19" t="str">
        <f>IF($A58="","",SUMIFS('Registro de turnos'!$R$5:$R$504,'Registro de turnos'!$B$5:$B$504,$A58,'Registro de turnos'!$A$5:$A$504,"&gt;="&amp;$B$3,'Registro de turnos'!$A$5:$A$504,"&lt;="&amp;$B$4))</f>
        <v/>
      </c>
      <c r="K58" s="19" t="str">
        <f t="shared" si="6"/>
        <v/>
      </c>
      <c r="L58" s="17" t="str">
        <f>IF($A58="","",SUMIFS('Registro de turnos'!$T$5:$T$504,'Registro de turnos'!$B$5:$B$504,$A58,'Registro de turnos'!$A$5:$A$504,"&gt;="&amp;$B$3,'Registro de turnos'!$A$5:$A$504,"&lt;="&amp;$B$4))</f>
        <v/>
      </c>
      <c r="M58" s="17" t="str">
        <f t="shared" si="7"/>
        <v/>
      </c>
      <c r="N58" s="17" t="str">
        <f t="shared" si="8"/>
        <v/>
      </c>
      <c r="O58" s="17" t="str">
        <f t="shared" si="9"/>
        <v/>
      </c>
      <c r="P58" s="17" t="str">
        <f>IF($A58="","",ROUND(C58*D58*Parámetros!$B$8*0.0417,0))</f>
        <v/>
      </c>
      <c r="Q58" s="17" t="str">
        <f t="shared" si="10"/>
        <v/>
      </c>
      <c r="R58" s="17" t="str">
        <f t="shared" si="11"/>
        <v/>
      </c>
    </row>
    <row r="59" spans="1:18" x14ac:dyDescent="0.25">
      <c r="A59" s="22" t="str">
        <f>IF(Trabajadores!A57="","",Trabajadores!A57)</f>
        <v/>
      </c>
      <c r="B59" s="23" t="str">
        <f>IF(A59="","",Trabajadores!B57)</f>
        <v/>
      </c>
      <c r="C59" s="24" t="str">
        <f>IF(A59="","",Trabajadores!G57)</f>
        <v/>
      </c>
      <c r="D59" s="19" t="str">
        <f>IF($A59="","",SUMIFS('Registro de turnos'!$L$5:$L$504,'Registro de turnos'!$B$5:$B$504,$A59,'Registro de turnos'!$A$5:$A$504,"&gt;="&amp;$B$3,'Registro de turnos'!$A$5:$A$504,"&lt;="&amp;$B$4))</f>
        <v/>
      </c>
      <c r="E59" s="19" t="str">
        <f>IF($A59="","",SUMIFS('Registro de turnos'!$M$5:$M$504,'Registro de turnos'!$B$5:$B$504,$A59,'Registro de turnos'!$A$5:$A$504,"&gt;="&amp;$B$3,'Registro de turnos'!$A$5:$A$504,"&lt;="&amp;$B$4))</f>
        <v/>
      </c>
      <c r="F59" s="19" t="str">
        <f>IF($A59="","",SUMIFS('Registro de turnos'!$N$5:$N$504,'Registro de turnos'!$B$5:$B$504,$A59,'Registro de turnos'!$A$5:$A$504,"&gt;="&amp;$B$3,'Registro de turnos'!$A$5:$A$504,"&lt;="&amp;$B$4))</f>
        <v/>
      </c>
      <c r="G59" s="19" t="str">
        <f>IF($A59="","",SUMIFS('Registro de turnos'!$O$5:$O$504,'Registro de turnos'!$B$5:$B$504,$A59,'Registro de turnos'!$A$5:$A$504,"&gt;="&amp;$B$3,'Registro de turnos'!$A$5:$A$504,"&lt;="&amp;$B$4))</f>
        <v/>
      </c>
      <c r="H59" s="19" t="str">
        <f>IF($A59="","",SUMIFS('Registro de turnos'!$P$5:$P$504,'Registro de turnos'!$B$5:$B$504,$A59,'Registro de turnos'!$A$5:$A$504,"&gt;="&amp;$B$3,'Registro de turnos'!$A$5:$A$504,"&lt;="&amp;$B$4))</f>
        <v/>
      </c>
      <c r="I59" s="19" t="str">
        <f>IF($A59="","",SUMIFS('Registro de turnos'!$Q$5:$Q$504,'Registro de turnos'!$B$5:$B$504,$A59,'Registro de turnos'!$A$5:$A$504,"&gt;="&amp;$B$3,'Registro de turnos'!$A$5:$A$504,"&lt;="&amp;$B$4))</f>
        <v/>
      </c>
      <c r="J59" s="19" t="str">
        <f>IF($A59="","",SUMIFS('Registro de turnos'!$R$5:$R$504,'Registro de turnos'!$B$5:$B$504,$A59,'Registro de turnos'!$A$5:$A$504,"&gt;="&amp;$B$3,'Registro de turnos'!$A$5:$A$504,"&lt;="&amp;$B$4))</f>
        <v/>
      </c>
      <c r="K59" s="19" t="str">
        <f t="shared" si="6"/>
        <v/>
      </c>
      <c r="L59" s="17" t="str">
        <f>IF($A59="","",SUMIFS('Registro de turnos'!$T$5:$T$504,'Registro de turnos'!$B$5:$B$504,$A59,'Registro de turnos'!$A$5:$A$504,"&gt;="&amp;$B$3,'Registro de turnos'!$A$5:$A$504,"&lt;="&amp;$B$4))</f>
        <v/>
      </c>
      <c r="M59" s="17" t="str">
        <f t="shared" si="7"/>
        <v/>
      </c>
      <c r="N59" s="17" t="str">
        <f t="shared" si="8"/>
        <v/>
      </c>
      <c r="O59" s="17" t="str">
        <f t="shared" si="9"/>
        <v/>
      </c>
      <c r="P59" s="17" t="str">
        <f>IF($A59="","",ROUND(C59*D59*Parámetros!$B$8*0.0417,0))</f>
        <v/>
      </c>
      <c r="Q59" s="17" t="str">
        <f t="shared" si="10"/>
        <v/>
      </c>
      <c r="R59" s="17" t="str">
        <f t="shared" si="11"/>
        <v/>
      </c>
    </row>
    <row r="60" spans="1:18" x14ac:dyDescent="0.25">
      <c r="A60" s="22" t="str">
        <f>IF(Trabajadores!A58="","",Trabajadores!A58)</f>
        <v/>
      </c>
      <c r="B60" s="23" t="str">
        <f>IF(A60="","",Trabajadores!B58)</f>
        <v/>
      </c>
      <c r="C60" s="24" t="str">
        <f>IF(A60="","",Trabajadores!G58)</f>
        <v/>
      </c>
      <c r="D60" s="19" t="str">
        <f>IF($A60="","",SUMIFS('Registro de turnos'!$L$5:$L$504,'Registro de turnos'!$B$5:$B$504,$A60,'Registro de turnos'!$A$5:$A$504,"&gt;="&amp;$B$3,'Registro de turnos'!$A$5:$A$504,"&lt;="&amp;$B$4))</f>
        <v/>
      </c>
      <c r="E60" s="19" t="str">
        <f>IF($A60="","",SUMIFS('Registro de turnos'!$M$5:$M$504,'Registro de turnos'!$B$5:$B$504,$A60,'Registro de turnos'!$A$5:$A$504,"&gt;="&amp;$B$3,'Registro de turnos'!$A$5:$A$504,"&lt;="&amp;$B$4))</f>
        <v/>
      </c>
      <c r="F60" s="19" t="str">
        <f>IF($A60="","",SUMIFS('Registro de turnos'!$N$5:$N$504,'Registro de turnos'!$B$5:$B$504,$A60,'Registro de turnos'!$A$5:$A$504,"&gt;="&amp;$B$3,'Registro de turnos'!$A$5:$A$504,"&lt;="&amp;$B$4))</f>
        <v/>
      </c>
      <c r="G60" s="19" t="str">
        <f>IF($A60="","",SUMIFS('Registro de turnos'!$O$5:$O$504,'Registro de turnos'!$B$5:$B$504,$A60,'Registro de turnos'!$A$5:$A$504,"&gt;="&amp;$B$3,'Registro de turnos'!$A$5:$A$504,"&lt;="&amp;$B$4))</f>
        <v/>
      </c>
      <c r="H60" s="19" t="str">
        <f>IF($A60="","",SUMIFS('Registro de turnos'!$P$5:$P$504,'Registro de turnos'!$B$5:$B$504,$A60,'Registro de turnos'!$A$5:$A$504,"&gt;="&amp;$B$3,'Registro de turnos'!$A$5:$A$504,"&lt;="&amp;$B$4))</f>
        <v/>
      </c>
      <c r="I60" s="19" t="str">
        <f>IF($A60="","",SUMIFS('Registro de turnos'!$Q$5:$Q$504,'Registro de turnos'!$B$5:$B$504,$A60,'Registro de turnos'!$A$5:$A$504,"&gt;="&amp;$B$3,'Registro de turnos'!$A$5:$A$504,"&lt;="&amp;$B$4))</f>
        <v/>
      </c>
      <c r="J60" s="19" t="str">
        <f>IF($A60="","",SUMIFS('Registro de turnos'!$R$5:$R$504,'Registro de turnos'!$B$5:$B$504,$A60,'Registro de turnos'!$A$5:$A$504,"&gt;="&amp;$B$3,'Registro de turnos'!$A$5:$A$504,"&lt;="&amp;$B$4))</f>
        <v/>
      </c>
      <c r="K60" s="19" t="str">
        <f t="shared" si="6"/>
        <v/>
      </c>
      <c r="L60" s="17" t="str">
        <f>IF($A60="","",SUMIFS('Registro de turnos'!$T$5:$T$504,'Registro de turnos'!$B$5:$B$504,$A60,'Registro de turnos'!$A$5:$A$504,"&gt;="&amp;$B$3,'Registro de turnos'!$A$5:$A$504,"&lt;="&amp;$B$4))</f>
        <v/>
      </c>
      <c r="M60" s="17" t="str">
        <f t="shared" si="7"/>
        <v/>
      </c>
      <c r="N60" s="17" t="str">
        <f t="shared" si="8"/>
        <v/>
      </c>
      <c r="O60" s="17" t="str">
        <f t="shared" si="9"/>
        <v/>
      </c>
      <c r="P60" s="17" t="str">
        <f>IF($A60="","",ROUND(C60*D60*Parámetros!$B$8*0.0417,0))</f>
        <v/>
      </c>
      <c r="Q60" s="17" t="str">
        <f t="shared" si="10"/>
        <v/>
      </c>
      <c r="R60" s="17" t="str">
        <f t="shared" si="11"/>
        <v/>
      </c>
    </row>
    <row r="61" spans="1:18" x14ac:dyDescent="0.25">
      <c r="A61" s="22" t="str">
        <f>IF(Trabajadores!A59="","",Trabajadores!A59)</f>
        <v/>
      </c>
      <c r="B61" s="23" t="str">
        <f>IF(A61="","",Trabajadores!B59)</f>
        <v/>
      </c>
      <c r="C61" s="24" t="str">
        <f>IF(A61="","",Trabajadores!G59)</f>
        <v/>
      </c>
      <c r="D61" s="19" t="str">
        <f>IF($A61="","",SUMIFS('Registro de turnos'!$L$5:$L$504,'Registro de turnos'!$B$5:$B$504,$A61,'Registro de turnos'!$A$5:$A$504,"&gt;="&amp;$B$3,'Registro de turnos'!$A$5:$A$504,"&lt;="&amp;$B$4))</f>
        <v/>
      </c>
      <c r="E61" s="19" t="str">
        <f>IF($A61="","",SUMIFS('Registro de turnos'!$M$5:$M$504,'Registro de turnos'!$B$5:$B$504,$A61,'Registro de turnos'!$A$5:$A$504,"&gt;="&amp;$B$3,'Registro de turnos'!$A$5:$A$504,"&lt;="&amp;$B$4))</f>
        <v/>
      </c>
      <c r="F61" s="19" t="str">
        <f>IF($A61="","",SUMIFS('Registro de turnos'!$N$5:$N$504,'Registro de turnos'!$B$5:$B$504,$A61,'Registro de turnos'!$A$5:$A$504,"&gt;="&amp;$B$3,'Registro de turnos'!$A$5:$A$504,"&lt;="&amp;$B$4))</f>
        <v/>
      </c>
      <c r="G61" s="19" t="str">
        <f>IF($A61="","",SUMIFS('Registro de turnos'!$O$5:$O$504,'Registro de turnos'!$B$5:$B$504,$A61,'Registro de turnos'!$A$5:$A$504,"&gt;="&amp;$B$3,'Registro de turnos'!$A$5:$A$504,"&lt;="&amp;$B$4))</f>
        <v/>
      </c>
      <c r="H61" s="19" t="str">
        <f>IF($A61="","",SUMIFS('Registro de turnos'!$P$5:$P$504,'Registro de turnos'!$B$5:$B$504,$A61,'Registro de turnos'!$A$5:$A$504,"&gt;="&amp;$B$3,'Registro de turnos'!$A$5:$A$504,"&lt;="&amp;$B$4))</f>
        <v/>
      </c>
      <c r="I61" s="19" t="str">
        <f>IF($A61="","",SUMIFS('Registro de turnos'!$Q$5:$Q$504,'Registro de turnos'!$B$5:$B$504,$A61,'Registro de turnos'!$A$5:$A$504,"&gt;="&amp;$B$3,'Registro de turnos'!$A$5:$A$504,"&lt;="&amp;$B$4))</f>
        <v/>
      </c>
      <c r="J61" s="19" t="str">
        <f>IF($A61="","",SUMIFS('Registro de turnos'!$R$5:$R$504,'Registro de turnos'!$B$5:$B$504,$A61,'Registro de turnos'!$A$5:$A$504,"&gt;="&amp;$B$3,'Registro de turnos'!$A$5:$A$504,"&lt;="&amp;$B$4))</f>
        <v/>
      </c>
      <c r="K61" s="19" t="str">
        <f t="shared" si="6"/>
        <v/>
      </c>
      <c r="L61" s="17" t="str">
        <f>IF($A61="","",SUMIFS('Registro de turnos'!$T$5:$T$504,'Registro de turnos'!$B$5:$B$504,$A61,'Registro de turnos'!$A$5:$A$504,"&gt;="&amp;$B$3,'Registro de turnos'!$A$5:$A$504,"&lt;="&amp;$B$4))</f>
        <v/>
      </c>
      <c r="M61" s="17" t="str">
        <f t="shared" si="7"/>
        <v/>
      </c>
      <c r="N61" s="17" t="str">
        <f t="shared" si="8"/>
        <v/>
      </c>
      <c r="O61" s="17" t="str">
        <f t="shared" si="9"/>
        <v/>
      </c>
      <c r="P61" s="17" t="str">
        <f>IF($A61="","",ROUND(C61*D61*Parámetros!$B$8*0.0417,0))</f>
        <v/>
      </c>
      <c r="Q61" s="17" t="str">
        <f t="shared" si="10"/>
        <v/>
      </c>
      <c r="R61" s="17" t="str">
        <f t="shared" si="11"/>
        <v/>
      </c>
    </row>
    <row r="62" spans="1:18" x14ac:dyDescent="0.25">
      <c r="A62" s="22" t="str">
        <f>IF(Trabajadores!A60="","",Trabajadores!A60)</f>
        <v/>
      </c>
      <c r="B62" s="23" t="str">
        <f>IF(A62="","",Trabajadores!B60)</f>
        <v/>
      </c>
      <c r="C62" s="24" t="str">
        <f>IF(A62="","",Trabajadores!G60)</f>
        <v/>
      </c>
      <c r="D62" s="19" t="str">
        <f>IF($A62="","",SUMIFS('Registro de turnos'!$L$5:$L$504,'Registro de turnos'!$B$5:$B$504,$A62,'Registro de turnos'!$A$5:$A$504,"&gt;="&amp;$B$3,'Registro de turnos'!$A$5:$A$504,"&lt;="&amp;$B$4))</f>
        <v/>
      </c>
      <c r="E62" s="19" t="str">
        <f>IF($A62="","",SUMIFS('Registro de turnos'!$M$5:$M$504,'Registro de turnos'!$B$5:$B$504,$A62,'Registro de turnos'!$A$5:$A$504,"&gt;="&amp;$B$3,'Registro de turnos'!$A$5:$A$504,"&lt;="&amp;$B$4))</f>
        <v/>
      </c>
      <c r="F62" s="19" t="str">
        <f>IF($A62="","",SUMIFS('Registro de turnos'!$N$5:$N$504,'Registro de turnos'!$B$5:$B$504,$A62,'Registro de turnos'!$A$5:$A$504,"&gt;="&amp;$B$3,'Registro de turnos'!$A$5:$A$504,"&lt;="&amp;$B$4))</f>
        <v/>
      </c>
      <c r="G62" s="19" t="str">
        <f>IF($A62="","",SUMIFS('Registro de turnos'!$O$5:$O$504,'Registro de turnos'!$B$5:$B$504,$A62,'Registro de turnos'!$A$5:$A$504,"&gt;="&amp;$B$3,'Registro de turnos'!$A$5:$A$504,"&lt;="&amp;$B$4))</f>
        <v/>
      </c>
      <c r="H62" s="19" t="str">
        <f>IF($A62="","",SUMIFS('Registro de turnos'!$P$5:$P$504,'Registro de turnos'!$B$5:$B$504,$A62,'Registro de turnos'!$A$5:$A$504,"&gt;="&amp;$B$3,'Registro de turnos'!$A$5:$A$504,"&lt;="&amp;$B$4))</f>
        <v/>
      </c>
      <c r="I62" s="19" t="str">
        <f>IF($A62="","",SUMIFS('Registro de turnos'!$Q$5:$Q$504,'Registro de turnos'!$B$5:$B$504,$A62,'Registro de turnos'!$A$5:$A$504,"&gt;="&amp;$B$3,'Registro de turnos'!$A$5:$A$504,"&lt;="&amp;$B$4))</f>
        <v/>
      </c>
      <c r="J62" s="19" t="str">
        <f>IF($A62="","",SUMIFS('Registro de turnos'!$R$5:$R$504,'Registro de turnos'!$B$5:$B$504,$A62,'Registro de turnos'!$A$5:$A$504,"&gt;="&amp;$B$3,'Registro de turnos'!$A$5:$A$504,"&lt;="&amp;$B$4))</f>
        <v/>
      </c>
      <c r="K62" s="19" t="str">
        <f t="shared" si="6"/>
        <v/>
      </c>
      <c r="L62" s="17" t="str">
        <f>IF($A62="","",SUMIFS('Registro de turnos'!$T$5:$T$504,'Registro de turnos'!$B$5:$B$504,$A62,'Registro de turnos'!$A$5:$A$504,"&gt;="&amp;$B$3,'Registro de turnos'!$A$5:$A$504,"&lt;="&amp;$B$4))</f>
        <v/>
      </c>
      <c r="M62" s="17" t="str">
        <f t="shared" si="7"/>
        <v/>
      </c>
      <c r="N62" s="17" t="str">
        <f t="shared" si="8"/>
        <v/>
      </c>
      <c r="O62" s="17" t="str">
        <f t="shared" si="9"/>
        <v/>
      </c>
      <c r="P62" s="17" t="str">
        <f>IF($A62="","",ROUND(C62*D62*Parámetros!$B$8*0.0417,0))</f>
        <v/>
      </c>
      <c r="Q62" s="17" t="str">
        <f t="shared" si="10"/>
        <v/>
      </c>
      <c r="R62" s="17" t="str">
        <f t="shared" si="11"/>
        <v/>
      </c>
    </row>
    <row r="63" spans="1:18" x14ac:dyDescent="0.25">
      <c r="A63" s="22" t="str">
        <f>IF(Trabajadores!A61="","",Trabajadores!A61)</f>
        <v/>
      </c>
      <c r="B63" s="23" t="str">
        <f>IF(A63="","",Trabajadores!B61)</f>
        <v/>
      </c>
      <c r="C63" s="24" t="str">
        <f>IF(A63="","",Trabajadores!G61)</f>
        <v/>
      </c>
      <c r="D63" s="19" t="str">
        <f>IF($A63="","",SUMIFS('Registro de turnos'!$L$5:$L$504,'Registro de turnos'!$B$5:$B$504,$A63,'Registro de turnos'!$A$5:$A$504,"&gt;="&amp;$B$3,'Registro de turnos'!$A$5:$A$504,"&lt;="&amp;$B$4))</f>
        <v/>
      </c>
      <c r="E63" s="19" t="str">
        <f>IF($A63="","",SUMIFS('Registro de turnos'!$M$5:$M$504,'Registro de turnos'!$B$5:$B$504,$A63,'Registro de turnos'!$A$5:$A$504,"&gt;="&amp;$B$3,'Registro de turnos'!$A$5:$A$504,"&lt;="&amp;$B$4))</f>
        <v/>
      </c>
      <c r="F63" s="19" t="str">
        <f>IF($A63="","",SUMIFS('Registro de turnos'!$N$5:$N$504,'Registro de turnos'!$B$5:$B$504,$A63,'Registro de turnos'!$A$5:$A$504,"&gt;="&amp;$B$3,'Registro de turnos'!$A$5:$A$504,"&lt;="&amp;$B$4))</f>
        <v/>
      </c>
      <c r="G63" s="19" t="str">
        <f>IF($A63="","",SUMIFS('Registro de turnos'!$O$5:$O$504,'Registro de turnos'!$B$5:$B$504,$A63,'Registro de turnos'!$A$5:$A$504,"&gt;="&amp;$B$3,'Registro de turnos'!$A$5:$A$504,"&lt;="&amp;$B$4))</f>
        <v/>
      </c>
      <c r="H63" s="19" t="str">
        <f>IF($A63="","",SUMIFS('Registro de turnos'!$P$5:$P$504,'Registro de turnos'!$B$5:$B$504,$A63,'Registro de turnos'!$A$5:$A$504,"&gt;="&amp;$B$3,'Registro de turnos'!$A$5:$A$504,"&lt;="&amp;$B$4))</f>
        <v/>
      </c>
      <c r="I63" s="19" t="str">
        <f>IF($A63="","",SUMIFS('Registro de turnos'!$Q$5:$Q$504,'Registro de turnos'!$B$5:$B$504,$A63,'Registro de turnos'!$A$5:$A$504,"&gt;="&amp;$B$3,'Registro de turnos'!$A$5:$A$504,"&lt;="&amp;$B$4))</f>
        <v/>
      </c>
      <c r="J63" s="19" t="str">
        <f>IF($A63="","",SUMIFS('Registro de turnos'!$R$5:$R$504,'Registro de turnos'!$B$5:$B$504,$A63,'Registro de turnos'!$A$5:$A$504,"&gt;="&amp;$B$3,'Registro de turnos'!$A$5:$A$504,"&lt;="&amp;$B$4))</f>
        <v/>
      </c>
      <c r="K63" s="19" t="str">
        <f t="shared" si="6"/>
        <v/>
      </c>
      <c r="L63" s="17" t="str">
        <f>IF($A63="","",SUMIFS('Registro de turnos'!$T$5:$T$504,'Registro de turnos'!$B$5:$B$504,$A63,'Registro de turnos'!$A$5:$A$504,"&gt;="&amp;$B$3,'Registro de turnos'!$A$5:$A$504,"&lt;="&amp;$B$4))</f>
        <v/>
      </c>
      <c r="M63" s="17" t="str">
        <f t="shared" si="7"/>
        <v/>
      </c>
      <c r="N63" s="17" t="str">
        <f t="shared" si="8"/>
        <v/>
      </c>
      <c r="O63" s="17" t="str">
        <f t="shared" si="9"/>
        <v/>
      </c>
      <c r="P63" s="17" t="str">
        <f>IF($A63="","",ROUND(C63*D63*Parámetros!$B$8*0.0417,0))</f>
        <v/>
      </c>
      <c r="Q63" s="17" t="str">
        <f t="shared" si="10"/>
        <v/>
      </c>
      <c r="R63" s="17" t="str">
        <f t="shared" si="11"/>
        <v/>
      </c>
    </row>
    <row r="64" spans="1:18" x14ac:dyDescent="0.25">
      <c r="A64" s="22" t="str">
        <f>IF(Trabajadores!A62="","",Trabajadores!A62)</f>
        <v/>
      </c>
      <c r="B64" s="23" t="str">
        <f>IF(A64="","",Trabajadores!B62)</f>
        <v/>
      </c>
      <c r="C64" s="24" t="str">
        <f>IF(A64="","",Trabajadores!G62)</f>
        <v/>
      </c>
      <c r="D64" s="19" t="str">
        <f>IF($A64="","",SUMIFS('Registro de turnos'!$L$5:$L$504,'Registro de turnos'!$B$5:$B$504,$A64,'Registro de turnos'!$A$5:$A$504,"&gt;="&amp;$B$3,'Registro de turnos'!$A$5:$A$504,"&lt;="&amp;$B$4))</f>
        <v/>
      </c>
      <c r="E64" s="19" t="str">
        <f>IF($A64="","",SUMIFS('Registro de turnos'!$M$5:$M$504,'Registro de turnos'!$B$5:$B$504,$A64,'Registro de turnos'!$A$5:$A$504,"&gt;="&amp;$B$3,'Registro de turnos'!$A$5:$A$504,"&lt;="&amp;$B$4))</f>
        <v/>
      </c>
      <c r="F64" s="19" t="str">
        <f>IF($A64="","",SUMIFS('Registro de turnos'!$N$5:$N$504,'Registro de turnos'!$B$5:$B$504,$A64,'Registro de turnos'!$A$5:$A$504,"&gt;="&amp;$B$3,'Registro de turnos'!$A$5:$A$504,"&lt;="&amp;$B$4))</f>
        <v/>
      </c>
      <c r="G64" s="19" t="str">
        <f>IF($A64="","",SUMIFS('Registro de turnos'!$O$5:$O$504,'Registro de turnos'!$B$5:$B$504,$A64,'Registro de turnos'!$A$5:$A$504,"&gt;="&amp;$B$3,'Registro de turnos'!$A$5:$A$504,"&lt;="&amp;$B$4))</f>
        <v/>
      </c>
      <c r="H64" s="19" t="str">
        <f>IF($A64="","",SUMIFS('Registro de turnos'!$P$5:$P$504,'Registro de turnos'!$B$5:$B$504,$A64,'Registro de turnos'!$A$5:$A$504,"&gt;="&amp;$B$3,'Registro de turnos'!$A$5:$A$504,"&lt;="&amp;$B$4))</f>
        <v/>
      </c>
      <c r="I64" s="19" t="str">
        <f>IF($A64="","",SUMIFS('Registro de turnos'!$Q$5:$Q$504,'Registro de turnos'!$B$5:$B$504,$A64,'Registro de turnos'!$A$5:$A$504,"&gt;="&amp;$B$3,'Registro de turnos'!$A$5:$A$504,"&lt;="&amp;$B$4))</f>
        <v/>
      </c>
      <c r="J64" s="19" t="str">
        <f>IF($A64="","",SUMIFS('Registro de turnos'!$R$5:$R$504,'Registro de turnos'!$B$5:$B$504,$A64,'Registro de turnos'!$A$5:$A$504,"&gt;="&amp;$B$3,'Registro de turnos'!$A$5:$A$504,"&lt;="&amp;$B$4))</f>
        <v/>
      </c>
      <c r="K64" s="19" t="str">
        <f t="shared" si="6"/>
        <v/>
      </c>
      <c r="L64" s="17" t="str">
        <f>IF($A64="","",SUMIFS('Registro de turnos'!$T$5:$T$504,'Registro de turnos'!$B$5:$B$504,$A64,'Registro de turnos'!$A$5:$A$504,"&gt;="&amp;$B$3,'Registro de turnos'!$A$5:$A$504,"&lt;="&amp;$B$4))</f>
        <v/>
      </c>
      <c r="M64" s="17" t="str">
        <f t="shared" si="7"/>
        <v/>
      </c>
      <c r="N64" s="17" t="str">
        <f t="shared" si="8"/>
        <v/>
      </c>
      <c r="O64" s="17" t="str">
        <f t="shared" si="9"/>
        <v/>
      </c>
      <c r="P64" s="17" t="str">
        <f>IF($A64="","",ROUND(C64*D64*Parámetros!$B$8*0.0417,0))</f>
        <v/>
      </c>
      <c r="Q64" s="17" t="str">
        <f t="shared" si="10"/>
        <v/>
      </c>
      <c r="R64" s="17" t="str">
        <f t="shared" si="11"/>
        <v/>
      </c>
    </row>
    <row r="65" spans="1:18" x14ac:dyDescent="0.25">
      <c r="A65" s="22" t="str">
        <f>IF(Trabajadores!A63="","",Trabajadores!A63)</f>
        <v/>
      </c>
      <c r="B65" s="23" t="str">
        <f>IF(A65="","",Trabajadores!B63)</f>
        <v/>
      </c>
      <c r="C65" s="24" t="str">
        <f>IF(A65="","",Trabajadores!G63)</f>
        <v/>
      </c>
      <c r="D65" s="19" t="str">
        <f>IF($A65="","",SUMIFS('Registro de turnos'!$L$5:$L$504,'Registro de turnos'!$B$5:$B$504,$A65,'Registro de turnos'!$A$5:$A$504,"&gt;="&amp;$B$3,'Registro de turnos'!$A$5:$A$504,"&lt;="&amp;$B$4))</f>
        <v/>
      </c>
      <c r="E65" s="19" t="str">
        <f>IF($A65="","",SUMIFS('Registro de turnos'!$M$5:$M$504,'Registro de turnos'!$B$5:$B$504,$A65,'Registro de turnos'!$A$5:$A$504,"&gt;="&amp;$B$3,'Registro de turnos'!$A$5:$A$504,"&lt;="&amp;$B$4))</f>
        <v/>
      </c>
      <c r="F65" s="19" t="str">
        <f>IF($A65="","",SUMIFS('Registro de turnos'!$N$5:$N$504,'Registro de turnos'!$B$5:$B$504,$A65,'Registro de turnos'!$A$5:$A$504,"&gt;="&amp;$B$3,'Registro de turnos'!$A$5:$A$504,"&lt;="&amp;$B$4))</f>
        <v/>
      </c>
      <c r="G65" s="19" t="str">
        <f>IF($A65="","",SUMIFS('Registro de turnos'!$O$5:$O$504,'Registro de turnos'!$B$5:$B$504,$A65,'Registro de turnos'!$A$5:$A$504,"&gt;="&amp;$B$3,'Registro de turnos'!$A$5:$A$504,"&lt;="&amp;$B$4))</f>
        <v/>
      </c>
      <c r="H65" s="19" t="str">
        <f>IF($A65="","",SUMIFS('Registro de turnos'!$P$5:$P$504,'Registro de turnos'!$B$5:$B$504,$A65,'Registro de turnos'!$A$5:$A$504,"&gt;="&amp;$B$3,'Registro de turnos'!$A$5:$A$504,"&lt;="&amp;$B$4))</f>
        <v/>
      </c>
      <c r="I65" s="19" t="str">
        <f>IF($A65="","",SUMIFS('Registro de turnos'!$Q$5:$Q$504,'Registro de turnos'!$B$5:$B$504,$A65,'Registro de turnos'!$A$5:$A$504,"&gt;="&amp;$B$3,'Registro de turnos'!$A$5:$A$504,"&lt;="&amp;$B$4))</f>
        <v/>
      </c>
      <c r="J65" s="19" t="str">
        <f>IF($A65="","",SUMIFS('Registro de turnos'!$R$5:$R$504,'Registro de turnos'!$B$5:$B$504,$A65,'Registro de turnos'!$A$5:$A$504,"&gt;="&amp;$B$3,'Registro de turnos'!$A$5:$A$504,"&lt;="&amp;$B$4))</f>
        <v/>
      </c>
      <c r="K65" s="19" t="str">
        <f t="shared" si="6"/>
        <v/>
      </c>
      <c r="L65" s="17" t="str">
        <f>IF($A65="","",SUMIFS('Registro de turnos'!$T$5:$T$504,'Registro de turnos'!$B$5:$B$504,$A65,'Registro de turnos'!$A$5:$A$504,"&gt;="&amp;$B$3,'Registro de turnos'!$A$5:$A$504,"&lt;="&amp;$B$4))</f>
        <v/>
      </c>
      <c r="M65" s="17" t="str">
        <f t="shared" si="7"/>
        <v/>
      </c>
      <c r="N65" s="17" t="str">
        <f t="shared" si="8"/>
        <v/>
      </c>
      <c r="O65" s="17" t="str">
        <f t="shared" si="9"/>
        <v/>
      </c>
      <c r="P65" s="17" t="str">
        <f>IF($A65="","",ROUND(C65*D65*Parámetros!$B$8*0.0417,0))</f>
        <v/>
      </c>
      <c r="Q65" s="17" t="str">
        <f t="shared" si="10"/>
        <v/>
      </c>
      <c r="R65" s="17" t="str">
        <f t="shared" si="11"/>
        <v/>
      </c>
    </row>
    <row r="66" spans="1:18" x14ac:dyDescent="0.25">
      <c r="A66" s="22" t="str">
        <f>IF(Trabajadores!A64="","",Trabajadores!A64)</f>
        <v/>
      </c>
      <c r="B66" s="23" t="str">
        <f>IF(A66="","",Trabajadores!B64)</f>
        <v/>
      </c>
      <c r="C66" s="24" t="str">
        <f>IF(A66="","",Trabajadores!G64)</f>
        <v/>
      </c>
      <c r="D66" s="19" t="str">
        <f>IF($A66="","",SUMIFS('Registro de turnos'!$L$5:$L$504,'Registro de turnos'!$B$5:$B$504,$A66,'Registro de turnos'!$A$5:$A$504,"&gt;="&amp;$B$3,'Registro de turnos'!$A$5:$A$504,"&lt;="&amp;$B$4))</f>
        <v/>
      </c>
      <c r="E66" s="19" t="str">
        <f>IF($A66="","",SUMIFS('Registro de turnos'!$M$5:$M$504,'Registro de turnos'!$B$5:$B$504,$A66,'Registro de turnos'!$A$5:$A$504,"&gt;="&amp;$B$3,'Registro de turnos'!$A$5:$A$504,"&lt;="&amp;$B$4))</f>
        <v/>
      </c>
      <c r="F66" s="19" t="str">
        <f>IF($A66="","",SUMIFS('Registro de turnos'!$N$5:$N$504,'Registro de turnos'!$B$5:$B$504,$A66,'Registro de turnos'!$A$5:$A$504,"&gt;="&amp;$B$3,'Registro de turnos'!$A$5:$A$504,"&lt;="&amp;$B$4))</f>
        <v/>
      </c>
      <c r="G66" s="19" t="str">
        <f>IF($A66="","",SUMIFS('Registro de turnos'!$O$5:$O$504,'Registro de turnos'!$B$5:$B$504,$A66,'Registro de turnos'!$A$5:$A$504,"&gt;="&amp;$B$3,'Registro de turnos'!$A$5:$A$504,"&lt;="&amp;$B$4))</f>
        <v/>
      </c>
      <c r="H66" s="19" t="str">
        <f>IF($A66="","",SUMIFS('Registro de turnos'!$P$5:$P$504,'Registro de turnos'!$B$5:$B$504,$A66,'Registro de turnos'!$A$5:$A$504,"&gt;="&amp;$B$3,'Registro de turnos'!$A$5:$A$504,"&lt;="&amp;$B$4))</f>
        <v/>
      </c>
      <c r="I66" s="19" t="str">
        <f>IF($A66="","",SUMIFS('Registro de turnos'!$Q$5:$Q$504,'Registro de turnos'!$B$5:$B$504,$A66,'Registro de turnos'!$A$5:$A$504,"&gt;="&amp;$B$3,'Registro de turnos'!$A$5:$A$504,"&lt;="&amp;$B$4))</f>
        <v/>
      </c>
      <c r="J66" s="19" t="str">
        <f>IF($A66="","",SUMIFS('Registro de turnos'!$R$5:$R$504,'Registro de turnos'!$B$5:$B$504,$A66,'Registro de turnos'!$A$5:$A$504,"&gt;="&amp;$B$3,'Registro de turnos'!$A$5:$A$504,"&lt;="&amp;$B$4))</f>
        <v/>
      </c>
      <c r="K66" s="19" t="str">
        <f t="shared" si="6"/>
        <v/>
      </c>
      <c r="L66" s="17" t="str">
        <f>IF($A66="","",SUMIFS('Registro de turnos'!$T$5:$T$504,'Registro de turnos'!$B$5:$B$504,$A66,'Registro de turnos'!$A$5:$A$504,"&gt;="&amp;$B$3,'Registro de turnos'!$A$5:$A$504,"&lt;="&amp;$B$4))</f>
        <v/>
      </c>
      <c r="M66" s="17" t="str">
        <f t="shared" si="7"/>
        <v/>
      </c>
      <c r="N66" s="17" t="str">
        <f t="shared" si="8"/>
        <v/>
      </c>
      <c r="O66" s="17" t="str">
        <f t="shared" si="9"/>
        <v/>
      </c>
      <c r="P66" s="17" t="str">
        <f>IF($A66="","",ROUND(C66*D66*Parámetros!$B$8*0.0417,0))</f>
        <v/>
      </c>
      <c r="Q66" s="17" t="str">
        <f t="shared" si="10"/>
        <v/>
      </c>
      <c r="R66" s="17" t="str">
        <f t="shared" si="11"/>
        <v/>
      </c>
    </row>
    <row r="67" spans="1:18" x14ac:dyDescent="0.25">
      <c r="A67" s="22" t="str">
        <f>IF(Trabajadores!A65="","",Trabajadores!A65)</f>
        <v/>
      </c>
      <c r="B67" s="23" t="str">
        <f>IF(A67="","",Trabajadores!B65)</f>
        <v/>
      </c>
      <c r="C67" s="24" t="str">
        <f>IF(A67="","",Trabajadores!G65)</f>
        <v/>
      </c>
      <c r="D67" s="19" t="str">
        <f>IF($A67="","",SUMIFS('Registro de turnos'!$L$5:$L$504,'Registro de turnos'!$B$5:$B$504,$A67,'Registro de turnos'!$A$5:$A$504,"&gt;="&amp;$B$3,'Registro de turnos'!$A$5:$A$504,"&lt;="&amp;$B$4))</f>
        <v/>
      </c>
      <c r="E67" s="19" t="str">
        <f>IF($A67="","",SUMIFS('Registro de turnos'!$M$5:$M$504,'Registro de turnos'!$B$5:$B$504,$A67,'Registro de turnos'!$A$5:$A$504,"&gt;="&amp;$B$3,'Registro de turnos'!$A$5:$A$504,"&lt;="&amp;$B$4))</f>
        <v/>
      </c>
      <c r="F67" s="19" t="str">
        <f>IF($A67="","",SUMIFS('Registro de turnos'!$N$5:$N$504,'Registro de turnos'!$B$5:$B$504,$A67,'Registro de turnos'!$A$5:$A$504,"&gt;="&amp;$B$3,'Registro de turnos'!$A$5:$A$504,"&lt;="&amp;$B$4))</f>
        <v/>
      </c>
      <c r="G67" s="19" t="str">
        <f>IF($A67="","",SUMIFS('Registro de turnos'!$O$5:$O$504,'Registro de turnos'!$B$5:$B$504,$A67,'Registro de turnos'!$A$5:$A$504,"&gt;="&amp;$B$3,'Registro de turnos'!$A$5:$A$504,"&lt;="&amp;$B$4))</f>
        <v/>
      </c>
      <c r="H67" s="19" t="str">
        <f>IF($A67="","",SUMIFS('Registro de turnos'!$P$5:$P$504,'Registro de turnos'!$B$5:$B$504,$A67,'Registro de turnos'!$A$5:$A$504,"&gt;="&amp;$B$3,'Registro de turnos'!$A$5:$A$504,"&lt;="&amp;$B$4))</f>
        <v/>
      </c>
      <c r="I67" s="19" t="str">
        <f>IF($A67="","",SUMIFS('Registro de turnos'!$Q$5:$Q$504,'Registro de turnos'!$B$5:$B$504,$A67,'Registro de turnos'!$A$5:$A$504,"&gt;="&amp;$B$3,'Registro de turnos'!$A$5:$A$504,"&lt;="&amp;$B$4))</f>
        <v/>
      </c>
      <c r="J67" s="19" t="str">
        <f>IF($A67="","",SUMIFS('Registro de turnos'!$R$5:$R$504,'Registro de turnos'!$B$5:$B$504,$A67,'Registro de turnos'!$A$5:$A$504,"&gt;="&amp;$B$3,'Registro de turnos'!$A$5:$A$504,"&lt;="&amp;$B$4))</f>
        <v/>
      </c>
      <c r="K67" s="19" t="str">
        <f t="shared" si="6"/>
        <v/>
      </c>
      <c r="L67" s="17" t="str">
        <f>IF($A67="","",SUMIFS('Registro de turnos'!$T$5:$T$504,'Registro de turnos'!$B$5:$B$504,$A67,'Registro de turnos'!$A$5:$A$504,"&gt;="&amp;$B$3,'Registro de turnos'!$A$5:$A$504,"&lt;="&amp;$B$4))</f>
        <v/>
      </c>
      <c r="M67" s="17" t="str">
        <f t="shared" si="7"/>
        <v/>
      </c>
      <c r="N67" s="17" t="str">
        <f t="shared" si="8"/>
        <v/>
      </c>
      <c r="O67" s="17" t="str">
        <f t="shared" si="9"/>
        <v/>
      </c>
      <c r="P67" s="17" t="str">
        <f>IF($A67="","",ROUND(C67*D67*Parámetros!$B$8*0.0417,0))</f>
        <v/>
      </c>
      <c r="Q67" s="17" t="str">
        <f t="shared" si="10"/>
        <v/>
      </c>
      <c r="R67" s="17" t="str">
        <f t="shared" si="11"/>
        <v/>
      </c>
    </row>
    <row r="68" spans="1:18" x14ac:dyDescent="0.25">
      <c r="A68" s="22" t="str">
        <f>IF(Trabajadores!A66="","",Trabajadores!A66)</f>
        <v/>
      </c>
      <c r="B68" s="23" t="str">
        <f>IF(A68="","",Trabajadores!B66)</f>
        <v/>
      </c>
      <c r="C68" s="24" t="str">
        <f>IF(A68="","",Trabajadores!G66)</f>
        <v/>
      </c>
      <c r="D68" s="19" t="str">
        <f>IF($A68="","",SUMIFS('Registro de turnos'!$L$5:$L$504,'Registro de turnos'!$B$5:$B$504,$A68,'Registro de turnos'!$A$5:$A$504,"&gt;="&amp;$B$3,'Registro de turnos'!$A$5:$A$504,"&lt;="&amp;$B$4))</f>
        <v/>
      </c>
      <c r="E68" s="19" t="str">
        <f>IF($A68="","",SUMIFS('Registro de turnos'!$M$5:$M$504,'Registro de turnos'!$B$5:$B$504,$A68,'Registro de turnos'!$A$5:$A$504,"&gt;="&amp;$B$3,'Registro de turnos'!$A$5:$A$504,"&lt;="&amp;$B$4))</f>
        <v/>
      </c>
      <c r="F68" s="19" t="str">
        <f>IF($A68="","",SUMIFS('Registro de turnos'!$N$5:$N$504,'Registro de turnos'!$B$5:$B$504,$A68,'Registro de turnos'!$A$5:$A$504,"&gt;="&amp;$B$3,'Registro de turnos'!$A$5:$A$504,"&lt;="&amp;$B$4))</f>
        <v/>
      </c>
      <c r="G68" s="19" t="str">
        <f>IF($A68="","",SUMIFS('Registro de turnos'!$O$5:$O$504,'Registro de turnos'!$B$5:$B$504,$A68,'Registro de turnos'!$A$5:$A$504,"&gt;="&amp;$B$3,'Registro de turnos'!$A$5:$A$504,"&lt;="&amp;$B$4))</f>
        <v/>
      </c>
      <c r="H68" s="19" t="str">
        <f>IF($A68="","",SUMIFS('Registro de turnos'!$P$5:$P$504,'Registro de turnos'!$B$5:$B$504,$A68,'Registro de turnos'!$A$5:$A$504,"&gt;="&amp;$B$3,'Registro de turnos'!$A$5:$A$504,"&lt;="&amp;$B$4))</f>
        <v/>
      </c>
      <c r="I68" s="19" t="str">
        <f>IF($A68="","",SUMIFS('Registro de turnos'!$Q$5:$Q$504,'Registro de turnos'!$B$5:$B$504,$A68,'Registro de turnos'!$A$5:$A$504,"&gt;="&amp;$B$3,'Registro de turnos'!$A$5:$A$504,"&lt;="&amp;$B$4))</f>
        <v/>
      </c>
      <c r="J68" s="19" t="str">
        <f>IF($A68="","",SUMIFS('Registro de turnos'!$R$5:$R$504,'Registro de turnos'!$B$5:$B$504,$A68,'Registro de turnos'!$A$5:$A$504,"&gt;="&amp;$B$3,'Registro de turnos'!$A$5:$A$504,"&lt;="&amp;$B$4))</f>
        <v/>
      </c>
      <c r="K68" s="19" t="str">
        <f t="shared" si="6"/>
        <v/>
      </c>
      <c r="L68" s="17" t="str">
        <f>IF($A68="","",SUMIFS('Registro de turnos'!$T$5:$T$504,'Registro de turnos'!$B$5:$B$504,$A68,'Registro de turnos'!$A$5:$A$504,"&gt;="&amp;$B$3,'Registro de turnos'!$A$5:$A$504,"&lt;="&amp;$B$4))</f>
        <v/>
      </c>
      <c r="M68" s="17" t="str">
        <f t="shared" si="7"/>
        <v/>
      </c>
      <c r="N68" s="17" t="str">
        <f t="shared" si="8"/>
        <v/>
      </c>
      <c r="O68" s="17" t="str">
        <f t="shared" si="9"/>
        <v/>
      </c>
      <c r="P68" s="17" t="str">
        <f>IF($A68="","",ROUND(C68*D68*Parámetros!$B$8*0.0417,0))</f>
        <v/>
      </c>
      <c r="Q68" s="17" t="str">
        <f t="shared" si="10"/>
        <v/>
      </c>
      <c r="R68" s="17" t="str">
        <f t="shared" si="11"/>
        <v/>
      </c>
    </row>
    <row r="69" spans="1:18" x14ac:dyDescent="0.25">
      <c r="A69" s="22" t="str">
        <f>IF(Trabajadores!A67="","",Trabajadores!A67)</f>
        <v/>
      </c>
      <c r="B69" s="23" t="str">
        <f>IF(A69="","",Trabajadores!B67)</f>
        <v/>
      </c>
      <c r="C69" s="24" t="str">
        <f>IF(A69="","",Trabajadores!G67)</f>
        <v/>
      </c>
      <c r="D69" s="19" t="str">
        <f>IF($A69="","",SUMIFS('Registro de turnos'!$L$5:$L$504,'Registro de turnos'!$B$5:$B$504,$A69,'Registro de turnos'!$A$5:$A$504,"&gt;="&amp;$B$3,'Registro de turnos'!$A$5:$A$504,"&lt;="&amp;$B$4))</f>
        <v/>
      </c>
      <c r="E69" s="19" t="str">
        <f>IF($A69="","",SUMIFS('Registro de turnos'!$M$5:$M$504,'Registro de turnos'!$B$5:$B$504,$A69,'Registro de turnos'!$A$5:$A$504,"&gt;="&amp;$B$3,'Registro de turnos'!$A$5:$A$504,"&lt;="&amp;$B$4))</f>
        <v/>
      </c>
      <c r="F69" s="19" t="str">
        <f>IF($A69="","",SUMIFS('Registro de turnos'!$N$5:$N$504,'Registro de turnos'!$B$5:$B$504,$A69,'Registro de turnos'!$A$5:$A$504,"&gt;="&amp;$B$3,'Registro de turnos'!$A$5:$A$504,"&lt;="&amp;$B$4))</f>
        <v/>
      </c>
      <c r="G69" s="19" t="str">
        <f>IF($A69="","",SUMIFS('Registro de turnos'!$O$5:$O$504,'Registro de turnos'!$B$5:$B$504,$A69,'Registro de turnos'!$A$5:$A$504,"&gt;="&amp;$B$3,'Registro de turnos'!$A$5:$A$504,"&lt;="&amp;$B$4))</f>
        <v/>
      </c>
      <c r="H69" s="19" t="str">
        <f>IF($A69="","",SUMIFS('Registro de turnos'!$P$5:$P$504,'Registro de turnos'!$B$5:$B$504,$A69,'Registro de turnos'!$A$5:$A$504,"&gt;="&amp;$B$3,'Registro de turnos'!$A$5:$A$504,"&lt;="&amp;$B$4))</f>
        <v/>
      </c>
      <c r="I69" s="19" t="str">
        <f>IF($A69="","",SUMIFS('Registro de turnos'!$Q$5:$Q$504,'Registro de turnos'!$B$5:$B$504,$A69,'Registro de turnos'!$A$5:$A$504,"&gt;="&amp;$B$3,'Registro de turnos'!$A$5:$A$504,"&lt;="&amp;$B$4))</f>
        <v/>
      </c>
      <c r="J69" s="19" t="str">
        <f>IF($A69="","",SUMIFS('Registro de turnos'!$R$5:$R$504,'Registro de turnos'!$B$5:$B$504,$A69,'Registro de turnos'!$A$5:$A$504,"&gt;="&amp;$B$3,'Registro de turnos'!$A$5:$A$504,"&lt;="&amp;$B$4))</f>
        <v/>
      </c>
      <c r="K69" s="19" t="str">
        <f t="shared" si="6"/>
        <v/>
      </c>
      <c r="L69" s="17" t="str">
        <f>IF($A69="","",SUMIFS('Registro de turnos'!$T$5:$T$504,'Registro de turnos'!$B$5:$B$504,$A69,'Registro de turnos'!$A$5:$A$504,"&gt;="&amp;$B$3,'Registro de turnos'!$A$5:$A$504,"&lt;="&amp;$B$4))</f>
        <v/>
      </c>
      <c r="M69" s="17" t="str">
        <f t="shared" si="7"/>
        <v/>
      </c>
      <c r="N69" s="17" t="str">
        <f t="shared" si="8"/>
        <v/>
      </c>
      <c r="O69" s="17" t="str">
        <f t="shared" si="9"/>
        <v/>
      </c>
      <c r="P69" s="17" t="str">
        <f>IF($A69="","",ROUND(C69*D69*Parámetros!$B$8*0.0417,0))</f>
        <v/>
      </c>
      <c r="Q69" s="17" t="str">
        <f t="shared" si="10"/>
        <v/>
      </c>
      <c r="R69" s="17" t="str">
        <f t="shared" si="11"/>
        <v/>
      </c>
    </row>
    <row r="70" spans="1:18" x14ac:dyDescent="0.25">
      <c r="A70" s="22" t="str">
        <f>IF(Trabajadores!A68="","",Trabajadores!A68)</f>
        <v/>
      </c>
      <c r="B70" s="23" t="str">
        <f>IF(A70="","",Trabajadores!B68)</f>
        <v/>
      </c>
      <c r="C70" s="24" t="str">
        <f>IF(A70="","",Trabajadores!G68)</f>
        <v/>
      </c>
      <c r="D70" s="19" t="str">
        <f>IF($A70="","",SUMIFS('Registro de turnos'!$L$5:$L$504,'Registro de turnos'!$B$5:$B$504,$A70,'Registro de turnos'!$A$5:$A$504,"&gt;="&amp;$B$3,'Registro de turnos'!$A$5:$A$504,"&lt;="&amp;$B$4))</f>
        <v/>
      </c>
      <c r="E70" s="19" t="str">
        <f>IF($A70="","",SUMIFS('Registro de turnos'!$M$5:$M$504,'Registro de turnos'!$B$5:$B$504,$A70,'Registro de turnos'!$A$5:$A$504,"&gt;="&amp;$B$3,'Registro de turnos'!$A$5:$A$504,"&lt;="&amp;$B$4))</f>
        <v/>
      </c>
      <c r="F70" s="19" t="str">
        <f>IF($A70="","",SUMIFS('Registro de turnos'!$N$5:$N$504,'Registro de turnos'!$B$5:$B$504,$A70,'Registro de turnos'!$A$5:$A$504,"&gt;="&amp;$B$3,'Registro de turnos'!$A$5:$A$504,"&lt;="&amp;$B$4))</f>
        <v/>
      </c>
      <c r="G70" s="19" t="str">
        <f>IF($A70="","",SUMIFS('Registro de turnos'!$O$5:$O$504,'Registro de turnos'!$B$5:$B$504,$A70,'Registro de turnos'!$A$5:$A$504,"&gt;="&amp;$B$3,'Registro de turnos'!$A$5:$A$504,"&lt;="&amp;$B$4))</f>
        <v/>
      </c>
      <c r="H70" s="19" t="str">
        <f>IF($A70="","",SUMIFS('Registro de turnos'!$P$5:$P$504,'Registro de turnos'!$B$5:$B$504,$A70,'Registro de turnos'!$A$5:$A$504,"&gt;="&amp;$B$3,'Registro de turnos'!$A$5:$A$504,"&lt;="&amp;$B$4))</f>
        <v/>
      </c>
      <c r="I70" s="19" t="str">
        <f>IF($A70="","",SUMIFS('Registro de turnos'!$Q$5:$Q$504,'Registro de turnos'!$B$5:$B$504,$A70,'Registro de turnos'!$A$5:$A$504,"&gt;="&amp;$B$3,'Registro de turnos'!$A$5:$A$504,"&lt;="&amp;$B$4))</f>
        <v/>
      </c>
      <c r="J70" s="19" t="str">
        <f>IF($A70="","",SUMIFS('Registro de turnos'!$R$5:$R$504,'Registro de turnos'!$B$5:$B$504,$A70,'Registro de turnos'!$A$5:$A$504,"&gt;="&amp;$B$3,'Registro de turnos'!$A$5:$A$504,"&lt;="&amp;$B$4))</f>
        <v/>
      </c>
      <c r="K70" s="19" t="str">
        <f t="shared" si="6"/>
        <v/>
      </c>
      <c r="L70" s="17" t="str">
        <f>IF($A70="","",SUMIFS('Registro de turnos'!$T$5:$T$504,'Registro de turnos'!$B$5:$B$504,$A70,'Registro de turnos'!$A$5:$A$504,"&gt;="&amp;$B$3,'Registro de turnos'!$A$5:$A$504,"&lt;="&amp;$B$4))</f>
        <v/>
      </c>
      <c r="M70" s="17" t="str">
        <f t="shared" si="7"/>
        <v/>
      </c>
      <c r="N70" s="17" t="str">
        <f t="shared" si="8"/>
        <v/>
      </c>
      <c r="O70" s="17" t="str">
        <f t="shared" si="9"/>
        <v/>
      </c>
      <c r="P70" s="17" t="str">
        <f>IF($A70="","",ROUND(C70*D70*Parámetros!$B$8*0.0417,0))</f>
        <v/>
      </c>
      <c r="Q70" s="17" t="str">
        <f t="shared" si="10"/>
        <v/>
      </c>
      <c r="R70" s="17" t="str">
        <f t="shared" si="11"/>
        <v/>
      </c>
    </row>
    <row r="71" spans="1:18" x14ac:dyDescent="0.25">
      <c r="A71" s="22" t="str">
        <f>IF(Trabajadores!A69="","",Trabajadores!A69)</f>
        <v/>
      </c>
      <c r="B71" s="23" t="str">
        <f>IF(A71="","",Trabajadores!B69)</f>
        <v/>
      </c>
      <c r="C71" s="24" t="str">
        <f>IF(A71="","",Trabajadores!G69)</f>
        <v/>
      </c>
      <c r="D71" s="19" t="str">
        <f>IF($A71="","",SUMIFS('Registro de turnos'!$L$5:$L$504,'Registro de turnos'!$B$5:$B$504,$A71,'Registro de turnos'!$A$5:$A$504,"&gt;="&amp;$B$3,'Registro de turnos'!$A$5:$A$504,"&lt;="&amp;$B$4))</f>
        <v/>
      </c>
      <c r="E71" s="19" t="str">
        <f>IF($A71="","",SUMIFS('Registro de turnos'!$M$5:$M$504,'Registro de turnos'!$B$5:$B$504,$A71,'Registro de turnos'!$A$5:$A$504,"&gt;="&amp;$B$3,'Registro de turnos'!$A$5:$A$504,"&lt;="&amp;$B$4))</f>
        <v/>
      </c>
      <c r="F71" s="19" t="str">
        <f>IF($A71="","",SUMIFS('Registro de turnos'!$N$5:$N$504,'Registro de turnos'!$B$5:$B$504,$A71,'Registro de turnos'!$A$5:$A$504,"&gt;="&amp;$B$3,'Registro de turnos'!$A$5:$A$504,"&lt;="&amp;$B$4))</f>
        <v/>
      </c>
      <c r="G71" s="19" t="str">
        <f>IF($A71="","",SUMIFS('Registro de turnos'!$O$5:$O$504,'Registro de turnos'!$B$5:$B$504,$A71,'Registro de turnos'!$A$5:$A$504,"&gt;="&amp;$B$3,'Registro de turnos'!$A$5:$A$504,"&lt;="&amp;$B$4))</f>
        <v/>
      </c>
      <c r="H71" s="19" t="str">
        <f>IF($A71="","",SUMIFS('Registro de turnos'!$P$5:$P$504,'Registro de turnos'!$B$5:$B$504,$A71,'Registro de turnos'!$A$5:$A$504,"&gt;="&amp;$B$3,'Registro de turnos'!$A$5:$A$504,"&lt;="&amp;$B$4))</f>
        <v/>
      </c>
      <c r="I71" s="19" t="str">
        <f>IF($A71="","",SUMIFS('Registro de turnos'!$Q$5:$Q$504,'Registro de turnos'!$B$5:$B$504,$A71,'Registro de turnos'!$A$5:$A$504,"&gt;="&amp;$B$3,'Registro de turnos'!$A$5:$A$504,"&lt;="&amp;$B$4))</f>
        <v/>
      </c>
      <c r="J71" s="19" t="str">
        <f>IF($A71="","",SUMIFS('Registro de turnos'!$R$5:$R$504,'Registro de turnos'!$B$5:$B$504,$A71,'Registro de turnos'!$A$5:$A$504,"&gt;="&amp;$B$3,'Registro de turnos'!$A$5:$A$504,"&lt;="&amp;$B$4))</f>
        <v/>
      </c>
      <c r="K71" s="19" t="str">
        <f t="shared" ref="K71:K102" si="12">IF($A71="","",E71+F71+I71+J71)</f>
        <v/>
      </c>
      <c r="L71" s="17" t="str">
        <f>IF($A71="","",SUMIFS('Registro de turnos'!$T$5:$T$504,'Registro de turnos'!$B$5:$B$504,$A71,'Registro de turnos'!$A$5:$A$504,"&gt;="&amp;$B$3,'Registro de turnos'!$A$5:$A$504,"&lt;="&amp;$B$4))</f>
        <v/>
      </c>
      <c r="M71" s="17" t="str">
        <f t="shared" ref="M71:M102" si="13">IF($A71="","",ROUND(L71*0.0833,0))</f>
        <v/>
      </c>
      <c r="N71" s="17" t="str">
        <f t="shared" ref="N71:N102" si="14">IF($A71="","",ROUND(L71*0.0833,0))</f>
        <v/>
      </c>
      <c r="O71" s="17" t="str">
        <f t="shared" ref="O71:O102" si="15">IF($A71="","",ROUND(L71*0.01,0))</f>
        <v/>
      </c>
      <c r="P71" s="17" t="str">
        <f>IF($A71="","",ROUND(C71*D71*Parámetros!$B$8*0.0417,0))</f>
        <v/>
      </c>
      <c r="Q71" s="17" t="str">
        <f t="shared" ref="Q71:Q102" si="16">IF($A71="","",ROUND(L71*0.08,0))</f>
        <v/>
      </c>
      <c r="R71" s="17" t="str">
        <f t="shared" ref="R71:R102" si="17">IF($A71="","",L71-Q71)</f>
        <v/>
      </c>
    </row>
    <row r="72" spans="1:18" x14ac:dyDescent="0.25">
      <c r="A72" s="22" t="str">
        <f>IF(Trabajadores!A70="","",Trabajadores!A70)</f>
        <v/>
      </c>
      <c r="B72" s="23" t="str">
        <f>IF(A72="","",Trabajadores!B70)</f>
        <v/>
      </c>
      <c r="C72" s="24" t="str">
        <f>IF(A72="","",Trabajadores!G70)</f>
        <v/>
      </c>
      <c r="D72" s="19" t="str">
        <f>IF($A72="","",SUMIFS('Registro de turnos'!$L$5:$L$504,'Registro de turnos'!$B$5:$B$504,$A72,'Registro de turnos'!$A$5:$A$504,"&gt;="&amp;$B$3,'Registro de turnos'!$A$5:$A$504,"&lt;="&amp;$B$4))</f>
        <v/>
      </c>
      <c r="E72" s="19" t="str">
        <f>IF($A72="","",SUMIFS('Registro de turnos'!$M$5:$M$504,'Registro de turnos'!$B$5:$B$504,$A72,'Registro de turnos'!$A$5:$A$504,"&gt;="&amp;$B$3,'Registro de turnos'!$A$5:$A$504,"&lt;="&amp;$B$4))</f>
        <v/>
      </c>
      <c r="F72" s="19" t="str">
        <f>IF($A72="","",SUMIFS('Registro de turnos'!$N$5:$N$504,'Registro de turnos'!$B$5:$B$504,$A72,'Registro de turnos'!$A$5:$A$504,"&gt;="&amp;$B$3,'Registro de turnos'!$A$5:$A$504,"&lt;="&amp;$B$4))</f>
        <v/>
      </c>
      <c r="G72" s="19" t="str">
        <f>IF($A72="","",SUMIFS('Registro de turnos'!$O$5:$O$504,'Registro de turnos'!$B$5:$B$504,$A72,'Registro de turnos'!$A$5:$A$504,"&gt;="&amp;$B$3,'Registro de turnos'!$A$5:$A$504,"&lt;="&amp;$B$4))</f>
        <v/>
      </c>
      <c r="H72" s="19" t="str">
        <f>IF($A72="","",SUMIFS('Registro de turnos'!$P$5:$P$504,'Registro de turnos'!$B$5:$B$504,$A72,'Registro de turnos'!$A$5:$A$504,"&gt;="&amp;$B$3,'Registro de turnos'!$A$5:$A$504,"&lt;="&amp;$B$4))</f>
        <v/>
      </c>
      <c r="I72" s="19" t="str">
        <f>IF($A72="","",SUMIFS('Registro de turnos'!$Q$5:$Q$504,'Registro de turnos'!$B$5:$B$504,$A72,'Registro de turnos'!$A$5:$A$504,"&gt;="&amp;$B$3,'Registro de turnos'!$A$5:$A$504,"&lt;="&amp;$B$4))</f>
        <v/>
      </c>
      <c r="J72" s="19" t="str">
        <f>IF($A72="","",SUMIFS('Registro de turnos'!$R$5:$R$504,'Registro de turnos'!$B$5:$B$504,$A72,'Registro de turnos'!$A$5:$A$504,"&gt;="&amp;$B$3,'Registro de turnos'!$A$5:$A$504,"&lt;="&amp;$B$4))</f>
        <v/>
      </c>
      <c r="K72" s="19" t="str">
        <f t="shared" si="12"/>
        <v/>
      </c>
      <c r="L72" s="17" t="str">
        <f>IF($A72="","",SUMIFS('Registro de turnos'!$T$5:$T$504,'Registro de turnos'!$B$5:$B$504,$A72,'Registro de turnos'!$A$5:$A$504,"&gt;="&amp;$B$3,'Registro de turnos'!$A$5:$A$504,"&lt;="&amp;$B$4))</f>
        <v/>
      </c>
      <c r="M72" s="17" t="str">
        <f t="shared" si="13"/>
        <v/>
      </c>
      <c r="N72" s="17" t="str">
        <f t="shared" si="14"/>
        <v/>
      </c>
      <c r="O72" s="17" t="str">
        <f t="shared" si="15"/>
        <v/>
      </c>
      <c r="P72" s="17" t="str">
        <f>IF($A72="","",ROUND(C72*D72*Parámetros!$B$8*0.0417,0))</f>
        <v/>
      </c>
      <c r="Q72" s="17" t="str">
        <f t="shared" si="16"/>
        <v/>
      </c>
      <c r="R72" s="17" t="str">
        <f t="shared" si="17"/>
        <v/>
      </c>
    </row>
    <row r="73" spans="1:18" x14ac:dyDescent="0.25">
      <c r="A73" s="22" t="str">
        <f>IF(Trabajadores!A71="","",Trabajadores!A71)</f>
        <v/>
      </c>
      <c r="B73" s="23" t="str">
        <f>IF(A73="","",Trabajadores!B71)</f>
        <v/>
      </c>
      <c r="C73" s="24" t="str">
        <f>IF(A73="","",Trabajadores!G71)</f>
        <v/>
      </c>
      <c r="D73" s="19" t="str">
        <f>IF($A73="","",SUMIFS('Registro de turnos'!$L$5:$L$504,'Registro de turnos'!$B$5:$B$504,$A73,'Registro de turnos'!$A$5:$A$504,"&gt;="&amp;$B$3,'Registro de turnos'!$A$5:$A$504,"&lt;="&amp;$B$4))</f>
        <v/>
      </c>
      <c r="E73" s="19" t="str">
        <f>IF($A73="","",SUMIFS('Registro de turnos'!$M$5:$M$504,'Registro de turnos'!$B$5:$B$504,$A73,'Registro de turnos'!$A$5:$A$504,"&gt;="&amp;$B$3,'Registro de turnos'!$A$5:$A$504,"&lt;="&amp;$B$4))</f>
        <v/>
      </c>
      <c r="F73" s="19" t="str">
        <f>IF($A73="","",SUMIFS('Registro de turnos'!$N$5:$N$504,'Registro de turnos'!$B$5:$B$504,$A73,'Registro de turnos'!$A$5:$A$504,"&gt;="&amp;$B$3,'Registro de turnos'!$A$5:$A$504,"&lt;="&amp;$B$4))</f>
        <v/>
      </c>
      <c r="G73" s="19" t="str">
        <f>IF($A73="","",SUMIFS('Registro de turnos'!$O$5:$O$504,'Registro de turnos'!$B$5:$B$504,$A73,'Registro de turnos'!$A$5:$A$504,"&gt;="&amp;$B$3,'Registro de turnos'!$A$5:$A$504,"&lt;="&amp;$B$4))</f>
        <v/>
      </c>
      <c r="H73" s="19" t="str">
        <f>IF($A73="","",SUMIFS('Registro de turnos'!$P$5:$P$504,'Registro de turnos'!$B$5:$B$504,$A73,'Registro de turnos'!$A$5:$A$504,"&gt;="&amp;$B$3,'Registro de turnos'!$A$5:$A$504,"&lt;="&amp;$B$4))</f>
        <v/>
      </c>
      <c r="I73" s="19" t="str">
        <f>IF($A73="","",SUMIFS('Registro de turnos'!$Q$5:$Q$504,'Registro de turnos'!$B$5:$B$504,$A73,'Registro de turnos'!$A$5:$A$504,"&gt;="&amp;$B$3,'Registro de turnos'!$A$5:$A$504,"&lt;="&amp;$B$4))</f>
        <v/>
      </c>
      <c r="J73" s="19" t="str">
        <f>IF($A73="","",SUMIFS('Registro de turnos'!$R$5:$R$504,'Registro de turnos'!$B$5:$B$504,$A73,'Registro de turnos'!$A$5:$A$504,"&gt;="&amp;$B$3,'Registro de turnos'!$A$5:$A$504,"&lt;="&amp;$B$4))</f>
        <v/>
      </c>
      <c r="K73" s="19" t="str">
        <f t="shared" si="12"/>
        <v/>
      </c>
      <c r="L73" s="17" t="str">
        <f>IF($A73="","",SUMIFS('Registro de turnos'!$T$5:$T$504,'Registro de turnos'!$B$5:$B$504,$A73,'Registro de turnos'!$A$5:$A$504,"&gt;="&amp;$B$3,'Registro de turnos'!$A$5:$A$504,"&lt;="&amp;$B$4))</f>
        <v/>
      </c>
      <c r="M73" s="17" t="str">
        <f t="shared" si="13"/>
        <v/>
      </c>
      <c r="N73" s="17" t="str">
        <f t="shared" si="14"/>
        <v/>
      </c>
      <c r="O73" s="17" t="str">
        <f t="shared" si="15"/>
        <v/>
      </c>
      <c r="P73" s="17" t="str">
        <f>IF($A73="","",ROUND(C73*D73*Parámetros!$B$8*0.0417,0))</f>
        <v/>
      </c>
      <c r="Q73" s="17" t="str">
        <f t="shared" si="16"/>
        <v/>
      </c>
      <c r="R73" s="17" t="str">
        <f t="shared" si="17"/>
        <v/>
      </c>
    </row>
    <row r="74" spans="1:18" x14ac:dyDescent="0.25">
      <c r="A74" s="22" t="str">
        <f>IF(Trabajadores!A72="","",Trabajadores!A72)</f>
        <v/>
      </c>
      <c r="B74" s="23" t="str">
        <f>IF(A74="","",Trabajadores!B72)</f>
        <v/>
      </c>
      <c r="C74" s="24" t="str">
        <f>IF(A74="","",Trabajadores!G72)</f>
        <v/>
      </c>
      <c r="D74" s="19" t="str">
        <f>IF($A74="","",SUMIFS('Registro de turnos'!$L$5:$L$504,'Registro de turnos'!$B$5:$B$504,$A74,'Registro de turnos'!$A$5:$A$504,"&gt;="&amp;$B$3,'Registro de turnos'!$A$5:$A$504,"&lt;="&amp;$B$4))</f>
        <v/>
      </c>
      <c r="E74" s="19" t="str">
        <f>IF($A74="","",SUMIFS('Registro de turnos'!$M$5:$M$504,'Registro de turnos'!$B$5:$B$504,$A74,'Registro de turnos'!$A$5:$A$504,"&gt;="&amp;$B$3,'Registro de turnos'!$A$5:$A$504,"&lt;="&amp;$B$4))</f>
        <v/>
      </c>
      <c r="F74" s="19" t="str">
        <f>IF($A74="","",SUMIFS('Registro de turnos'!$N$5:$N$504,'Registro de turnos'!$B$5:$B$504,$A74,'Registro de turnos'!$A$5:$A$504,"&gt;="&amp;$B$3,'Registro de turnos'!$A$5:$A$504,"&lt;="&amp;$B$4))</f>
        <v/>
      </c>
      <c r="G74" s="19" t="str">
        <f>IF($A74="","",SUMIFS('Registro de turnos'!$O$5:$O$504,'Registro de turnos'!$B$5:$B$504,$A74,'Registro de turnos'!$A$5:$A$504,"&gt;="&amp;$B$3,'Registro de turnos'!$A$5:$A$504,"&lt;="&amp;$B$4))</f>
        <v/>
      </c>
      <c r="H74" s="19" t="str">
        <f>IF($A74="","",SUMIFS('Registro de turnos'!$P$5:$P$504,'Registro de turnos'!$B$5:$B$504,$A74,'Registro de turnos'!$A$5:$A$504,"&gt;="&amp;$B$3,'Registro de turnos'!$A$5:$A$504,"&lt;="&amp;$B$4))</f>
        <v/>
      </c>
      <c r="I74" s="19" t="str">
        <f>IF($A74="","",SUMIFS('Registro de turnos'!$Q$5:$Q$504,'Registro de turnos'!$B$5:$B$504,$A74,'Registro de turnos'!$A$5:$A$504,"&gt;="&amp;$B$3,'Registro de turnos'!$A$5:$A$504,"&lt;="&amp;$B$4))</f>
        <v/>
      </c>
      <c r="J74" s="19" t="str">
        <f>IF($A74="","",SUMIFS('Registro de turnos'!$R$5:$R$504,'Registro de turnos'!$B$5:$B$504,$A74,'Registro de turnos'!$A$5:$A$504,"&gt;="&amp;$B$3,'Registro de turnos'!$A$5:$A$504,"&lt;="&amp;$B$4))</f>
        <v/>
      </c>
      <c r="K74" s="19" t="str">
        <f t="shared" si="12"/>
        <v/>
      </c>
      <c r="L74" s="17" t="str">
        <f>IF($A74="","",SUMIFS('Registro de turnos'!$T$5:$T$504,'Registro de turnos'!$B$5:$B$504,$A74,'Registro de turnos'!$A$5:$A$504,"&gt;="&amp;$B$3,'Registro de turnos'!$A$5:$A$504,"&lt;="&amp;$B$4))</f>
        <v/>
      </c>
      <c r="M74" s="17" t="str">
        <f t="shared" si="13"/>
        <v/>
      </c>
      <c r="N74" s="17" t="str">
        <f t="shared" si="14"/>
        <v/>
      </c>
      <c r="O74" s="17" t="str">
        <f t="shared" si="15"/>
        <v/>
      </c>
      <c r="P74" s="17" t="str">
        <f>IF($A74="","",ROUND(C74*D74*Parámetros!$B$8*0.0417,0))</f>
        <v/>
      </c>
      <c r="Q74" s="17" t="str">
        <f t="shared" si="16"/>
        <v/>
      </c>
      <c r="R74" s="17" t="str">
        <f t="shared" si="17"/>
        <v/>
      </c>
    </row>
    <row r="75" spans="1:18" x14ac:dyDescent="0.25">
      <c r="A75" s="22" t="str">
        <f>IF(Trabajadores!A73="","",Trabajadores!A73)</f>
        <v/>
      </c>
      <c r="B75" s="23" t="str">
        <f>IF(A75="","",Trabajadores!B73)</f>
        <v/>
      </c>
      <c r="C75" s="24" t="str">
        <f>IF(A75="","",Trabajadores!G73)</f>
        <v/>
      </c>
      <c r="D75" s="19" t="str">
        <f>IF($A75="","",SUMIFS('Registro de turnos'!$L$5:$L$504,'Registro de turnos'!$B$5:$B$504,$A75,'Registro de turnos'!$A$5:$A$504,"&gt;="&amp;$B$3,'Registro de turnos'!$A$5:$A$504,"&lt;="&amp;$B$4))</f>
        <v/>
      </c>
      <c r="E75" s="19" t="str">
        <f>IF($A75="","",SUMIFS('Registro de turnos'!$M$5:$M$504,'Registro de turnos'!$B$5:$B$504,$A75,'Registro de turnos'!$A$5:$A$504,"&gt;="&amp;$B$3,'Registro de turnos'!$A$5:$A$504,"&lt;="&amp;$B$4))</f>
        <v/>
      </c>
      <c r="F75" s="19" t="str">
        <f>IF($A75="","",SUMIFS('Registro de turnos'!$N$5:$N$504,'Registro de turnos'!$B$5:$B$504,$A75,'Registro de turnos'!$A$5:$A$504,"&gt;="&amp;$B$3,'Registro de turnos'!$A$5:$A$504,"&lt;="&amp;$B$4))</f>
        <v/>
      </c>
      <c r="G75" s="19" t="str">
        <f>IF($A75="","",SUMIFS('Registro de turnos'!$O$5:$O$504,'Registro de turnos'!$B$5:$B$504,$A75,'Registro de turnos'!$A$5:$A$504,"&gt;="&amp;$B$3,'Registro de turnos'!$A$5:$A$504,"&lt;="&amp;$B$4))</f>
        <v/>
      </c>
      <c r="H75" s="19" t="str">
        <f>IF($A75="","",SUMIFS('Registro de turnos'!$P$5:$P$504,'Registro de turnos'!$B$5:$B$504,$A75,'Registro de turnos'!$A$5:$A$504,"&gt;="&amp;$B$3,'Registro de turnos'!$A$5:$A$504,"&lt;="&amp;$B$4))</f>
        <v/>
      </c>
      <c r="I75" s="19" t="str">
        <f>IF($A75="","",SUMIFS('Registro de turnos'!$Q$5:$Q$504,'Registro de turnos'!$B$5:$B$504,$A75,'Registro de turnos'!$A$5:$A$504,"&gt;="&amp;$B$3,'Registro de turnos'!$A$5:$A$504,"&lt;="&amp;$B$4))</f>
        <v/>
      </c>
      <c r="J75" s="19" t="str">
        <f>IF($A75="","",SUMIFS('Registro de turnos'!$R$5:$R$504,'Registro de turnos'!$B$5:$B$504,$A75,'Registro de turnos'!$A$5:$A$504,"&gt;="&amp;$B$3,'Registro de turnos'!$A$5:$A$504,"&lt;="&amp;$B$4))</f>
        <v/>
      </c>
      <c r="K75" s="19" t="str">
        <f t="shared" si="12"/>
        <v/>
      </c>
      <c r="L75" s="17" t="str">
        <f>IF($A75="","",SUMIFS('Registro de turnos'!$T$5:$T$504,'Registro de turnos'!$B$5:$B$504,$A75,'Registro de turnos'!$A$5:$A$504,"&gt;="&amp;$B$3,'Registro de turnos'!$A$5:$A$504,"&lt;="&amp;$B$4))</f>
        <v/>
      </c>
      <c r="M75" s="17" t="str">
        <f t="shared" si="13"/>
        <v/>
      </c>
      <c r="N75" s="17" t="str">
        <f t="shared" si="14"/>
        <v/>
      </c>
      <c r="O75" s="17" t="str">
        <f t="shared" si="15"/>
        <v/>
      </c>
      <c r="P75" s="17" t="str">
        <f>IF($A75="","",ROUND(C75*D75*Parámetros!$B$8*0.0417,0))</f>
        <v/>
      </c>
      <c r="Q75" s="17" t="str">
        <f t="shared" si="16"/>
        <v/>
      </c>
      <c r="R75" s="17" t="str">
        <f t="shared" si="17"/>
        <v/>
      </c>
    </row>
    <row r="76" spans="1:18" x14ac:dyDescent="0.25">
      <c r="A76" s="22" t="str">
        <f>IF(Trabajadores!A74="","",Trabajadores!A74)</f>
        <v/>
      </c>
      <c r="B76" s="23" t="str">
        <f>IF(A76="","",Trabajadores!B74)</f>
        <v/>
      </c>
      <c r="C76" s="24" t="str">
        <f>IF(A76="","",Trabajadores!G74)</f>
        <v/>
      </c>
      <c r="D76" s="19" t="str">
        <f>IF($A76="","",SUMIFS('Registro de turnos'!$L$5:$L$504,'Registro de turnos'!$B$5:$B$504,$A76,'Registro de turnos'!$A$5:$A$504,"&gt;="&amp;$B$3,'Registro de turnos'!$A$5:$A$504,"&lt;="&amp;$B$4))</f>
        <v/>
      </c>
      <c r="E76" s="19" t="str">
        <f>IF($A76="","",SUMIFS('Registro de turnos'!$M$5:$M$504,'Registro de turnos'!$B$5:$B$504,$A76,'Registro de turnos'!$A$5:$A$504,"&gt;="&amp;$B$3,'Registro de turnos'!$A$5:$A$504,"&lt;="&amp;$B$4))</f>
        <v/>
      </c>
      <c r="F76" s="19" t="str">
        <f>IF($A76="","",SUMIFS('Registro de turnos'!$N$5:$N$504,'Registro de turnos'!$B$5:$B$504,$A76,'Registro de turnos'!$A$5:$A$504,"&gt;="&amp;$B$3,'Registro de turnos'!$A$5:$A$504,"&lt;="&amp;$B$4))</f>
        <v/>
      </c>
      <c r="G76" s="19" t="str">
        <f>IF($A76="","",SUMIFS('Registro de turnos'!$O$5:$O$504,'Registro de turnos'!$B$5:$B$504,$A76,'Registro de turnos'!$A$5:$A$504,"&gt;="&amp;$B$3,'Registro de turnos'!$A$5:$A$504,"&lt;="&amp;$B$4))</f>
        <v/>
      </c>
      <c r="H76" s="19" t="str">
        <f>IF($A76="","",SUMIFS('Registro de turnos'!$P$5:$P$504,'Registro de turnos'!$B$5:$B$504,$A76,'Registro de turnos'!$A$5:$A$504,"&gt;="&amp;$B$3,'Registro de turnos'!$A$5:$A$504,"&lt;="&amp;$B$4))</f>
        <v/>
      </c>
      <c r="I76" s="19" t="str">
        <f>IF($A76="","",SUMIFS('Registro de turnos'!$Q$5:$Q$504,'Registro de turnos'!$B$5:$B$504,$A76,'Registro de turnos'!$A$5:$A$504,"&gt;="&amp;$B$3,'Registro de turnos'!$A$5:$A$504,"&lt;="&amp;$B$4))</f>
        <v/>
      </c>
      <c r="J76" s="19" t="str">
        <f>IF($A76="","",SUMIFS('Registro de turnos'!$R$5:$R$504,'Registro de turnos'!$B$5:$B$504,$A76,'Registro de turnos'!$A$5:$A$504,"&gt;="&amp;$B$3,'Registro de turnos'!$A$5:$A$504,"&lt;="&amp;$B$4))</f>
        <v/>
      </c>
      <c r="K76" s="19" t="str">
        <f t="shared" si="12"/>
        <v/>
      </c>
      <c r="L76" s="17" t="str">
        <f>IF($A76="","",SUMIFS('Registro de turnos'!$T$5:$T$504,'Registro de turnos'!$B$5:$B$504,$A76,'Registro de turnos'!$A$5:$A$504,"&gt;="&amp;$B$3,'Registro de turnos'!$A$5:$A$504,"&lt;="&amp;$B$4))</f>
        <v/>
      </c>
      <c r="M76" s="17" t="str">
        <f t="shared" si="13"/>
        <v/>
      </c>
      <c r="N76" s="17" t="str">
        <f t="shared" si="14"/>
        <v/>
      </c>
      <c r="O76" s="17" t="str">
        <f t="shared" si="15"/>
        <v/>
      </c>
      <c r="P76" s="17" t="str">
        <f>IF($A76="","",ROUND(C76*D76*Parámetros!$B$8*0.0417,0))</f>
        <v/>
      </c>
      <c r="Q76" s="17" t="str">
        <f t="shared" si="16"/>
        <v/>
      </c>
      <c r="R76" s="17" t="str">
        <f t="shared" si="17"/>
        <v/>
      </c>
    </row>
    <row r="77" spans="1:18" x14ac:dyDescent="0.25">
      <c r="A77" s="22" t="str">
        <f>IF(Trabajadores!A75="","",Trabajadores!A75)</f>
        <v/>
      </c>
      <c r="B77" s="23" t="str">
        <f>IF(A77="","",Trabajadores!B75)</f>
        <v/>
      </c>
      <c r="C77" s="24" t="str">
        <f>IF(A77="","",Trabajadores!G75)</f>
        <v/>
      </c>
      <c r="D77" s="19" t="str">
        <f>IF($A77="","",SUMIFS('Registro de turnos'!$L$5:$L$504,'Registro de turnos'!$B$5:$B$504,$A77,'Registro de turnos'!$A$5:$A$504,"&gt;="&amp;$B$3,'Registro de turnos'!$A$5:$A$504,"&lt;="&amp;$B$4))</f>
        <v/>
      </c>
      <c r="E77" s="19" t="str">
        <f>IF($A77="","",SUMIFS('Registro de turnos'!$M$5:$M$504,'Registro de turnos'!$B$5:$B$504,$A77,'Registro de turnos'!$A$5:$A$504,"&gt;="&amp;$B$3,'Registro de turnos'!$A$5:$A$504,"&lt;="&amp;$B$4))</f>
        <v/>
      </c>
      <c r="F77" s="19" t="str">
        <f>IF($A77="","",SUMIFS('Registro de turnos'!$N$5:$N$504,'Registro de turnos'!$B$5:$B$504,$A77,'Registro de turnos'!$A$5:$A$504,"&gt;="&amp;$B$3,'Registro de turnos'!$A$5:$A$504,"&lt;="&amp;$B$4))</f>
        <v/>
      </c>
      <c r="G77" s="19" t="str">
        <f>IF($A77="","",SUMIFS('Registro de turnos'!$O$5:$O$504,'Registro de turnos'!$B$5:$B$504,$A77,'Registro de turnos'!$A$5:$A$504,"&gt;="&amp;$B$3,'Registro de turnos'!$A$5:$A$504,"&lt;="&amp;$B$4))</f>
        <v/>
      </c>
      <c r="H77" s="19" t="str">
        <f>IF($A77="","",SUMIFS('Registro de turnos'!$P$5:$P$504,'Registro de turnos'!$B$5:$B$504,$A77,'Registro de turnos'!$A$5:$A$504,"&gt;="&amp;$B$3,'Registro de turnos'!$A$5:$A$504,"&lt;="&amp;$B$4))</f>
        <v/>
      </c>
      <c r="I77" s="19" t="str">
        <f>IF($A77="","",SUMIFS('Registro de turnos'!$Q$5:$Q$504,'Registro de turnos'!$B$5:$B$504,$A77,'Registro de turnos'!$A$5:$A$504,"&gt;="&amp;$B$3,'Registro de turnos'!$A$5:$A$504,"&lt;="&amp;$B$4))</f>
        <v/>
      </c>
      <c r="J77" s="19" t="str">
        <f>IF($A77="","",SUMIFS('Registro de turnos'!$R$5:$R$504,'Registro de turnos'!$B$5:$B$504,$A77,'Registro de turnos'!$A$5:$A$504,"&gt;="&amp;$B$3,'Registro de turnos'!$A$5:$A$504,"&lt;="&amp;$B$4))</f>
        <v/>
      </c>
      <c r="K77" s="19" t="str">
        <f t="shared" si="12"/>
        <v/>
      </c>
      <c r="L77" s="17" t="str">
        <f>IF($A77="","",SUMIFS('Registro de turnos'!$T$5:$T$504,'Registro de turnos'!$B$5:$B$504,$A77,'Registro de turnos'!$A$5:$A$504,"&gt;="&amp;$B$3,'Registro de turnos'!$A$5:$A$504,"&lt;="&amp;$B$4))</f>
        <v/>
      </c>
      <c r="M77" s="17" t="str">
        <f t="shared" si="13"/>
        <v/>
      </c>
      <c r="N77" s="17" t="str">
        <f t="shared" si="14"/>
        <v/>
      </c>
      <c r="O77" s="17" t="str">
        <f t="shared" si="15"/>
        <v/>
      </c>
      <c r="P77" s="17" t="str">
        <f>IF($A77="","",ROUND(C77*D77*Parámetros!$B$8*0.0417,0))</f>
        <v/>
      </c>
      <c r="Q77" s="17" t="str">
        <f t="shared" si="16"/>
        <v/>
      </c>
      <c r="R77" s="17" t="str">
        <f t="shared" si="17"/>
        <v/>
      </c>
    </row>
    <row r="78" spans="1:18" x14ac:dyDescent="0.25">
      <c r="A78" s="22" t="str">
        <f>IF(Trabajadores!A76="","",Trabajadores!A76)</f>
        <v/>
      </c>
      <c r="B78" s="23" t="str">
        <f>IF(A78="","",Trabajadores!B76)</f>
        <v/>
      </c>
      <c r="C78" s="24" t="str">
        <f>IF(A78="","",Trabajadores!G76)</f>
        <v/>
      </c>
      <c r="D78" s="19" t="str">
        <f>IF($A78="","",SUMIFS('Registro de turnos'!$L$5:$L$504,'Registro de turnos'!$B$5:$B$504,$A78,'Registro de turnos'!$A$5:$A$504,"&gt;="&amp;$B$3,'Registro de turnos'!$A$5:$A$504,"&lt;="&amp;$B$4))</f>
        <v/>
      </c>
      <c r="E78" s="19" t="str">
        <f>IF($A78="","",SUMIFS('Registro de turnos'!$M$5:$M$504,'Registro de turnos'!$B$5:$B$504,$A78,'Registro de turnos'!$A$5:$A$504,"&gt;="&amp;$B$3,'Registro de turnos'!$A$5:$A$504,"&lt;="&amp;$B$4))</f>
        <v/>
      </c>
      <c r="F78" s="19" t="str">
        <f>IF($A78="","",SUMIFS('Registro de turnos'!$N$5:$N$504,'Registro de turnos'!$B$5:$B$504,$A78,'Registro de turnos'!$A$5:$A$504,"&gt;="&amp;$B$3,'Registro de turnos'!$A$5:$A$504,"&lt;="&amp;$B$4))</f>
        <v/>
      </c>
      <c r="G78" s="19" t="str">
        <f>IF($A78="","",SUMIFS('Registro de turnos'!$O$5:$O$504,'Registro de turnos'!$B$5:$B$504,$A78,'Registro de turnos'!$A$5:$A$504,"&gt;="&amp;$B$3,'Registro de turnos'!$A$5:$A$504,"&lt;="&amp;$B$4))</f>
        <v/>
      </c>
      <c r="H78" s="19" t="str">
        <f>IF($A78="","",SUMIFS('Registro de turnos'!$P$5:$P$504,'Registro de turnos'!$B$5:$B$504,$A78,'Registro de turnos'!$A$5:$A$504,"&gt;="&amp;$B$3,'Registro de turnos'!$A$5:$A$504,"&lt;="&amp;$B$4))</f>
        <v/>
      </c>
      <c r="I78" s="19" t="str">
        <f>IF($A78="","",SUMIFS('Registro de turnos'!$Q$5:$Q$504,'Registro de turnos'!$B$5:$B$504,$A78,'Registro de turnos'!$A$5:$A$504,"&gt;="&amp;$B$3,'Registro de turnos'!$A$5:$A$504,"&lt;="&amp;$B$4))</f>
        <v/>
      </c>
      <c r="J78" s="19" t="str">
        <f>IF($A78="","",SUMIFS('Registro de turnos'!$R$5:$R$504,'Registro de turnos'!$B$5:$B$504,$A78,'Registro de turnos'!$A$5:$A$504,"&gt;="&amp;$B$3,'Registro de turnos'!$A$5:$A$504,"&lt;="&amp;$B$4))</f>
        <v/>
      </c>
      <c r="K78" s="19" t="str">
        <f t="shared" si="12"/>
        <v/>
      </c>
      <c r="L78" s="17" t="str">
        <f>IF($A78="","",SUMIFS('Registro de turnos'!$T$5:$T$504,'Registro de turnos'!$B$5:$B$504,$A78,'Registro de turnos'!$A$5:$A$504,"&gt;="&amp;$B$3,'Registro de turnos'!$A$5:$A$504,"&lt;="&amp;$B$4))</f>
        <v/>
      </c>
      <c r="M78" s="17" t="str">
        <f t="shared" si="13"/>
        <v/>
      </c>
      <c r="N78" s="17" t="str">
        <f t="shared" si="14"/>
        <v/>
      </c>
      <c r="O78" s="17" t="str">
        <f t="shared" si="15"/>
        <v/>
      </c>
      <c r="P78" s="17" t="str">
        <f>IF($A78="","",ROUND(C78*D78*Parámetros!$B$8*0.0417,0))</f>
        <v/>
      </c>
      <c r="Q78" s="17" t="str">
        <f t="shared" si="16"/>
        <v/>
      </c>
      <c r="R78" s="17" t="str">
        <f t="shared" si="17"/>
        <v/>
      </c>
    </row>
    <row r="79" spans="1:18" x14ac:dyDescent="0.25">
      <c r="A79" s="22" t="str">
        <f>IF(Trabajadores!A77="","",Trabajadores!A77)</f>
        <v/>
      </c>
      <c r="B79" s="23" t="str">
        <f>IF(A79="","",Trabajadores!B77)</f>
        <v/>
      </c>
      <c r="C79" s="24" t="str">
        <f>IF(A79="","",Trabajadores!G77)</f>
        <v/>
      </c>
      <c r="D79" s="19" t="str">
        <f>IF($A79="","",SUMIFS('Registro de turnos'!$L$5:$L$504,'Registro de turnos'!$B$5:$B$504,$A79,'Registro de turnos'!$A$5:$A$504,"&gt;="&amp;$B$3,'Registro de turnos'!$A$5:$A$504,"&lt;="&amp;$B$4))</f>
        <v/>
      </c>
      <c r="E79" s="19" t="str">
        <f>IF($A79="","",SUMIFS('Registro de turnos'!$M$5:$M$504,'Registro de turnos'!$B$5:$B$504,$A79,'Registro de turnos'!$A$5:$A$504,"&gt;="&amp;$B$3,'Registro de turnos'!$A$5:$A$504,"&lt;="&amp;$B$4))</f>
        <v/>
      </c>
      <c r="F79" s="19" t="str">
        <f>IF($A79="","",SUMIFS('Registro de turnos'!$N$5:$N$504,'Registro de turnos'!$B$5:$B$504,$A79,'Registro de turnos'!$A$5:$A$504,"&gt;="&amp;$B$3,'Registro de turnos'!$A$5:$A$504,"&lt;="&amp;$B$4))</f>
        <v/>
      </c>
      <c r="G79" s="19" t="str">
        <f>IF($A79="","",SUMIFS('Registro de turnos'!$O$5:$O$504,'Registro de turnos'!$B$5:$B$504,$A79,'Registro de turnos'!$A$5:$A$504,"&gt;="&amp;$B$3,'Registro de turnos'!$A$5:$A$504,"&lt;="&amp;$B$4))</f>
        <v/>
      </c>
      <c r="H79" s="19" t="str">
        <f>IF($A79="","",SUMIFS('Registro de turnos'!$P$5:$P$504,'Registro de turnos'!$B$5:$B$504,$A79,'Registro de turnos'!$A$5:$A$504,"&gt;="&amp;$B$3,'Registro de turnos'!$A$5:$A$504,"&lt;="&amp;$B$4))</f>
        <v/>
      </c>
      <c r="I79" s="19" t="str">
        <f>IF($A79="","",SUMIFS('Registro de turnos'!$Q$5:$Q$504,'Registro de turnos'!$B$5:$B$504,$A79,'Registro de turnos'!$A$5:$A$504,"&gt;="&amp;$B$3,'Registro de turnos'!$A$5:$A$504,"&lt;="&amp;$B$4))</f>
        <v/>
      </c>
      <c r="J79" s="19" t="str">
        <f>IF($A79="","",SUMIFS('Registro de turnos'!$R$5:$R$504,'Registro de turnos'!$B$5:$B$504,$A79,'Registro de turnos'!$A$5:$A$504,"&gt;="&amp;$B$3,'Registro de turnos'!$A$5:$A$504,"&lt;="&amp;$B$4))</f>
        <v/>
      </c>
      <c r="K79" s="19" t="str">
        <f t="shared" si="12"/>
        <v/>
      </c>
      <c r="L79" s="17" t="str">
        <f>IF($A79="","",SUMIFS('Registro de turnos'!$T$5:$T$504,'Registro de turnos'!$B$5:$B$504,$A79,'Registro de turnos'!$A$5:$A$504,"&gt;="&amp;$B$3,'Registro de turnos'!$A$5:$A$504,"&lt;="&amp;$B$4))</f>
        <v/>
      </c>
      <c r="M79" s="17" t="str">
        <f t="shared" si="13"/>
        <v/>
      </c>
      <c r="N79" s="17" t="str">
        <f t="shared" si="14"/>
        <v/>
      </c>
      <c r="O79" s="17" t="str">
        <f t="shared" si="15"/>
        <v/>
      </c>
      <c r="P79" s="17" t="str">
        <f>IF($A79="","",ROUND(C79*D79*Parámetros!$B$8*0.0417,0))</f>
        <v/>
      </c>
      <c r="Q79" s="17" t="str">
        <f t="shared" si="16"/>
        <v/>
      </c>
      <c r="R79" s="17" t="str">
        <f t="shared" si="17"/>
        <v/>
      </c>
    </row>
    <row r="80" spans="1:18" x14ac:dyDescent="0.25">
      <c r="A80" s="22" t="str">
        <f>IF(Trabajadores!A78="","",Trabajadores!A78)</f>
        <v/>
      </c>
      <c r="B80" s="23" t="str">
        <f>IF(A80="","",Trabajadores!B78)</f>
        <v/>
      </c>
      <c r="C80" s="24" t="str">
        <f>IF(A80="","",Trabajadores!G78)</f>
        <v/>
      </c>
      <c r="D80" s="19" t="str">
        <f>IF($A80="","",SUMIFS('Registro de turnos'!$L$5:$L$504,'Registro de turnos'!$B$5:$B$504,$A80,'Registro de turnos'!$A$5:$A$504,"&gt;="&amp;$B$3,'Registro de turnos'!$A$5:$A$504,"&lt;="&amp;$B$4))</f>
        <v/>
      </c>
      <c r="E80" s="19" t="str">
        <f>IF($A80="","",SUMIFS('Registro de turnos'!$M$5:$M$504,'Registro de turnos'!$B$5:$B$504,$A80,'Registro de turnos'!$A$5:$A$504,"&gt;="&amp;$B$3,'Registro de turnos'!$A$5:$A$504,"&lt;="&amp;$B$4))</f>
        <v/>
      </c>
      <c r="F80" s="19" t="str">
        <f>IF($A80="","",SUMIFS('Registro de turnos'!$N$5:$N$504,'Registro de turnos'!$B$5:$B$504,$A80,'Registro de turnos'!$A$5:$A$504,"&gt;="&amp;$B$3,'Registro de turnos'!$A$5:$A$504,"&lt;="&amp;$B$4))</f>
        <v/>
      </c>
      <c r="G80" s="19" t="str">
        <f>IF($A80="","",SUMIFS('Registro de turnos'!$O$5:$O$504,'Registro de turnos'!$B$5:$B$504,$A80,'Registro de turnos'!$A$5:$A$504,"&gt;="&amp;$B$3,'Registro de turnos'!$A$5:$A$504,"&lt;="&amp;$B$4))</f>
        <v/>
      </c>
      <c r="H80" s="19" t="str">
        <f>IF($A80="","",SUMIFS('Registro de turnos'!$P$5:$P$504,'Registro de turnos'!$B$5:$B$504,$A80,'Registro de turnos'!$A$5:$A$504,"&gt;="&amp;$B$3,'Registro de turnos'!$A$5:$A$504,"&lt;="&amp;$B$4))</f>
        <v/>
      </c>
      <c r="I80" s="19" t="str">
        <f>IF($A80="","",SUMIFS('Registro de turnos'!$Q$5:$Q$504,'Registro de turnos'!$B$5:$B$504,$A80,'Registro de turnos'!$A$5:$A$504,"&gt;="&amp;$B$3,'Registro de turnos'!$A$5:$A$504,"&lt;="&amp;$B$4))</f>
        <v/>
      </c>
      <c r="J80" s="19" t="str">
        <f>IF($A80="","",SUMIFS('Registro de turnos'!$R$5:$R$504,'Registro de turnos'!$B$5:$B$504,$A80,'Registro de turnos'!$A$5:$A$504,"&gt;="&amp;$B$3,'Registro de turnos'!$A$5:$A$504,"&lt;="&amp;$B$4))</f>
        <v/>
      </c>
      <c r="K80" s="19" t="str">
        <f t="shared" si="12"/>
        <v/>
      </c>
      <c r="L80" s="17" t="str">
        <f>IF($A80="","",SUMIFS('Registro de turnos'!$T$5:$T$504,'Registro de turnos'!$B$5:$B$504,$A80,'Registro de turnos'!$A$5:$A$504,"&gt;="&amp;$B$3,'Registro de turnos'!$A$5:$A$504,"&lt;="&amp;$B$4))</f>
        <v/>
      </c>
      <c r="M80" s="17" t="str">
        <f t="shared" si="13"/>
        <v/>
      </c>
      <c r="N80" s="17" t="str">
        <f t="shared" si="14"/>
        <v/>
      </c>
      <c r="O80" s="17" t="str">
        <f t="shared" si="15"/>
        <v/>
      </c>
      <c r="P80" s="17" t="str">
        <f>IF($A80="","",ROUND(C80*D80*Parámetros!$B$8*0.0417,0))</f>
        <v/>
      </c>
      <c r="Q80" s="17" t="str">
        <f t="shared" si="16"/>
        <v/>
      </c>
      <c r="R80" s="17" t="str">
        <f t="shared" si="17"/>
        <v/>
      </c>
    </row>
    <row r="81" spans="1:18" x14ac:dyDescent="0.25">
      <c r="A81" s="22" t="str">
        <f>IF(Trabajadores!A79="","",Trabajadores!A79)</f>
        <v/>
      </c>
      <c r="B81" s="23" t="str">
        <f>IF(A81="","",Trabajadores!B79)</f>
        <v/>
      </c>
      <c r="C81" s="24" t="str">
        <f>IF(A81="","",Trabajadores!G79)</f>
        <v/>
      </c>
      <c r="D81" s="19" t="str">
        <f>IF($A81="","",SUMIFS('Registro de turnos'!$L$5:$L$504,'Registro de turnos'!$B$5:$B$504,$A81,'Registro de turnos'!$A$5:$A$504,"&gt;="&amp;$B$3,'Registro de turnos'!$A$5:$A$504,"&lt;="&amp;$B$4))</f>
        <v/>
      </c>
      <c r="E81" s="19" t="str">
        <f>IF($A81="","",SUMIFS('Registro de turnos'!$M$5:$M$504,'Registro de turnos'!$B$5:$B$504,$A81,'Registro de turnos'!$A$5:$A$504,"&gt;="&amp;$B$3,'Registro de turnos'!$A$5:$A$504,"&lt;="&amp;$B$4))</f>
        <v/>
      </c>
      <c r="F81" s="19" t="str">
        <f>IF($A81="","",SUMIFS('Registro de turnos'!$N$5:$N$504,'Registro de turnos'!$B$5:$B$504,$A81,'Registro de turnos'!$A$5:$A$504,"&gt;="&amp;$B$3,'Registro de turnos'!$A$5:$A$504,"&lt;="&amp;$B$4))</f>
        <v/>
      </c>
      <c r="G81" s="19" t="str">
        <f>IF($A81="","",SUMIFS('Registro de turnos'!$O$5:$O$504,'Registro de turnos'!$B$5:$B$504,$A81,'Registro de turnos'!$A$5:$A$504,"&gt;="&amp;$B$3,'Registro de turnos'!$A$5:$A$504,"&lt;="&amp;$B$4))</f>
        <v/>
      </c>
      <c r="H81" s="19" t="str">
        <f>IF($A81="","",SUMIFS('Registro de turnos'!$P$5:$P$504,'Registro de turnos'!$B$5:$B$504,$A81,'Registro de turnos'!$A$5:$A$504,"&gt;="&amp;$B$3,'Registro de turnos'!$A$5:$A$504,"&lt;="&amp;$B$4))</f>
        <v/>
      </c>
      <c r="I81" s="19" t="str">
        <f>IF($A81="","",SUMIFS('Registro de turnos'!$Q$5:$Q$504,'Registro de turnos'!$B$5:$B$504,$A81,'Registro de turnos'!$A$5:$A$504,"&gt;="&amp;$B$3,'Registro de turnos'!$A$5:$A$504,"&lt;="&amp;$B$4))</f>
        <v/>
      </c>
      <c r="J81" s="19" t="str">
        <f>IF($A81="","",SUMIFS('Registro de turnos'!$R$5:$R$504,'Registro de turnos'!$B$5:$B$504,$A81,'Registro de turnos'!$A$5:$A$504,"&gt;="&amp;$B$3,'Registro de turnos'!$A$5:$A$504,"&lt;="&amp;$B$4))</f>
        <v/>
      </c>
      <c r="K81" s="19" t="str">
        <f t="shared" si="12"/>
        <v/>
      </c>
      <c r="L81" s="17" t="str">
        <f>IF($A81="","",SUMIFS('Registro de turnos'!$T$5:$T$504,'Registro de turnos'!$B$5:$B$504,$A81,'Registro de turnos'!$A$5:$A$504,"&gt;="&amp;$B$3,'Registro de turnos'!$A$5:$A$504,"&lt;="&amp;$B$4))</f>
        <v/>
      </c>
      <c r="M81" s="17" t="str">
        <f t="shared" si="13"/>
        <v/>
      </c>
      <c r="N81" s="17" t="str">
        <f t="shared" si="14"/>
        <v/>
      </c>
      <c r="O81" s="17" t="str">
        <f t="shared" si="15"/>
        <v/>
      </c>
      <c r="P81" s="17" t="str">
        <f>IF($A81="","",ROUND(C81*D81*Parámetros!$B$8*0.0417,0))</f>
        <v/>
      </c>
      <c r="Q81" s="17" t="str">
        <f t="shared" si="16"/>
        <v/>
      </c>
      <c r="R81" s="17" t="str">
        <f t="shared" si="17"/>
        <v/>
      </c>
    </row>
    <row r="82" spans="1:18" x14ac:dyDescent="0.25">
      <c r="A82" s="22" t="str">
        <f>IF(Trabajadores!A80="","",Trabajadores!A80)</f>
        <v/>
      </c>
      <c r="B82" s="23" t="str">
        <f>IF(A82="","",Trabajadores!B80)</f>
        <v/>
      </c>
      <c r="C82" s="24" t="str">
        <f>IF(A82="","",Trabajadores!G80)</f>
        <v/>
      </c>
      <c r="D82" s="19" t="str">
        <f>IF($A82="","",SUMIFS('Registro de turnos'!$L$5:$L$504,'Registro de turnos'!$B$5:$B$504,$A82,'Registro de turnos'!$A$5:$A$504,"&gt;="&amp;$B$3,'Registro de turnos'!$A$5:$A$504,"&lt;="&amp;$B$4))</f>
        <v/>
      </c>
      <c r="E82" s="19" t="str">
        <f>IF($A82="","",SUMIFS('Registro de turnos'!$M$5:$M$504,'Registro de turnos'!$B$5:$B$504,$A82,'Registro de turnos'!$A$5:$A$504,"&gt;="&amp;$B$3,'Registro de turnos'!$A$5:$A$504,"&lt;="&amp;$B$4))</f>
        <v/>
      </c>
      <c r="F82" s="19" t="str">
        <f>IF($A82="","",SUMIFS('Registro de turnos'!$N$5:$N$504,'Registro de turnos'!$B$5:$B$504,$A82,'Registro de turnos'!$A$5:$A$504,"&gt;="&amp;$B$3,'Registro de turnos'!$A$5:$A$504,"&lt;="&amp;$B$4))</f>
        <v/>
      </c>
      <c r="G82" s="19" t="str">
        <f>IF($A82="","",SUMIFS('Registro de turnos'!$O$5:$O$504,'Registro de turnos'!$B$5:$B$504,$A82,'Registro de turnos'!$A$5:$A$504,"&gt;="&amp;$B$3,'Registro de turnos'!$A$5:$A$504,"&lt;="&amp;$B$4))</f>
        <v/>
      </c>
      <c r="H82" s="19" t="str">
        <f>IF($A82="","",SUMIFS('Registro de turnos'!$P$5:$P$504,'Registro de turnos'!$B$5:$B$504,$A82,'Registro de turnos'!$A$5:$A$504,"&gt;="&amp;$B$3,'Registro de turnos'!$A$5:$A$504,"&lt;="&amp;$B$4))</f>
        <v/>
      </c>
      <c r="I82" s="19" t="str">
        <f>IF($A82="","",SUMIFS('Registro de turnos'!$Q$5:$Q$504,'Registro de turnos'!$B$5:$B$504,$A82,'Registro de turnos'!$A$5:$A$504,"&gt;="&amp;$B$3,'Registro de turnos'!$A$5:$A$504,"&lt;="&amp;$B$4))</f>
        <v/>
      </c>
      <c r="J82" s="19" t="str">
        <f>IF($A82="","",SUMIFS('Registro de turnos'!$R$5:$R$504,'Registro de turnos'!$B$5:$B$504,$A82,'Registro de turnos'!$A$5:$A$504,"&gt;="&amp;$B$3,'Registro de turnos'!$A$5:$A$504,"&lt;="&amp;$B$4))</f>
        <v/>
      </c>
      <c r="K82" s="19" t="str">
        <f t="shared" si="12"/>
        <v/>
      </c>
      <c r="L82" s="17" t="str">
        <f>IF($A82="","",SUMIFS('Registro de turnos'!$T$5:$T$504,'Registro de turnos'!$B$5:$B$504,$A82,'Registro de turnos'!$A$5:$A$504,"&gt;="&amp;$B$3,'Registro de turnos'!$A$5:$A$504,"&lt;="&amp;$B$4))</f>
        <v/>
      </c>
      <c r="M82" s="17" t="str">
        <f t="shared" si="13"/>
        <v/>
      </c>
      <c r="N82" s="17" t="str">
        <f t="shared" si="14"/>
        <v/>
      </c>
      <c r="O82" s="17" t="str">
        <f t="shared" si="15"/>
        <v/>
      </c>
      <c r="P82" s="17" t="str">
        <f>IF($A82="","",ROUND(C82*D82*Parámetros!$B$8*0.0417,0))</f>
        <v/>
      </c>
      <c r="Q82" s="17" t="str">
        <f t="shared" si="16"/>
        <v/>
      </c>
      <c r="R82" s="17" t="str">
        <f t="shared" si="17"/>
        <v/>
      </c>
    </row>
    <row r="83" spans="1:18" x14ac:dyDescent="0.25">
      <c r="A83" s="22" t="str">
        <f>IF(Trabajadores!A81="","",Trabajadores!A81)</f>
        <v/>
      </c>
      <c r="B83" s="23" t="str">
        <f>IF(A83="","",Trabajadores!B81)</f>
        <v/>
      </c>
      <c r="C83" s="24" t="str">
        <f>IF(A83="","",Trabajadores!G81)</f>
        <v/>
      </c>
      <c r="D83" s="19" t="str">
        <f>IF($A83="","",SUMIFS('Registro de turnos'!$L$5:$L$504,'Registro de turnos'!$B$5:$B$504,$A83,'Registro de turnos'!$A$5:$A$504,"&gt;="&amp;$B$3,'Registro de turnos'!$A$5:$A$504,"&lt;="&amp;$B$4))</f>
        <v/>
      </c>
      <c r="E83" s="19" t="str">
        <f>IF($A83="","",SUMIFS('Registro de turnos'!$M$5:$M$504,'Registro de turnos'!$B$5:$B$504,$A83,'Registro de turnos'!$A$5:$A$504,"&gt;="&amp;$B$3,'Registro de turnos'!$A$5:$A$504,"&lt;="&amp;$B$4))</f>
        <v/>
      </c>
      <c r="F83" s="19" t="str">
        <f>IF($A83="","",SUMIFS('Registro de turnos'!$N$5:$N$504,'Registro de turnos'!$B$5:$B$504,$A83,'Registro de turnos'!$A$5:$A$504,"&gt;="&amp;$B$3,'Registro de turnos'!$A$5:$A$504,"&lt;="&amp;$B$4))</f>
        <v/>
      </c>
      <c r="G83" s="19" t="str">
        <f>IF($A83="","",SUMIFS('Registro de turnos'!$O$5:$O$504,'Registro de turnos'!$B$5:$B$504,$A83,'Registro de turnos'!$A$5:$A$504,"&gt;="&amp;$B$3,'Registro de turnos'!$A$5:$A$504,"&lt;="&amp;$B$4))</f>
        <v/>
      </c>
      <c r="H83" s="19" t="str">
        <f>IF($A83="","",SUMIFS('Registro de turnos'!$P$5:$P$504,'Registro de turnos'!$B$5:$B$504,$A83,'Registro de turnos'!$A$5:$A$504,"&gt;="&amp;$B$3,'Registro de turnos'!$A$5:$A$504,"&lt;="&amp;$B$4))</f>
        <v/>
      </c>
      <c r="I83" s="19" t="str">
        <f>IF($A83="","",SUMIFS('Registro de turnos'!$Q$5:$Q$504,'Registro de turnos'!$B$5:$B$504,$A83,'Registro de turnos'!$A$5:$A$504,"&gt;="&amp;$B$3,'Registro de turnos'!$A$5:$A$504,"&lt;="&amp;$B$4))</f>
        <v/>
      </c>
      <c r="J83" s="19" t="str">
        <f>IF($A83="","",SUMIFS('Registro de turnos'!$R$5:$R$504,'Registro de turnos'!$B$5:$B$504,$A83,'Registro de turnos'!$A$5:$A$504,"&gt;="&amp;$B$3,'Registro de turnos'!$A$5:$A$504,"&lt;="&amp;$B$4))</f>
        <v/>
      </c>
      <c r="K83" s="19" t="str">
        <f t="shared" si="12"/>
        <v/>
      </c>
      <c r="L83" s="17" t="str">
        <f>IF($A83="","",SUMIFS('Registro de turnos'!$T$5:$T$504,'Registro de turnos'!$B$5:$B$504,$A83,'Registro de turnos'!$A$5:$A$504,"&gt;="&amp;$B$3,'Registro de turnos'!$A$5:$A$504,"&lt;="&amp;$B$4))</f>
        <v/>
      </c>
      <c r="M83" s="17" t="str">
        <f t="shared" si="13"/>
        <v/>
      </c>
      <c r="N83" s="17" t="str">
        <f t="shared" si="14"/>
        <v/>
      </c>
      <c r="O83" s="17" t="str">
        <f t="shared" si="15"/>
        <v/>
      </c>
      <c r="P83" s="17" t="str">
        <f>IF($A83="","",ROUND(C83*D83*Parámetros!$B$8*0.0417,0))</f>
        <v/>
      </c>
      <c r="Q83" s="17" t="str">
        <f t="shared" si="16"/>
        <v/>
      </c>
      <c r="R83" s="17" t="str">
        <f t="shared" si="17"/>
        <v/>
      </c>
    </row>
    <row r="84" spans="1:18" x14ac:dyDescent="0.25">
      <c r="A84" s="22" t="str">
        <f>IF(Trabajadores!A82="","",Trabajadores!A82)</f>
        <v/>
      </c>
      <c r="B84" s="23" t="str">
        <f>IF(A84="","",Trabajadores!B82)</f>
        <v/>
      </c>
      <c r="C84" s="24" t="str">
        <f>IF(A84="","",Trabajadores!G82)</f>
        <v/>
      </c>
      <c r="D84" s="19" t="str">
        <f>IF($A84="","",SUMIFS('Registro de turnos'!$L$5:$L$504,'Registro de turnos'!$B$5:$B$504,$A84,'Registro de turnos'!$A$5:$A$504,"&gt;="&amp;$B$3,'Registro de turnos'!$A$5:$A$504,"&lt;="&amp;$B$4))</f>
        <v/>
      </c>
      <c r="E84" s="19" t="str">
        <f>IF($A84="","",SUMIFS('Registro de turnos'!$M$5:$M$504,'Registro de turnos'!$B$5:$B$504,$A84,'Registro de turnos'!$A$5:$A$504,"&gt;="&amp;$B$3,'Registro de turnos'!$A$5:$A$504,"&lt;="&amp;$B$4))</f>
        <v/>
      </c>
      <c r="F84" s="19" t="str">
        <f>IF($A84="","",SUMIFS('Registro de turnos'!$N$5:$N$504,'Registro de turnos'!$B$5:$B$504,$A84,'Registro de turnos'!$A$5:$A$504,"&gt;="&amp;$B$3,'Registro de turnos'!$A$5:$A$504,"&lt;="&amp;$B$4))</f>
        <v/>
      </c>
      <c r="G84" s="19" t="str">
        <f>IF($A84="","",SUMIFS('Registro de turnos'!$O$5:$O$504,'Registro de turnos'!$B$5:$B$504,$A84,'Registro de turnos'!$A$5:$A$504,"&gt;="&amp;$B$3,'Registro de turnos'!$A$5:$A$504,"&lt;="&amp;$B$4))</f>
        <v/>
      </c>
      <c r="H84" s="19" t="str">
        <f>IF($A84="","",SUMIFS('Registro de turnos'!$P$5:$P$504,'Registro de turnos'!$B$5:$B$504,$A84,'Registro de turnos'!$A$5:$A$504,"&gt;="&amp;$B$3,'Registro de turnos'!$A$5:$A$504,"&lt;="&amp;$B$4))</f>
        <v/>
      </c>
      <c r="I84" s="19" t="str">
        <f>IF($A84="","",SUMIFS('Registro de turnos'!$Q$5:$Q$504,'Registro de turnos'!$B$5:$B$504,$A84,'Registro de turnos'!$A$5:$A$504,"&gt;="&amp;$B$3,'Registro de turnos'!$A$5:$A$504,"&lt;="&amp;$B$4))</f>
        <v/>
      </c>
      <c r="J84" s="19" t="str">
        <f>IF($A84="","",SUMIFS('Registro de turnos'!$R$5:$R$504,'Registro de turnos'!$B$5:$B$504,$A84,'Registro de turnos'!$A$5:$A$504,"&gt;="&amp;$B$3,'Registro de turnos'!$A$5:$A$504,"&lt;="&amp;$B$4))</f>
        <v/>
      </c>
      <c r="K84" s="19" t="str">
        <f t="shared" si="12"/>
        <v/>
      </c>
      <c r="L84" s="17" t="str">
        <f>IF($A84="","",SUMIFS('Registro de turnos'!$T$5:$T$504,'Registro de turnos'!$B$5:$B$504,$A84,'Registro de turnos'!$A$5:$A$504,"&gt;="&amp;$B$3,'Registro de turnos'!$A$5:$A$504,"&lt;="&amp;$B$4))</f>
        <v/>
      </c>
      <c r="M84" s="17" t="str">
        <f t="shared" si="13"/>
        <v/>
      </c>
      <c r="N84" s="17" t="str">
        <f t="shared" si="14"/>
        <v/>
      </c>
      <c r="O84" s="17" t="str">
        <f t="shared" si="15"/>
        <v/>
      </c>
      <c r="P84" s="17" t="str">
        <f>IF($A84="","",ROUND(C84*D84*Parámetros!$B$8*0.0417,0))</f>
        <v/>
      </c>
      <c r="Q84" s="17" t="str">
        <f t="shared" si="16"/>
        <v/>
      </c>
      <c r="R84" s="17" t="str">
        <f t="shared" si="17"/>
        <v/>
      </c>
    </row>
    <row r="85" spans="1:18" x14ac:dyDescent="0.25">
      <c r="A85" s="22" t="str">
        <f>IF(Trabajadores!A83="","",Trabajadores!A83)</f>
        <v/>
      </c>
      <c r="B85" s="23" t="str">
        <f>IF(A85="","",Trabajadores!B83)</f>
        <v/>
      </c>
      <c r="C85" s="24" t="str">
        <f>IF(A85="","",Trabajadores!G83)</f>
        <v/>
      </c>
      <c r="D85" s="19" t="str">
        <f>IF($A85="","",SUMIFS('Registro de turnos'!$L$5:$L$504,'Registro de turnos'!$B$5:$B$504,$A85,'Registro de turnos'!$A$5:$A$504,"&gt;="&amp;$B$3,'Registro de turnos'!$A$5:$A$504,"&lt;="&amp;$B$4))</f>
        <v/>
      </c>
      <c r="E85" s="19" t="str">
        <f>IF($A85="","",SUMIFS('Registro de turnos'!$M$5:$M$504,'Registro de turnos'!$B$5:$B$504,$A85,'Registro de turnos'!$A$5:$A$504,"&gt;="&amp;$B$3,'Registro de turnos'!$A$5:$A$504,"&lt;="&amp;$B$4))</f>
        <v/>
      </c>
      <c r="F85" s="19" t="str">
        <f>IF($A85="","",SUMIFS('Registro de turnos'!$N$5:$N$504,'Registro de turnos'!$B$5:$B$504,$A85,'Registro de turnos'!$A$5:$A$504,"&gt;="&amp;$B$3,'Registro de turnos'!$A$5:$A$504,"&lt;="&amp;$B$4))</f>
        <v/>
      </c>
      <c r="G85" s="19" t="str">
        <f>IF($A85="","",SUMIFS('Registro de turnos'!$O$5:$O$504,'Registro de turnos'!$B$5:$B$504,$A85,'Registro de turnos'!$A$5:$A$504,"&gt;="&amp;$B$3,'Registro de turnos'!$A$5:$A$504,"&lt;="&amp;$B$4))</f>
        <v/>
      </c>
      <c r="H85" s="19" t="str">
        <f>IF($A85="","",SUMIFS('Registro de turnos'!$P$5:$P$504,'Registro de turnos'!$B$5:$B$504,$A85,'Registro de turnos'!$A$5:$A$504,"&gt;="&amp;$B$3,'Registro de turnos'!$A$5:$A$504,"&lt;="&amp;$B$4))</f>
        <v/>
      </c>
      <c r="I85" s="19" t="str">
        <f>IF($A85="","",SUMIFS('Registro de turnos'!$Q$5:$Q$504,'Registro de turnos'!$B$5:$B$504,$A85,'Registro de turnos'!$A$5:$A$504,"&gt;="&amp;$B$3,'Registro de turnos'!$A$5:$A$504,"&lt;="&amp;$B$4))</f>
        <v/>
      </c>
      <c r="J85" s="19" t="str">
        <f>IF($A85="","",SUMIFS('Registro de turnos'!$R$5:$R$504,'Registro de turnos'!$B$5:$B$504,$A85,'Registro de turnos'!$A$5:$A$504,"&gt;="&amp;$B$3,'Registro de turnos'!$A$5:$A$504,"&lt;="&amp;$B$4))</f>
        <v/>
      </c>
      <c r="K85" s="19" t="str">
        <f t="shared" si="12"/>
        <v/>
      </c>
      <c r="L85" s="17" t="str">
        <f>IF($A85="","",SUMIFS('Registro de turnos'!$T$5:$T$504,'Registro de turnos'!$B$5:$B$504,$A85,'Registro de turnos'!$A$5:$A$504,"&gt;="&amp;$B$3,'Registro de turnos'!$A$5:$A$504,"&lt;="&amp;$B$4))</f>
        <v/>
      </c>
      <c r="M85" s="17" t="str">
        <f t="shared" si="13"/>
        <v/>
      </c>
      <c r="N85" s="17" t="str">
        <f t="shared" si="14"/>
        <v/>
      </c>
      <c r="O85" s="17" t="str">
        <f t="shared" si="15"/>
        <v/>
      </c>
      <c r="P85" s="17" t="str">
        <f>IF($A85="","",ROUND(C85*D85*Parámetros!$B$8*0.0417,0))</f>
        <v/>
      </c>
      <c r="Q85" s="17" t="str">
        <f t="shared" si="16"/>
        <v/>
      </c>
      <c r="R85" s="17" t="str">
        <f t="shared" si="17"/>
        <v/>
      </c>
    </row>
    <row r="86" spans="1:18" x14ac:dyDescent="0.25">
      <c r="A86" s="22" t="str">
        <f>IF(Trabajadores!A84="","",Trabajadores!A84)</f>
        <v/>
      </c>
      <c r="B86" s="23" t="str">
        <f>IF(A86="","",Trabajadores!B84)</f>
        <v/>
      </c>
      <c r="C86" s="24" t="str">
        <f>IF(A86="","",Trabajadores!G84)</f>
        <v/>
      </c>
      <c r="D86" s="19" t="str">
        <f>IF($A86="","",SUMIFS('Registro de turnos'!$L$5:$L$504,'Registro de turnos'!$B$5:$B$504,$A86,'Registro de turnos'!$A$5:$A$504,"&gt;="&amp;$B$3,'Registro de turnos'!$A$5:$A$504,"&lt;="&amp;$B$4))</f>
        <v/>
      </c>
      <c r="E86" s="19" t="str">
        <f>IF($A86="","",SUMIFS('Registro de turnos'!$M$5:$M$504,'Registro de turnos'!$B$5:$B$504,$A86,'Registro de turnos'!$A$5:$A$504,"&gt;="&amp;$B$3,'Registro de turnos'!$A$5:$A$504,"&lt;="&amp;$B$4))</f>
        <v/>
      </c>
      <c r="F86" s="19" t="str">
        <f>IF($A86="","",SUMIFS('Registro de turnos'!$N$5:$N$504,'Registro de turnos'!$B$5:$B$504,$A86,'Registro de turnos'!$A$5:$A$504,"&gt;="&amp;$B$3,'Registro de turnos'!$A$5:$A$504,"&lt;="&amp;$B$4))</f>
        <v/>
      </c>
      <c r="G86" s="19" t="str">
        <f>IF($A86="","",SUMIFS('Registro de turnos'!$O$5:$O$504,'Registro de turnos'!$B$5:$B$504,$A86,'Registro de turnos'!$A$5:$A$504,"&gt;="&amp;$B$3,'Registro de turnos'!$A$5:$A$504,"&lt;="&amp;$B$4))</f>
        <v/>
      </c>
      <c r="H86" s="19" t="str">
        <f>IF($A86="","",SUMIFS('Registro de turnos'!$P$5:$P$504,'Registro de turnos'!$B$5:$B$504,$A86,'Registro de turnos'!$A$5:$A$504,"&gt;="&amp;$B$3,'Registro de turnos'!$A$5:$A$504,"&lt;="&amp;$B$4))</f>
        <v/>
      </c>
      <c r="I86" s="19" t="str">
        <f>IF($A86="","",SUMIFS('Registro de turnos'!$Q$5:$Q$504,'Registro de turnos'!$B$5:$B$504,$A86,'Registro de turnos'!$A$5:$A$504,"&gt;="&amp;$B$3,'Registro de turnos'!$A$5:$A$504,"&lt;="&amp;$B$4))</f>
        <v/>
      </c>
      <c r="J86" s="19" t="str">
        <f>IF($A86="","",SUMIFS('Registro de turnos'!$R$5:$R$504,'Registro de turnos'!$B$5:$B$504,$A86,'Registro de turnos'!$A$5:$A$504,"&gt;="&amp;$B$3,'Registro de turnos'!$A$5:$A$504,"&lt;="&amp;$B$4))</f>
        <v/>
      </c>
      <c r="K86" s="19" t="str">
        <f t="shared" si="12"/>
        <v/>
      </c>
      <c r="L86" s="17" t="str">
        <f>IF($A86="","",SUMIFS('Registro de turnos'!$T$5:$T$504,'Registro de turnos'!$B$5:$B$504,$A86,'Registro de turnos'!$A$5:$A$504,"&gt;="&amp;$B$3,'Registro de turnos'!$A$5:$A$504,"&lt;="&amp;$B$4))</f>
        <v/>
      </c>
      <c r="M86" s="17" t="str">
        <f t="shared" si="13"/>
        <v/>
      </c>
      <c r="N86" s="17" t="str">
        <f t="shared" si="14"/>
        <v/>
      </c>
      <c r="O86" s="17" t="str">
        <f t="shared" si="15"/>
        <v/>
      </c>
      <c r="P86" s="17" t="str">
        <f>IF($A86="","",ROUND(C86*D86*Parámetros!$B$8*0.0417,0))</f>
        <v/>
      </c>
      <c r="Q86" s="17" t="str">
        <f t="shared" si="16"/>
        <v/>
      </c>
      <c r="R86" s="17" t="str">
        <f t="shared" si="17"/>
        <v/>
      </c>
    </row>
    <row r="87" spans="1:18" x14ac:dyDescent="0.25">
      <c r="A87" s="22" t="str">
        <f>IF(Trabajadores!A85="","",Trabajadores!A85)</f>
        <v/>
      </c>
      <c r="B87" s="23" t="str">
        <f>IF(A87="","",Trabajadores!B85)</f>
        <v/>
      </c>
      <c r="C87" s="24" t="str">
        <f>IF(A87="","",Trabajadores!G85)</f>
        <v/>
      </c>
      <c r="D87" s="19" t="str">
        <f>IF($A87="","",SUMIFS('Registro de turnos'!$L$5:$L$504,'Registro de turnos'!$B$5:$B$504,$A87,'Registro de turnos'!$A$5:$A$504,"&gt;="&amp;$B$3,'Registro de turnos'!$A$5:$A$504,"&lt;="&amp;$B$4))</f>
        <v/>
      </c>
      <c r="E87" s="19" t="str">
        <f>IF($A87="","",SUMIFS('Registro de turnos'!$M$5:$M$504,'Registro de turnos'!$B$5:$B$504,$A87,'Registro de turnos'!$A$5:$A$504,"&gt;="&amp;$B$3,'Registro de turnos'!$A$5:$A$504,"&lt;="&amp;$B$4))</f>
        <v/>
      </c>
      <c r="F87" s="19" t="str">
        <f>IF($A87="","",SUMIFS('Registro de turnos'!$N$5:$N$504,'Registro de turnos'!$B$5:$B$504,$A87,'Registro de turnos'!$A$5:$A$504,"&gt;="&amp;$B$3,'Registro de turnos'!$A$5:$A$504,"&lt;="&amp;$B$4))</f>
        <v/>
      </c>
      <c r="G87" s="19" t="str">
        <f>IF($A87="","",SUMIFS('Registro de turnos'!$O$5:$O$504,'Registro de turnos'!$B$5:$B$504,$A87,'Registro de turnos'!$A$5:$A$504,"&gt;="&amp;$B$3,'Registro de turnos'!$A$5:$A$504,"&lt;="&amp;$B$4))</f>
        <v/>
      </c>
      <c r="H87" s="19" t="str">
        <f>IF($A87="","",SUMIFS('Registro de turnos'!$P$5:$P$504,'Registro de turnos'!$B$5:$B$504,$A87,'Registro de turnos'!$A$5:$A$504,"&gt;="&amp;$B$3,'Registro de turnos'!$A$5:$A$504,"&lt;="&amp;$B$4))</f>
        <v/>
      </c>
      <c r="I87" s="19" t="str">
        <f>IF($A87="","",SUMIFS('Registro de turnos'!$Q$5:$Q$504,'Registro de turnos'!$B$5:$B$504,$A87,'Registro de turnos'!$A$5:$A$504,"&gt;="&amp;$B$3,'Registro de turnos'!$A$5:$A$504,"&lt;="&amp;$B$4))</f>
        <v/>
      </c>
      <c r="J87" s="19" t="str">
        <f>IF($A87="","",SUMIFS('Registro de turnos'!$R$5:$R$504,'Registro de turnos'!$B$5:$B$504,$A87,'Registro de turnos'!$A$5:$A$504,"&gt;="&amp;$B$3,'Registro de turnos'!$A$5:$A$504,"&lt;="&amp;$B$4))</f>
        <v/>
      </c>
      <c r="K87" s="19" t="str">
        <f t="shared" si="12"/>
        <v/>
      </c>
      <c r="L87" s="17" t="str">
        <f>IF($A87="","",SUMIFS('Registro de turnos'!$T$5:$T$504,'Registro de turnos'!$B$5:$B$504,$A87,'Registro de turnos'!$A$5:$A$504,"&gt;="&amp;$B$3,'Registro de turnos'!$A$5:$A$504,"&lt;="&amp;$B$4))</f>
        <v/>
      </c>
      <c r="M87" s="17" t="str">
        <f t="shared" si="13"/>
        <v/>
      </c>
      <c r="N87" s="17" t="str">
        <f t="shared" si="14"/>
        <v/>
      </c>
      <c r="O87" s="17" t="str">
        <f t="shared" si="15"/>
        <v/>
      </c>
      <c r="P87" s="17" t="str">
        <f>IF($A87="","",ROUND(C87*D87*Parámetros!$B$8*0.0417,0))</f>
        <v/>
      </c>
      <c r="Q87" s="17" t="str">
        <f t="shared" si="16"/>
        <v/>
      </c>
      <c r="R87" s="17" t="str">
        <f t="shared" si="17"/>
        <v/>
      </c>
    </row>
    <row r="88" spans="1:18" x14ac:dyDescent="0.25">
      <c r="A88" s="22" t="str">
        <f>IF(Trabajadores!A86="","",Trabajadores!A86)</f>
        <v/>
      </c>
      <c r="B88" s="23" t="str">
        <f>IF(A88="","",Trabajadores!B86)</f>
        <v/>
      </c>
      <c r="C88" s="24" t="str">
        <f>IF(A88="","",Trabajadores!G86)</f>
        <v/>
      </c>
      <c r="D88" s="19" t="str">
        <f>IF($A88="","",SUMIFS('Registro de turnos'!$L$5:$L$504,'Registro de turnos'!$B$5:$B$504,$A88,'Registro de turnos'!$A$5:$A$504,"&gt;="&amp;$B$3,'Registro de turnos'!$A$5:$A$504,"&lt;="&amp;$B$4))</f>
        <v/>
      </c>
      <c r="E88" s="19" t="str">
        <f>IF($A88="","",SUMIFS('Registro de turnos'!$M$5:$M$504,'Registro de turnos'!$B$5:$B$504,$A88,'Registro de turnos'!$A$5:$A$504,"&gt;="&amp;$B$3,'Registro de turnos'!$A$5:$A$504,"&lt;="&amp;$B$4))</f>
        <v/>
      </c>
      <c r="F88" s="19" t="str">
        <f>IF($A88="","",SUMIFS('Registro de turnos'!$N$5:$N$504,'Registro de turnos'!$B$5:$B$504,$A88,'Registro de turnos'!$A$5:$A$504,"&gt;="&amp;$B$3,'Registro de turnos'!$A$5:$A$504,"&lt;="&amp;$B$4))</f>
        <v/>
      </c>
      <c r="G88" s="19" t="str">
        <f>IF($A88="","",SUMIFS('Registro de turnos'!$O$5:$O$504,'Registro de turnos'!$B$5:$B$504,$A88,'Registro de turnos'!$A$5:$A$504,"&gt;="&amp;$B$3,'Registro de turnos'!$A$5:$A$504,"&lt;="&amp;$B$4))</f>
        <v/>
      </c>
      <c r="H88" s="19" t="str">
        <f>IF($A88="","",SUMIFS('Registro de turnos'!$P$5:$P$504,'Registro de turnos'!$B$5:$B$504,$A88,'Registro de turnos'!$A$5:$A$504,"&gt;="&amp;$B$3,'Registro de turnos'!$A$5:$A$504,"&lt;="&amp;$B$4))</f>
        <v/>
      </c>
      <c r="I88" s="19" t="str">
        <f>IF($A88="","",SUMIFS('Registro de turnos'!$Q$5:$Q$504,'Registro de turnos'!$B$5:$B$504,$A88,'Registro de turnos'!$A$5:$A$504,"&gt;="&amp;$B$3,'Registro de turnos'!$A$5:$A$504,"&lt;="&amp;$B$4))</f>
        <v/>
      </c>
      <c r="J88" s="19" t="str">
        <f>IF($A88="","",SUMIFS('Registro de turnos'!$R$5:$R$504,'Registro de turnos'!$B$5:$B$504,$A88,'Registro de turnos'!$A$5:$A$504,"&gt;="&amp;$B$3,'Registro de turnos'!$A$5:$A$504,"&lt;="&amp;$B$4))</f>
        <v/>
      </c>
      <c r="K88" s="19" t="str">
        <f t="shared" si="12"/>
        <v/>
      </c>
      <c r="L88" s="17" t="str">
        <f>IF($A88="","",SUMIFS('Registro de turnos'!$T$5:$T$504,'Registro de turnos'!$B$5:$B$504,$A88,'Registro de turnos'!$A$5:$A$504,"&gt;="&amp;$B$3,'Registro de turnos'!$A$5:$A$504,"&lt;="&amp;$B$4))</f>
        <v/>
      </c>
      <c r="M88" s="17" t="str">
        <f t="shared" si="13"/>
        <v/>
      </c>
      <c r="N88" s="17" t="str">
        <f t="shared" si="14"/>
        <v/>
      </c>
      <c r="O88" s="17" t="str">
        <f t="shared" si="15"/>
        <v/>
      </c>
      <c r="P88" s="17" t="str">
        <f>IF($A88="","",ROUND(C88*D88*Parámetros!$B$8*0.0417,0))</f>
        <v/>
      </c>
      <c r="Q88" s="17" t="str">
        <f t="shared" si="16"/>
        <v/>
      </c>
      <c r="R88" s="17" t="str">
        <f t="shared" si="17"/>
        <v/>
      </c>
    </row>
    <row r="89" spans="1:18" x14ac:dyDescent="0.25">
      <c r="A89" s="22" t="str">
        <f>IF(Trabajadores!A87="","",Trabajadores!A87)</f>
        <v/>
      </c>
      <c r="B89" s="23" t="str">
        <f>IF(A89="","",Trabajadores!B87)</f>
        <v/>
      </c>
      <c r="C89" s="24" t="str">
        <f>IF(A89="","",Trabajadores!G87)</f>
        <v/>
      </c>
      <c r="D89" s="19" t="str">
        <f>IF($A89="","",SUMIFS('Registro de turnos'!$L$5:$L$504,'Registro de turnos'!$B$5:$B$504,$A89,'Registro de turnos'!$A$5:$A$504,"&gt;="&amp;$B$3,'Registro de turnos'!$A$5:$A$504,"&lt;="&amp;$B$4))</f>
        <v/>
      </c>
      <c r="E89" s="19" t="str">
        <f>IF($A89="","",SUMIFS('Registro de turnos'!$M$5:$M$504,'Registro de turnos'!$B$5:$B$504,$A89,'Registro de turnos'!$A$5:$A$504,"&gt;="&amp;$B$3,'Registro de turnos'!$A$5:$A$504,"&lt;="&amp;$B$4))</f>
        <v/>
      </c>
      <c r="F89" s="19" t="str">
        <f>IF($A89="","",SUMIFS('Registro de turnos'!$N$5:$N$504,'Registro de turnos'!$B$5:$B$504,$A89,'Registro de turnos'!$A$5:$A$504,"&gt;="&amp;$B$3,'Registro de turnos'!$A$5:$A$504,"&lt;="&amp;$B$4))</f>
        <v/>
      </c>
      <c r="G89" s="19" t="str">
        <f>IF($A89="","",SUMIFS('Registro de turnos'!$O$5:$O$504,'Registro de turnos'!$B$5:$B$504,$A89,'Registro de turnos'!$A$5:$A$504,"&gt;="&amp;$B$3,'Registro de turnos'!$A$5:$A$504,"&lt;="&amp;$B$4))</f>
        <v/>
      </c>
      <c r="H89" s="19" t="str">
        <f>IF($A89="","",SUMIFS('Registro de turnos'!$P$5:$P$504,'Registro de turnos'!$B$5:$B$504,$A89,'Registro de turnos'!$A$5:$A$504,"&gt;="&amp;$B$3,'Registro de turnos'!$A$5:$A$504,"&lt;="&amp;$B$4))</f>
        <v/>
      </c>
      <c r="I89" s="19" t="str">
        <f>IF($A89="","",SUMIFS('Registro de turnos'!$Q$5:$Q$504,'Registro de turnos'!$B$5:$B$504,$A89,'Registro de turnos'!$A$5:$A$504,"&gt;="&amp;$B$3,'Registro de turnos'!$A$5:$A$504,"&lt;="&amp;$B$4))</f>
        <v/>
      </c>
      <c r="J89" s="19" t="str">
        <f>IF($A89="","",SUMIFS('Registro de turnos'!$R$5:$R$504,'Registro de turnos'!$B$5:$B$504,$A89,'Registro de turnos'!$A$5:$A$504,"&gt;="&amp;$B$3,'Registro de turnos'!$A$5:$A$504,"&lt;="&amp;$B$4))</f>
        <v/>
      </c>
      <c r="K89" s="19" t="str">
        <f t="shared" si="12"/>
        <v/>
      </c>
      <c r="L89" s="17" t="str">
        <f>IF($A89="","",SUMIFS('Registro de turnos'!$T$5:$T$504,'Registro de turnos'!$B$5:$B$504,$A89,'Registro de turnos'!$A$5:$A$504,"&gt;="&amp;$B$3,'Registro de turnos'!$A$5:$A$504,"&lt;="&amp;$B$4))</f>
        <v/>
      </c>
      <c r="M89" s="17" t="str">
        <f t="shared" si="13"/>
        <v/>
      </c>
      <c r="N89" s="17" t="str">
        <f t="shared" si="14"/>
        <v/>
      </c>
      <c r="O89" s="17" t="str">
        <f t="shared" si="15"/>
        <v/>
      </c>
      <c r="P89" s="17" t="str">
        <f>IF($A89="","",ROUND(C89*D89*Parámetros!$B$8*0.0417,0))</f>
        <v/>
      </c>
      <c r="Q89" s="17" t="str">
        <f t="shared" si="16"/>
        <v/>
      </c>
      <c r="R89" s="17" t="str">
        <f t="shared" si="17"/>
        <v/>
      </c>
    </row>
    <row r="90" spans="1:18" x14ac:dyDescent="0.25">
      <c r="A90" s="22" t="str">
        <f>IF(Trabajadores!A88="","",Trabajadores!A88)</f>
        <v/>
      </c>
      <c r="B90" s="23" t="str">
        <f>IF(A90="","",Trabajadores!B88)</f>
        <v/>
      </c>
      <c r="C90" s="24" t="str">
        <f>IF(A90="","",Trabajadores!G88)</f>
        <v/>
      </c>
      <c r="D90" s="19" t="str">
        <f>IF($A90="","",SUMIFS('Registro de turnos'!$L$5:$L$504,'Registro de turnos'!$B$5:$B$504,$A90,'Registro de turnos'!$A$5:$A$504,"&gt;="&amp;$B$3,'Registro de turnos'!$A$5:$A$504,"&lt;="&amp;$B$4))</f>
        <v/>
      </c>
      <c r="E90" s="19" t="str">
        <f>IF($A90="","",SUMIFS('Registro de turnos'!$M$5:$M$504,'Registro de turnos'!$B$5:$B$504,$A90,'Registro de turnos'!$A$5:$A$504,"&gt;="&amp;$B$3,'Registro de turnos'!$A$5:$A$504,"&lt;="&amp;$B$4))</f>
        <v/>
      </c>
      <c r="F90" s="19" t="str">
        <f>IF($A90="","",SUMIFS('Registro de turnos'!$N$5:$N$504,'Registro de turnos'!$B$5:$B$504,$A90,'Registro de turnos'!$A$5:$A$504,"&gt;="&amp;$B$3,'Registro de turnos'!$A$5:$A$504,"&lt;="&amp;$B$4))</f>
        <v/>
      </c>
      <c r="G90" s="19" t="str">
        <f>IF($A90="","",SUMIFS('Registro de turnos'!$O$5:$O$504,'Registro de turnos'!$B$5:$B$504,$A90,'Registro de turnos'!$A$5:$A$504,"&gt;="&amp;$B$3,'Registro de turnos'!$A$5:$A$504,"&lt;="&amp;$B$4))</f>
        <v/>
      </c>
      <c r="H90" s="19" t="str">
        <f>IF($A90="","",SUMIFS('Registro de turnos'!$P$5:$P$504,'Registro de turnos'!$B$5:$B$504,$A90,'Registro de turnos'!$A$5:$A$504,"&gt;="&amp;$B$3,'Registro de turnos'!$A$5:$A$504,"&lt;="&amp;$B$4))</f>
        <v/>
      </c>
      <c r="I90" s="19" t="str">
        <f>IF($A90="","",SUMIFS('Registro de turnos'!$Q$5:$Q$504,'Registro de turnos'!$B$5:$B$504,$A90,'Registro de turnos'!$A$5:$A$504,"&gt;="&amp;$B$3,'Registro de turnos'!$A$5:$A$504,"&lt;="&amp;$B$4))</f>
        <v/>
      </c>
      <c r="J90" s="19" t="str">
        <f>IF($A90="","",SUMIFS('Registro de turnos'!$R$5:$R$504,'Registro de turnos'!$B$5:$B$504,$A90,'Registro de turnos'!$A$5:$A$504,"&gt;="&amp;$B$3,'Registro de turnos'!$A$5:$A$504,"&lt;="&amp;$B$4))</f>
        <v/>
      </c>
      <c r="K90" s="19" t="str">
        <f t="shared" si="12"/>
        <v/>
      </c>
      <c r="L90" s="17" t="str">
        <f>IF($A90="","",SUMIFS('Registro de turnos'!$T$5:$T$504,'Registro de turnos'!$B$5:$B$504,$A90,'Registro de turnos'!$A$5:$A$504,"&gt;="&amp;$B$3,'Registro de turnos'!$A$5:$A$504,"&lt;="&amp;$B$4))</f>
        <v/>
      </c>
      <c r="M90" s="17" t="str">
        <f t="shared" si="13"/>
        <v/>
      </c>
      <c r="N90" s="17" t="str">
        <f t="shared" si="14"/>
        <v/>
      </c>
      <c r="O90" s="17" t="str">
        <f t="shared" si="15"/>
        <v/>
      </c>
      <c r="P90" s="17" t="str">
        <f>IF($A90="","",ROUND(C90*D90*Parámetros!$B$8*0.0417,0))</f>
        <v/>
      </c>
      <c r="Q90" s="17" t="str">
        <f t="shared" si="16"/>
        <v/>
      </c>
      <c r="R90" s="17" t="str">
        <f t="shared" si="17"/>
        <v/>
      </c>
    </row>
    <row r="91" spans="1:18" x14ac:dyDescent="0.25">
      <c r="A91" s="22" t="str">
        <f>IF(Trabajadores!A89="","",Trabajadores!A89)</f>
        <v/>
      </c>
      <c r="B91" s="23" t="str">
        <f>IF(A91="","",Trabajadores!B89)</f>
        <v/>
      </c>
      <c r="C91" s="24" t="str">
        <f>IF(A91="","",Trabajadores!G89)</f>
        <v/>
      </c>
      <c r="D91" s="19" t="str">
        <f>IF($A91="","",SUMIFS('Registro de turnos'!$L$5:$L$504,'Registro de turnos'!$B$5:$B$504,$A91,'Registro de turnos'!$A$5:$A$504,"&gt;="&amp;$B$3,'Registro de turnos'!$A$5:$A$504,"&lt;="&amp;$B$4))</f>
        <v/>
      </c>
      <c r="E91" s="19" t="str">
        <f>IF($A91="","",SUMIFS('Registro de turnos'!$M$5:$M$504,'Registro de turnos'!$B$5:$B$504,$A91,'Registro de turnos'!$A$5:$A$504,"&gt;="&amp;$B$3,'Registro de turnos'!$A$5:$A$504,"&lt;="&amp;$B$4))</f>
        <v/>
      </c>
      <c r="F91" s="19" t="str">
        <f>IF($A91="","",SUMIFS('Registro de turnos'!$N$5:$N$504,'Registro de turnos'!$B$5:$B$504,$A91,'Registro de turnos'!$A$5:$A$504,"&gt;="&amp;$B$3,'Registro de turnos'!$A$5:$A$504,"&lt;="&amp;$B$4))</f>
        <v/>
      </c>
      <c r="G91" s="19" t="str">
        <f>IF($A91="","",SUMIFS('Registro de turnos'!$O$5:$O$504,'Registro de turnos'!$B$5:$B$504,$A91,'Registro de turnos'!$A$5:$A$504,"&gt;="&amp;$B$3,'Registro de turnos'!$A$5:$A$504,"&lt;="&amp;$B$4))</f>
        <v/>
      </c>
      <c r="H91" s="19" t="str">
        <f>IF($A91="","",SUMIFS('Registro de turnos'!$P$5:$P$504,'Registro de turnos'!$B$5:$B$504,$A91,'Registro de turnos'!$A$5:$A$504,"&gt;="&amp;$B$3,'Registro de turnos'!$A$5:$A$504,"&lt;="&amp;$B$4))</f>
        <v/>
      </c>
      <c r="I91" s="19" t="str">
        <f>IF($A91="","",SUMIFS('Registro de turnos'!$Q$5:$Q$504,'Registro de turnos'!$B$5:$B$504,$A91,'Registro de turnos'!$A$5:$A$504,"&gt;="&amp;$B$3,'Registro de turnos'!$A$5:$A$504,"&lt;="&amp;$B$4))</f>
        <v/>
      </c>
      <c r="J91" s="19" t="str">
        <f>IF($A91="","",SUMIFS('Registro de turnos'!$R$5:$R$504,'Registro de turnos'!$B$5:$B$504,$A91,'Registro de turnos'!$A$5:$A$504,"&gt;="&amp;$B$3,'Registro de turnos'!$A$5:$A$504,"&lt;="&amp;$B$4))</f>
        <v/>
      </c>
      <c r="K91" s="19" t="str">
        <f t="shared" si="12"/>
        <v/>
      </c>
      <c r="L91" s="17" t="str">
        <f>IF($A91="","",SUMIFS('Registro de turnos'!$T$5:$T$504,'Registro de turnos'!$B$5:$B$504,$A91,'Registro de turnos'!$A$5:$A$504,"&gt;="&amp;$B$3,'Registro de turnos'!$A$5:$A$504,"&lt;="&amp;$B$4))</f>
        <v/>
      </c>
      <c r="M91" s="17" t="str">
        <f t="shared" si="13"/>
        <v/>
      </c>
      <c r="N91" s="17" t="str">
        <f t="shared" si="14"/>
        <v/>
      </c>
      <c r="O91" s="17" t="str">
        <f t="shared" si="15"/>
        <v/>
      </c>
      <c r="P91" s="17" t="str">
        <f>IF($A91="","",ROUND(C91*D91*Parámetros!$B$8*0.0417,0))</f>
        <v/>
      </c>
      <c r="Q91" s="17" t="str">
        <f t="shared" si="16"/>
        <v/>
      </c>
      <c r="R91" s="17" t="str">
        <f t="shared" si="17"/>
        <v/>
      </c>
    </row>
    <row r="92" spans="1:18" x14ac:dyDescent="0.25">
      <c r="A92" s="22" t="str">
        <f>IF(Trabajadores!A90="","",Trabajadores!A90)</f>
        <v/>
      </c>
      <c r="B92" s="23" t="str">
        <f>IF(A92="","",Trabajadores!B90)</f>
        <v/>
      </c>
      <c r="C92" s="24" t="str">
        <f>IF(A92="","",Trabajadores!G90)</f>
        <v/>
      </c>
      <c r="D92" s="19" t="str">
        <f>IF($A92="","",SUMIFS('Registro de turnos'!$L$5:$L$504,'Registro de turnos'!$B$5:$B$504,$A92,'Registro de turnos'!$A$5:$A$504,"&gt;="&amp;$B$3,'Registro de turnos'!$A$5:$A$504,"&lt;="&amp;$B$4))</f>
        <v/>
      </c>
      <c r="E92" s="19" t="str">
        <f>IF($A92="","",SUMIFS('Registro de turnos'!$M$5:$M$504,'Registro de turnos'!$B$5:$B$504,$A92,'Registro de turnos'!$A$5:$A$504,"&gt;="&amp;$B$3,'Registro de turnos'!$A$5:$A$504,"&lt;="&amp;$B$4))</f>
        <v/>
      </c>
      <c r="F92" s="19" t="str">
        <f>IF($A92="","",SUMIFS('Registro de turnos'!$N$5:$N$504,'Registro de turnos'!$B$5:$B$504,$A92,'Registro de turnos'!$A$5:$A$504,"&gt;="&amp;$B$3,'Registro de turnos'!$A$5:$A$504,"&lt;="&amp;$B$4))</f>
        <v/>
      </c>
      <c r="G92" s="19" t="str">
        <f>IF($A92="","",SUMIFS('Registro de turnos'!$O$5:$O$504,'Registro de turnos'!$B$5:$B$504,$A92,'Registro de turnos'!$A$5:$A$504,"&gt;="&amp;$B$3,'Registro de turnos'!$A$5:$A$504,"&lt;="&amp;$B$4))</f>
        <v/>
      </c>
      <c r="H92" s="19" t="str">
        <f>IF($A92="","",SUMIFS('Registro de turnos'!$P$5:$P$504,'Registro de turnos'!$B$5:$B$504,$A92,'Registro de turnos'!$A$5:$A$504,"&gt;="&amp;$B$3,'Registro de turnos'!$A$5:$A$504,"&lt;="&amp;$B$4))</f>
        <v/>
      </c>
      <c r="I92" s="19" t="str">
        <f>IF($A92="","",SUMIFS('Registro de turnos'!$Q$5:$Q$504,'Registro de turnos'!$B$5:$B$504,$A92,'Registro de turnos'!$A$5:$A$504,"&gt;="&amp;$B$3,'Registro de turnos'!$A$5:$A$504,"&lt;="&amp;$B$4))</f>
        <v/>
      </c>
      <c r="J92" s="19" t="str">
        <f>IF($A92="","",SUMIFS('Registro de turnos'!$R$5:$R$504,'Registro de turnos'!$B$5:$B$504,$A92,'Registro de turnos'!$A$5:$A$504,"&gt;="&amp;$B$3,'Registro de turnos'!$A$5:$A$504,"&lt;="&amp;$B$4))</f>
        <v/>
      </c>
      <c r="K92" s="19" t="str">
        <f t="shared" si="12"/>
        <v/>
      </c>
      <c r="L92" s="17" t="str">
        <f>IF($A92="","",SUMIFS('Registro de turnos'!$T$5:$T$504,'Registro de turnos'!$B$5:$B$504,$A92,'Registro de turnos'!$A$5:$A$504,"&gt;="&amp;$B$3,'Registro de turnos'!$A$5:$A$504,"&lt;="&amp;$B$4))</f>
        <v/>
      </c>
      <c r="M92" s="17" t="str">
        <f t="shared" si="13"/>
        <v/>
      </c>
      <c r="N92" s="17" t="str">
        <f t="shared" si="14"/>
        <v/>
      </c>
      <c r="O92" s="17" t="str">
        <f t="shared" si="15"/>
        <v/>
      </c>
      <c r="P92" s="17" t="str">
        <f>IF($A92="","",ROUND(C92*D92*Parámetros!$B$8*0.0417,0))</f>
        <v/>
      </c>
      <c r="Q92" s="17" t="str">
        <f t="shared" si="16"/>
        <v/>
      </c>
      <c r="R92" s="17" t="str">
        <f t="shared" si="17"/>
        <v/>
      </c>
    </row>
    <row r="93" spans="1:18" x14ac:dyDescent="0.25">
      <c r="A93" s="22" t="str">
        <f>IF(Trabajadores!A91="","",Trabajadores!A91)</f>
        <v/>
      </c>
      <c r="B93" s="23" t="str">
        <f>IF(A93="","",Trabajadores!B91)</f>
        <v/>
      </c>
      <c r="C93" s="24" t="str">
        <f>IF(A93="","",Trabajadores!G91)</f>
        <v/>
      </c>
      <c r="D93" s="19" t="str">
        <f>IF($A93="","",SUMIFS('Registro de turnos'!$L$5:$L$504,'Registro de turnos'!$B$5:$B$504,$A93,'Registro de turnos'!$A$5:$A$504,"&gt;="&amp;$B$3,'Registro de turnos'!$A$5:$A$504,"&lt;="&amp;$B$4))</f>
        <v/>
      </c>
      <c r="E93" s="19" t="str">
        <f>IF($A93="","",SUMIFS('Registro de turnos'!$M$5:$M$504,'Registro de turnos'!$B$5:$B$504,$A93,'Registro de turnos'!$A$5:$A$504,"&gt;="&amp;$B$3,'Registro de turnos'!$A$5:$A$504,"&lt;="&amp;$B$4))</f>
        <v/>
      </c>
      <c r="F93" s="19" t="str">
        <f>IF($A93="","",SUMIFS('Registro de turnos'!$N$5:$N$504,'Registro de turnos'!$B$5:$B$504,$A93,'Registro de turnos'!$A$5:$A$504,"&gt;="&amp;$B$3,'Registro de turnos'!$A$5:$A$504,"&lt;="&amp;$B$4))</f>
        <v/>
      </c>
      <c r="G93" s="19" t="str">
        <f>IF($A93="","",SUMIFS('Registro de turnos'!$O$5:$O$504,'Registro de turnos'!$B$5:$B$504,$A93,'Registro de turnos'!$A$5:$A$504,"&gt;="&amp;$B$3,'Registro de turnos'!$A$5:$A$504,"&lt;="&amp;$B$4))</f>
        <v/>
      </c>
      <c r="H93" s="19" t="str">
        <f>IF($A93="","",SUMIFS('Registro de turnos'!$P$5:$P$504,'Registro de turnos'!$B$5:$B$504,$A93,'Registro de turnos'!$A$5:$A$504,"&gt;="&amp;$B$3,'Registro de turnos'!$A$5:$A$504,"&lt;="&amp;$B$4))</f>
        <v/>
      </c>
      <c r="I93" s="19" t="str">
        <f>IF($A93="","",SUMIFS('Registro de turnos'!$Q$5:$Q$504,'Registro de turnos'!$B$5:$B$504,$A93,'Registro de turnos'!$A$5:$A$504,"&gt;="&amp;$B$3,'Registro de turnos'!$A$5:$A$504,"&lt;="&amp;$B$4))</f>
        <v/>
      </c>
      <c r="J93" s="19" t="str">
        <f>IF($A93="","",SUMIFS('Registro de turnos'!$R$5:$R$504,'Registro de turnos'!$B$5:$B$504,$A93,'Registro de turnos'!$A$5:$A$504,"&gt;="&amp;$B$3,'Registro de turnos'!$A$5:$A$504,"&lt;="&amp;$B$4))</f>
        <v/>
      </c>
      <c r="K93" s="19" t="str">
        <f t="shared" si="12"/>
        <v/>
      </c>
      <c r="L93" s="17" t="str">
        <f>IF($A93="","",SUMIFS('Registro de turnos'!$T$5:$T$504,'Registro de turnos'!$B$5:$B$504,$A93,'Registro de turnos'!$A$5:$A$504,"&gt;="&amp;$B$3,'Registro de turnos'!$A$5:$A$504,"&lt;="&amp;$B$4))</f>
        <v/>
      </c>
      <c r="M93" s="17" t="str">
        <f t="shared" si="13"/>
        <v/>
      </c>
      <c r="N93" s="17" t="str">
        <f t="shared" si="14"/>
        <v/>
      </c>
      <c r="O93" s="17" t="str">
        <f t="shared" si="15"/>
        <v/>
      </c>
      <c r="P93" s="17" t="str">
        <f>IF($A93="","",ROUND(C93*D93*Parámetros!$B$8*0.0417,0))</f>
        <v/>
      </c>
      <c r="Q93" s="17" t="str">
        <f t="shared" si="16"/>
        <v/>
      </c>
      <c r="R93" s="17" t="str">
        <f t="shared" si="17"/>
        <v/>
      </c>
    </row>
    <row r="94" spans="1:18" x14ac:dyDescent="0.25">
      <c r="A94" s="22" t="str">
        <f>IF(Trabajadores!A92="","",Trabajadores!A92)</f>
        <v/>
      </c>
      <c r="B94" s="23" t="str">
        <f>IF(A94="","",Trabajadores!B92)</f>
        <v/>
      </c>
      <c r="C94" s="24" t="str">
        <f>IF(A94="","",Trabajadores!G92)</f>
        <v/>
      </c>
      <c r="D94" s="19" t="str">
        <f>IF($A94="","",SUMIFS('Registro de turnos'!$L$5:$L$504,'Registro de turnos'!$B$5:$B$504,$A94,'Registro de turnos'!$A$5:$A$504,"&gt;="&amp;$B$3,'Registro de turnos'!$A$5:$A$504,"&lt;="&amp;$B$4))</f>
        <v/>
      </c>
      <c r="E94" s="19" t="str">
        <f>IF($A94="","",SUMIFS('Registro de turnos'!$M$5:$M$504,'Registro de turnos'!$B$5:$B$504,$A94,'Registro de turnos'!$A$5:$A$504,"&gt;="&amp;$B$3,'Registro de turnos'!$A$5:$A$504,"&lt;="&amp;$B$4))</f>
        <v/>
      </c>
      <c r="F94" s="19" t="str">
        <f>IF($A94="","",SUMIFS('Registro de turnos'!$N$5:$N$504,'Registro de turnos'!$B$5:$B$504,$A94,'Registro de turnos'!$A$5:$A$504,"&gt;="&amp;$B$3,'Registro de turnos'!$A$5:$A$504,"&lt;="&amp;$B$4))</f>
        <v/>
      </c>
      <c r="G94" s="19" t="str">
        <f>IF($A94="","",SUMIFS('Registro de turnos'!$O$5:$O$504,'Registro de turnos'!$B$5:$B$504,$A94,'Registro de turnos'!$A$5:$A$504,"&gt;="&amp;$B$3,'Registro de turnos'!$A$5:$A$504,"&lt;="&amp;$B$4))</f>
        <v/>
      </c>
      <c r="H94" s="19" t="str">
        <f>IF($A94="","",SUMIFS('Registro de turnos'!$P$5:$P$504,'Registro de turnos'!$B$5:$B$504,$A94,'Registro de turnos'!$A$5:$A$504,"&gt;="&amp;$B$3,'Registro de turnos'!$A$5:$A$504,"&lt;="&amp;$B$4))</f>
        <v/>
      </c>
      <c r="I94" s="19" t="str">
        <f>IF($A94="","",SUMIFS('Registro de turnos'!$Q$5:$Q$504,'Registro de turnos'!$B$5:$B$504,$A94,'Registro de turnos'!$A$5:$A$504,"&gt;="&amp;$B$3,'Registro de turnos'!$A$5:$A$504,"&lt;="&amp;$B$4))</f>
        <v/>
      </c>
      <c r="J94" s="19" t="str">
        <f>IF($A94="","",SUMIFS('Registro de turnos'!$R$5:$R$504,'Registro de turnos'!$B$5:$B$504,$A94,'Registro de turnos'!$A$5:$A$504,"&gt;="&amp;$B$3,'Registro de turnos'!$A$5:$A$504,"&lt;="&amp;$B$4))</f>
        <v/>
      </c>
      <c r="K94" s="19" t="str">
        <f t="shared" si="12"/>
        <v/>
      </c>
      <c r="L94" s="17" t="str">
        <f>IF($A94="","",SUMIFS('Registro de turnos'!$T$5:$T$504,'Registro de turnos'!$B$5:$B$504,$A94,'Registro de turnos'!$A$5:$A$504,"&gt;="&amp;$B$3,'Registro de turnos'!$A$5:$A$504,"&lt;="&amp;$B$4))</f>
        <v/>
      </c>
      <c r="M94" s="17" t="str">
        <f t="shared" si="13"/>
        <v/>
      </c>
      <c r="N94" s="17" t="str">
        <f t="shared" si="14"/>
        <v/>
      </c>
      <c r="O94" s="17" t="str">
        <f t="shared" si="15"/>
        <v/>
      </c>
      <c r="P94" s="17" t="str">
        <f>IF($A94="","",ROUND(C94*D94*Parámetros!$B$8*0.0417,0))</f>
        <v/>
      </c>
      <c r="Q94" s="17" t="str">
        <f t="shared" si="16"/>
        <v/>
      </c>
      <c r="R94" s="17" t="str">
        <f t="shared" si="17"/>
        <v/>
      </c>
    </row>
    <row r="95" spans="1:18" x14ac:dyDescent="0.25">
      <c r="A95" s="22" t="str">
        <f>IF(Trabajadores!A93="","",Trabajadores!A93)</f>
        <v/>
      </c>
      <c r="B95" s="23" t="str">
        <f>IF(A95="","",Trabajadores!B93)</f>
        <v/>
      </c>
      <c r="C95" s="24" t="str">
        <f>IF(A95="","",Trabajadores!G93)</f>
        <v/>
      </c>
      <c r="D95" s="19" t="str">
        <f>IF($A95="","",SUMIFS('Registro de turnos'!$L$5:$L$504,'Registro de turnos'!$B$5:$B$504,$A95,'Registro de turnos'!$A$5:$A$504,"&gt;="&amp;$B$3,'Registro de turnos'!$A$5:$A$504,"&lt;="&amp;$B$4))</f>
        <v/>
      </c>
      <c r="E95" s="19" t="str">
        <f>IF($A95="","",SUMIFS('Registro de turnos'!$M$5:$M$504,'Registro de turnos'!$B$5:$B$504,$A95,'Registro de turnos'!$A$5:$A$504,"&gt;="&amp;$B$3,'Registro de turnos'!$A$5:$A$504,"&lt;="&amp;$B$4))</f>
        <v/>
      </c>
      <c r="F95" s="19" t="str">
        <f>IF($A95="","",SUMIFS('Registro de turnos'!$N$5:$N$504,'Registro de turnos'!$B$5:$B$504,$A95,'Registro de turnos'!$A$5:$A$504,"&gt;="&amp;$B$3,'Registro de turnos'!$A$5:$A$504,"&lt;="&amp;$B$4))</f>
        <v/>
      </c>
      <c r="G95" s="19" t="str">
        <f>IF($A95="","",SUMIFS('Registro de turnos'!$O$5:$O$504,'Registro de turnos'!$B$5:$B$504,$A95,'Registro de turnos'!$A$5:$A$504,"&gt;="&amp;$B$3,'Registro de turnos'!$A$5:$A$504,"&lt;="&amp;$B$4))</f>
        <v/>
      </c>
      <c r="H95" s="19" t="str">
        <f>IF($A95="","",SUMIFS('Registro de turnos'!$P$5:$P$504,'Registro de turnos'!$B$5:$B$504,$A95,'Registro de turnos'!$A$5:$A$504,"&gt;="&amp;$B$3,'Registro de turnos'!$A$5:$A$504,"&lt;="&amp;$B$4))</f>
        <v/>
      </c>
      <c r="I95" s="19" t="str">
        <f>IF($A95="","",SUMIFS('Registro de turnos'!$Q$5:$Q$504,'Registro de turnos'!$B$5:$B$504,$A95,'Registro de turnos'!$A$5:$A$504,"&gt;="&amp;$B$3,'Registro de turnos'!$A$5:$A$504,"&lt;="&amp;$B$4))</f>
        <v/>
      </c>
      <c r="J95" s="19" t="str">
        <f>IF($A95="","",SUMIFS('Registro de turnos'!$R$5:$R$504,'Registro de turnos'!$B$5:$B$504,$A95,'Registro de turnos'!$A$5:$A$504,"&gt;="&amp;$B$3,'Registro de turnos'!$A$5:$A$504,"&lt;="&amp;$B$4))</f>
        <v/>
      </c>
      <c r="K95" s="19" t="str">
        <f t="shared" si="12"/>
        <v/>
      </c>
      <c r="L95" s="17" t="str">
        <f>IF($A95="","",SUMIFS('Registro de turnos'!$T$5:$T$504,'Registro de turnos'!$B$5:$B$504,$A95,'Registro de turnos'!$A$5:$A$504,"&gt;="&amp;$B$3,'Registro de turnos'!$A$5:$A$504,"&lt;="&amp;$B$4))</f>
        <v/>
      </c>
      <c r="M95" s="17" t="str">
        <f t="shared" si="13"/>
        <v/>
      </c>
      <c r="N95" s="17" t="str">
        <f t="shared" si="14"/>
        <v/>
      </c>
      <c r="O95" s="17" t="str">
        <f t="shared" si="15"/>
        <v/>
      </c>
      <c r="P95" s="17" t="str">
        <f>IF($A95="","",ROUND(C95*D95*Parámetros!$B$8*0.0417,0))</f>
        <v/>
      </c>
      <c r="Q95" s="17" t="str">
        <f t="shared" si="16"/>
        <v/>
      </c>
      <c r="R95" s="17" t="str">
        <f t="shared" si="17"/>
        <v/>
      </c>
    </row>
    <row r="96" spans="1:18" x14ac:dyDescent="0.25">
      <c r="A96" s="22" t="str">
        <f>IF(Trabajadores!A94="","",Trabajadores!A94)</f>
        <v/>
      </c>
      <c r="B96" s="23" t="str">
        <f>IF(A96="","",Trabajadores!B94)</f>
        <v/>
      </c>
      <c r="C96" s="24" t="str">
        <f>IF(A96="","",Trabajadores!G94)</f>
        <v/>
      </c>
      <c r="D96" s="19" t="str">
        <f>IF($A96="","",SUMIFS('Registro de turnos'!$L$5:$L$504,'Registro de turnos'!$B$5:$B$504,$A96,'Registro de turnos'!$A$5:$A$504,"&gt;="&amp;$B$3,'Registro de turnos'!$A$5:$A$504,"&lt;="&amp;$B$4))</f>
        <v/>
      </c>
      <c r="E96" s="19" t="str">
        <f>IF($A96="","",SUMIFS('Registro de turnos'!$M$5:$M$504,'Registro de turnos'!$B$5:$B$504,$A96,'Registro de turnos'!$A$5:$A$504,"&gt;="&amp;$B$3,'Registro de turnos'!$A$5:$A$504,"&lt;="&amp;$B$4))</f>
        <v/>
      </c>
      <c r="F96" s="19" t="str">
        <f>IF($A96="","",SUMIFS('Registro de turnos'!$N$5:$N$504,'Registro de turnos'!$B$5:$B$504,$A96,'Registro de turnos'!$A$5:$A$504,"&gt;="&amp;$B$3,'Registro de turnos'!$A$5:$A$504,"&lt;="&amp;$B$4))</f>
        <v/>
      </c>
      <c r="G96" s="19" t="str">
        <f>IF($A96="","",SUMIFS('Registro de turnos'!$O$5:$O$504,'Registro de turnos'!$B$5:$B$504,$A96,'Registro de turnos'!$A$5:$A$504,"&gt;="&amp;$B$3,'Registro de turnos'!$A$5:$A$504,"&lt;="&amp;$B$4))</f>
        <v/>
      </c>
      <c r="H96" s="19" t="str">
        <f>IF($A96="","",SUMIFS('Registro de turnos'!$P$5:$P$504,'Registro de turnos'!$B$5:$B$504,$A96,'Registro de turnos'!$A$5:$A$504,"&gt;="&amp;$B$3,'Registro de turnos'!$A$5:$A$504,"&lt;="&amp;$B$4))</f>
        <v/>
      </c>
      <c r="I96" s="19" t="str">
        <f>IF($A96="","",SUMIFS('Registro de turnos'!$Q$5:$Q$504,'Registro de turnos'!$B$5:$B$504,$A96,'Registro de turnos'!$A$5:$A$504,"&gt;="&amp;$B$3,'Registro de turnos'!$A$5:$A$504,"&lt;="&amp;$B$4))</f>
        <v/>
      </c>
      <c r="J96" s="19" t="str">
        <f>IF($A96="","",SUMIFS('Registro de turnos'!$R$5:$R$504,'Registro de turnos'!$B$5:$B$504,$A96,'Registro de turnos'!$A$5:$A$504,"&gt;="&amp;$B$3,'Registro de turnos'!$A$5:$A$504,"&lt;="&amp;$B$4))</f>
        <v/>
      </c>
      <c r="K96" s="19" t="str">
        <f t="shared" si="12"/>
        <v/>
      </c>
      <c r="L96" s="17" t="str">
        <f>IF($A96="","",SUMIFS('Registro de turnos'!$T$5:$T$504,'Registro de turnos'!$B$5:$B$504,$A96,'Registro de turnos'!$A$5:$A$504,"&gt;="&amp;$B$3,'Registro de turnos'!$A$5:$A$504,"&lt;="&amp;$B$4))</f>
        <v/>
      </c>
      <c r="M96" s="17" t="str">
        <f t="shared" si="13"/>
        <v/>
      </c>
      <c r="N96" s="17" t="str">
        <f t="shared" si="14"/>
        <v/>
      </c>
      <c r="O96" s="17" t="str">
        <f t="shared" si="15"/>
        <v/>
      </c>
      <c r="P96" s="17" t="str">
        <f>IF($A96="","",ROUND(C96*D96*Parámetros!$B$8*0.0417,0))</f>
        <v/>
      </c>
      <c r="Q96" s="17" t="str">
        <f t="shared" si="16"/>
        <v/>
      </c>
      <c r="R96" s="17" t="str">
        <f t="shared" si="17"/>
        <v/>
      </c>
    </row>
    <row r="97" spans="1:18" x14ac:dyDescent="0.25">
      <c r="A97" s="22" t="str">
        <f>IF(Trabajadores!A95="","",Trabajadores!A95)</f>
        <v/>
      </c>
      <c r="B97" s="23" t="str">
        <f>IF(A97="","",Trabajadores!B95)</f>
        <v/>
      </c>
      <c r="C97" s="24" t="str">
        <f>IF(A97="","",Trabajadores!G95)</f>
        <v/>
      </c>
      <c r="D97" s="19" t="str">
        <f>IF($A97="","",SUMIFS('Registro de turnos'!$L$5:$L$504,'Registro de turnos'!$B$5:$B$504,$A97,'Registro de turnos'!$A$5:$A$504,"&gt;="&amp;$B$3,'Registro de turnos'!$A$5:$A$504,"&lt;="&amp;$B$4))</f>
        <v/>
      </c>
      <c r="E97" s="19" t="str">
        <f>IF($A97="","",SUMIFS('Registro de turnos'!$M$5:$M$504,'Registro de turnos'!$B$5:$B$504,$A97,'Registro de turnos'!$A$5:$A$504,"&gt;="&amp;$B$3,'Registro de turnos'!$A$5:$A$504,"&lt;="&amp;$B$4))</f>
        <v/>
      </c>
      <c r="F97" s="19" t="str">
        <f>IF($A97="","",SUMIFS('Registro de turnos'!$N$5:$N$504,'Registro de turnos'!$B$5:$B$504,$A97,'Registro de turnos'!$A$5:$A$504,"&gt;="&amp;$B$3,'Registro de turnos'!$A$5:$A$504,"&lt;="&amp;$B$4))</f>
        <v/>
      </c>
      <c r="G97" s="19" t="str">
        <f>IF($A97="","",SUMIFS('Registro de turnos'!$O$5:$O$504,'Registro de turnos'!$B$5:$B$504,$A97,'Registro de turnos'!$A$5:$A$504,"&gt;="&amp;$B$3,'Registro de turnos'!$A$5:$A$504,"&lt;="&amp;$B$4))</f>
        <v/>
      </c>
      <c r="H97" s="19" t="str">
        <f>IF($A97="","",SUMIFS('Registro de turnos'!$P$5:$P$504,'Registro de turnos'!$B$5:$B$504,$A97,'Registro de turnos'!$A$5:$A$504,"&gt;="&amp;$B$3,'Registro de turnos'!$A$5:$A$504,"&lt;="&amp;$B$4))</f>
        <v/>
      </c>
      <c r="I97" s="19" t="str">
        <f>IF($A97="","",SUMIFS('Registro de turnos'!$Q$5:$Q$504,'Registro de turnos'!$B$5:$B$504,$A97,'Registro de turnos'!$A$5:$A$504,"&gt;="&amp;$B$3,'Registro de turnos'!$A$5:$A$504,"&lt;="&amp;$B$4))</f>
        <v/>
      </c>
      <c r="J97" s="19" t="str">
        <f>IF($A97="","",SUMIFS('Registro de turnos'!$R$5:$R$504,'Registro de turnos'!$B$5:$B$504,$A97,'Registro de turnos'!$A$5:$A$504,"&gt;="&amp;$B$3,'Registro de turnos'!$A$5:$A$504,"&lt;="&amp;$B$4))</f>
        <v/>
      </c>
      <c r="K97" s="19" t="str">
        <f t="shared" si="12"/>
        <v/>
      </c>
      <c r="L97" s="17" t="str">
        <f>IF($A97="","",SUMIFS('Registro de turnos'!$T$5:$T$504,'Registro de turnos'!$B$5:$B$504,$A97,'Registro de turnos'!$A$5:$A$504,"&gt;="&amp;$B$3,'Registro de turnos'!$A$5:$A$504,"&lt;="&amp;$B$4))</f>
        <v/>
      </c>
      <c r="M97" s="17" t="str">
        <f t="shared" si="13"/>
        <v/>
      </c>
      <c r="N97" s="17" t="str">
        <f t="shared" si="14"/>
        <v/>
      </c>
      <c r="O97" s="17" t="str">
        <f t="shared" si="15"/>
        <v/>
      </c>
      <c r="P97" s="17" t="str">
        <f>IF($A97="","",ROUND(C97*D97*Parámetros!$B$8*0.0417,0))</f>
        <v/>
      </c>
      <c r="Q97" s="17" t="str">
        <f t="shared" si="16"/>
        <v/>
      </c>
      <c r="R97" s="17" t="str">
        <f t="shared" si="17"/>
        <v/>
      </c>
    </row>
    <row r="98" spans="1:18" x14ac:dyDescent="0.25">
      <c r="A98" s="22" t="str">
        <f>IF(Trabajadores!A96="","",Trabajadores!A96)</f>
        <v/>
      </c>
      <c r="B98" s="23" t="str">
        <f>IF(A98="","",Trabajadores!B96)</f>
        <v/>
      </c>
      <c r="C98" s="24" t="str">
        <f>IF(A98="","",Trabajadores!G96)</f>
        <v/>
      </c>
      <c r="D98" s="19" t="str">
        <f>IF($A98="","",SUMIFS('Registro de turnos'!$L$5:$L$504,'Registro de turnos'!$B$5:$B$504,$A98,'Registro de turnos'!$A$5:$A$504,"&gt;="&amp;$B$3,'Registro de turnos'!$A$5:$A$504,"&lt;="&amp;$B$4))</f>
        <v/>
      </c>
      <c r="E98" s="19" t="str">
        <f>IF($A98="","",SUMIFS('Registro de turnos'!$M$5:$M$504,'Registro de turnos'!$B$5:$B$504,$A98,'Registro de turnos'!$A$5:$A$504,"&gt;="&amp;$B$3,'Registro de turnos'!$A$5:$A$504,"&lt;="&amp;$B$4))</f>
        <v/>
      </c>
      <c r="F98" s="19" t="str">
        <f>IF($A98="","",SUMIFS('Registro de turnos'!$N$5:$N$504,'Registro de turnos'!$B$5:$B$504,$A98,'Registro de turnos'!$A$5:$A$504,"&gt;="&amp;$B$3,'Registro de turnos'!$A$5:$A$504,"&lt;="&amp;$B$4))</f>
        <v/>
      </c>
      <c r="G98" s="19" t="str">
        <f>IF($A98="","",SUMIFS('Registro de turnos'!$O$5:$O$504,'Registro de turnos'!$B$5:$B$504,$A98,'Registro de turnos'!$A$5:$A$504,"&gt;="&amp;$B$3,'Registro de turnos'!$A$5:$A$504,"&lt;="&amp;$B$4))</f>
        <v/>
      </c>
      <c r="H98" s="19" t="str">
        <f>IF($A98="","",SUMIFS('Registro de turnos'!$P$5:$P$504,'Registro de turnos'!$B$5:$B$504,$A98,'Registro de turnos'!$A$5:$A$504,"&gt;="&amp;$B$3,'Registro de turnos'!$A$5:$A$504,"&lt;="&amp;$B$4))</f>
        <v/>
      </c>
      <c r="I98" s="19" t="str">
        <f>IF($A98="","",SUMIFS('Registro de turnos'!$Q$5:$Q$504,'Registro de turnos'!$B$5:$B$504,$A98,'Registro de turnos'!$A$5:$A$504,"&gt;="&amp;$B$3,'Registro de turnos'!$A$5:$A$504,"&lt;="&amp;$B$4))</f>
        <v/>
      </c>
      <c r="J98" s="19" t="str">
        <f>IF($A98="","",SUMIFS('Registro de turnos'!$R$5:$R$504,'Registro de turnos'!$B$5:$B$504,$A98,'Registro de turnos'!$A$5:$A$504,"&gt;="&amp;$B$3,'Registro de turnos'!$A$5:$A$504,"&lt;="&amp;$B$4))</f>
        <v/>
      </c>
      <c r="K98" s="19" t="str">
        <f t="shared" si="12"/>
        <v/>
      </c>
      <c r="L98" s="17" t="str">
        <f>IF($A98="","",SUMIFS('Registro de turnos'!$T$5:$T$504,'Registro de turnos'!$B$5:$B$504,$A98,'Registro de turnos'!$A$5:$A$504,"&gt;="&amp;$B$3,'Registro de turnos'!$A$5:$A$504,"&lt;="&amp;$B$4))</f>
        <v/>
      </c>
      <c r="M98" s="17" t="str">
        <f t="shared" si="13"/>
        <v/>
      </c>
      <c r="N98" s="17" t="str">
        <f t="shared" si="14"/>
        <v/>
      </c>
      <c r="O98" s="17" t="str">
        <f t="shared" si="15"/>
        <v/>
      </c>
      <c r="P98" s="17" t="str">
        <f>IF($A98="","",ROUND(C98*D98*Parámetros!$B$8*0.0417,0))</f>
        <v/>
      </c>
      <c r="Q98" s="17" t="str">
        <f t="shared" si="16"/>
        <v/>
      </c>
      <c r="R98" s="17" t="str">
        <f t="shared" si="17"/>
        <v/>
      </c>
    </row>
    <row r="99" spans="1:18" x14ac:dyDescent="0.25">
      <c r="A99" s="22" t="str">
        <f>IF(Trabajadores!A97="","",Trabajadores!A97)</f>
        <v/>
      </c>
      <c r="B99" s="23" t="str">
        <f>IF(A99="","",Trabajadores!B97)</f>
        <v/>
      </c>
      <c r="C99" s="24" t="str">
        <f>IF(A99="","",Trabajadores!G97)</f>
        <v/>
      </c>
      <c r="D99" s="19" t="str">
        <f>IF($A99="","",SUMIFS('Registro de turnos'!$L$5:$L$504,'Registro de turnos'!$B$5:$B$504,$A99,'Registro de turnos'!$A$5:$A$504,"&gt;="&amp;$B$3,'Registro de turnos'!$A$5:$A$504,"&lt;="&amp;$B$4))</f>
        <v/>
      </c>
      <c r="E99" s="19" t="str">
        <f>IF($A99="","",SUMIFS('Registro de turnos'!$M$5:$M$504,'Registro de turnos'!$B$5:$B$504,$A99,'Registro de turnos'!$A$5:$A$504,"&gt;="&amp;$B$3,'Registro de turnos'!$A$5:$A$504,"&lt;="&amp;$B$4))</f>
        <v/>
      </c>
      <c r="F99" s="19" t="str">
        <f>IF($A99="","",SUMIFS('Registro de turnos'!$N$5:$N$504,'Registro de turnos'!$B$5:$B$504,$A99,'Registro de turnos'!$A$5:$A$504,"&gt;="&amp;$B$3,'Registro de turnos'!$A$5:$A$504,"&lt;="&amp;$B$4))</f>
        <v/>
      </c>
      <c r="G99" s="19" t="str">
        <f>IF($A99="","",SUMIFS('Registro de turnos'!$O$5:$O$504,'Registro de turnos'!$B$5:$B$504,$A99,'Registro de turnos'!$A$5:$A$504,"&gt;="&amp;$B$3,'Registro de turnos'!$A$5:$A$504,"&lt;="&amp;$B$4))</f>
        <v/>
      </c>
      <c r="H99" s="19" t="str">
        <f>IF($A99="","",SUMIFS('Registro de turnos'!$P$5:$P$504,'Registro de turnos'!$B$5:$B$504,$A99,'Registro de turnos'!$A$5:$A$504,"&gt;="&amp;$B$3,'Registro de turnos'!$A$5:$A$504,"&lt;="&amp;$B$4))</f>
        <v/>
      </c>
      <c r="I99" s="19" t="str">
        <f>IF($A99="","",SUMIFS('Registro de turnos'!$Q$5:$Q$504,'Registro de turnos'!$B$5:$B$504,$A99,'Registro de turnos'!$A$5:$A$504,"&gt;="&amp;$B$3,'Registro de turnos'!$A$5:$A$504,"&lt;="&amp;$B$4))</f>
        <v/>
      </c>
      <c r="J99" s="19" t="str">
        <f>IF($A99="","",SUMIFS('Registro de turnos'!$R$5:$R$504,'Registro de turnos'!$B$5:$B$504,$A99,'Registro de turnos'!$A$5:$A$504,"&gt;="&amp;$B$3,'Registro de turnos'!$A$5:$A$504,"&lt;="&amp;$B$4))</f>
        <v/>
      </c>
      <c r="K99" s="19" t="str">
        <f t="shared" si="12"/>
        <v/>
      </c>
      <c r="L99" s="17" t="str">
        <f>IF($A99="","",SUMIFS('Registro de turnos'!$T$5:$T$504,'Registro de turnos'!$B$5:$B$504,$A99,'Registro de turnos'!$A$5:$A$504,"&gt;="&amp;$B$3,'Registro de turnos'!$A$5:$A$504,"&lt;="&amp;$B$4))</f>
        <v/>
      </c>
      <c r="M99" s="17" t="str">
        <f t="shared" si="13"/>
        <v/>
      </c>
      <c r="N99" s="17" t="str">
        <f t="shared" si="14"/>
        <v/>
      </c>
      <c r="O99" s="17" t="str">
        <f t="shared" si="15"/>
        <v/>
      </c>
      <c r="P99" s="17" t="str">
        <f>IF($A99="","",ROUND(C99*D99*Parámetros!$B$8*0.0417,0))</f>
        <v/>
      </c>
      <c r="Q99" s="17" t="str">
        <f t="shared" si="16"/>
        <v/>
      </c>
      <c r="R99" s="17" t="str">
        <f t="shared" si="17"/>
        <v/>
      </c>
    </row>
    <row r="100" spans="1:18" x14ac:dyDescent="0.25">
      <c r="A100" s="22" t="str">
        <f>IF(Trabajadores!A98="","",Trabajadores!A98)</f>
        <v/>
      </c>
      <c r="B100" s="23" t="str">
        <f>IF(A100="","",Trabajadores!B98)</f>
        <v/>
      </c>
      <c r="C100" s="24" t="str">
        <f>IF(A100="","",Trabajadores!G98)</f>
        <v/>
      </c>
      <c r="D100" s="19" t="str">
        <f>IF($A100="","",SUMIFS('Registro de turnos'!$L$5:$L$504,'Registro de turnos'!$B$5:$B$504,$A100,'Registro de turnos'!$A$5:$A$504,"&gt;="&amp;$B$3,'Registro de turnos'!$A$5:$A$504,"&lt;="&amp;$B$4))</f>
        <v/>
      </c>
      <c r="E100" s="19" t="str">
        <f>IF($A100="","",SUMIFS('Registro de turnos'!$M$5:$M$504,'Registro de turnos'!$B$5:$B$504,$A100,'Registro de turnos'!$A$5:$A$504,"&gt;="&amp;$B$3,'Registro de turnos'!$A$5:$A$504,"&lt;="&amp;$B$4))</f>
        <v/>
      </c>
      <c r="F100" s="19" t="str">
        <f>IF($A100="","",SUMIFS('Registro de turnos'!$N$5:$N$504,'Registro de turnos'!$B$5:$B$504,$A100,'Registro de turnos'!$A$5:$A$504,"&gt;="&amp;$B$3,'Registro de turnos'!$A$5:$A$504,"&lt;="&amp;$B$4))</f>
        <v/>
      </c>
      <c r="G100" s="19" t="str">
        <f>IF($A100="","",SUMIFS('Registro de turnos'!$O$5:$O$504,'Registro de turnos'!$B$5:$B$504,$A100,'Registro de turnos'!$A$5:$A$504,"&gt;="&amp;$B$3,'Registro de turnos'!$A$5:$A$504,"&lt;="&amp;$B$4))</f>
        <v/>
      </c>
      <c r="H100" s="19" t="str">
        <f>IF($A100="","",SUMIFS('Registro de turnos'!$P$5:$P$504,'Registro de turnos'!$B$5:$B$504,$A100,'Registro de turnos'!$A$5:$A$504,"&gt;="&amp;$B$3,'Registro de turnos'!$A$5:$A$504,"&lt;="&amp;$B$4))</f>
        <v/>
      </c>
      <c r="I100" s="19" t="str">
        <f>IF($A100="","",SUMIFS('Registro de turnos'!$Q$5:$Q$504,'Registro de turnos'!$B$5:$B$504,$A100,'Registro de turnos'!$A$5:$A$504,"&gt;="&amp;$B$3,'Registro de turnos'!$A$5:$A$504,"&lt;="&amp;$B$4))</f>
        <v/>
      </c>
      <c r="J100" s="19" t="str">
        <f>IF($A100="","",SUMIFS('Registro de turnos'!$R$5:$R$504,'Registro de turnos'!$B$5:$B$504,$A100,'Registro de turnos'!$A$5:$A$504,"&gt;="&amp;$B$3,'Registro de turnos'!$A$5:$A$504,"&lt;="&amp;$B$4))</f>
        <v/>
      </c>
      <c r="K100" s="19" t="str">
        <f t="shared" si="12"/>
        <v/>
      </c>
      <c r="L100" s="17" t="str">
        <f>IF($A100="","",SUMIFS('Registro de turnos'!$T$5:$T$504,'Registro de turnos'!$B$5:$B$504,$A100,'Registro de turnos'!$A$5:$A$504,"&gt;="&amp;$B$3,'Registro de turnos'!$A$5:$A$504,"&lt;="&amp;$B$4))</f>
        <v/>
      </c>
      <c r="M100" s="17" t="str">
        <f t="shared" si="13"/>
        <v/>
      </c>
      <c r="N100" s="17" t="str">
        <f t="shared" si="14"/>
        <v/>
      </c>
      <c r="O100" s="17" t="str">
        <f t="shared" si="15"/>
        <v/>
      </c>
      <c r="P100" s="17" t="str">
        <f>IF($A100="","",ROUND(C100*D100*Parámetros!$B$8*0.0417,0))</f>
        <v/>
      </c>
      <c r="Q100" s="17" t="str">
        <f t="shared" si="16"/>
        <v/>
      </c>
      <c r="R100" s="17" t="str">
        <f t="shared" si="17"/>
        <v/>
      </c>
    </row>
    <row r="101" spans="1:18" x14ac:dyDescent="0.25">
      <c r="A101" s="22" t="str">
        <f>IF(Trabajadores!A99="","",Trabajadores!A99)</f>
        <v/>
      </c>
      <c r="B101" s="23" t="str">
        <f>IF(A101="","",Trabajadores!B99)</f>
        <v/>
      </c>
      <c r="C101" s="24" t="str">
        <f>IF(A101="","",Trabajadores!G99)</f>
        <v/>
      </c>
      <c r="D101" s="19" t="str">
        <f>IF($A101="","",SUMIFS('Registro de turnos'!$L$5:$L$504,'Registro de turnos'!$B$5:$B$504,$A101,'Registro de turnos'!$A$5:$A$504,"&gt;="&amp;$B$3,'Registro de turnos'!$A$5:$A$504,"&lt;="&amp;$B$4))</f>
        <v/>
      </c>
      <c r="E101" s="19" t="str">
        <f>IF($A101="","",SUMIFS('Registro de turnos'!$M$5:$M$504,'Registro de turnos'!$B$5:$B$504,$A101,'Registro de turnos'!$A$5:$A$504,"&gt;="&amp;$B$3,'Registro de turnos'!$A$5:$A$504,"&lt;="&amp;$B$4))</f>
        <v/>
      </c>
      <c r="F101" s="19" t="str">
        <f>IF($A101="","",SUMIFS('Registro de turnos'!$N$5:$N$504,'Registro de turnos'!$B$5:$B$504,$A101,'Registro de turnos'!$A$5:$A$504,"&gt;="&amp;$B$3,'Registro de turnos'!$A$5:$A$504,"&lt;="&amp;$B$4))</f>
        <v/>
      </c>
      <c r="G101" s="19" t="str">
        <f>IF($A101="","",SUMIFS('Registro de turnos'!$O$5:$O$504,'Registro de turnos'!$B$5:$B$504,$A101,'Registro de turnos'!$A$5:$A$504,"&gt;="&amp;$B$3,'Registro de turnos'!$A$5:$A$504,"&lt;="&amp;$B$4))</f>
        <v/>
      </c>
      <c r="H101" s="19" t="str">
        <f>IF($A101="","",SUMIFS('Registro de turnos'!$P$5:$P$504,'Registro de turnos'!$B$5:$B$504,$A101,'Registro de turnos'!$A$5:$A$504,"&gt;="&amp;$B$3,'Registro de turnos'!$A$5:$A$504,"&lt;="&amp;$B$4))</f>
        <v/>
      </c>
      <c r="I101" s="19" t="str">
        <f>IF($A101="","",SUMIFS('Registro de turnos'!$Q$5:$Q$504,'Registro de turnos'!$B$5:$B$504,$A101,'Registro de turnos'!$A$5:$A$504,"&gt;="&amp;$B$3,'Registro de turnos'!$A$5:$A$504,"&lt;="&amp;$B$4))</f>
        <v/>
      </c>
      <c r="J101" s="19" t="str">
        <f>IF($A101="","",SUMIFS('Registro de turnos'!$R$5:$R$504,'Registro de turnos'!$B$5:$B$504,$A101,'Registro de turnos'!$A$5:$A$504,"&gt;="&amp;$B$3,'Registro de turnos'!$A$5:$A$504,"&lt;="&amp;$B$4))</f>
        <v/>
      </c>
      <c r="K101" s="19" t="str">
        <f t="shared" si="12"/>
        <v/>
      </c>
      <c r="L101" s="17" t="str">
        <f>IF($A101="","",SUMIFS('Registro de turnos'!$T$5:$T$504,'Registro de turnos'!$B$5:$B$504,$A101,'Registro de turnos'!$A$5:$A$504,"&gt;="&amp;$B$3,'Registro de turnos'!$A$5:$A$504,"&lt;="&amp;$B$4))</f>
        <v/>
      </c>
      <c r="M101" s="17" t="str">
        <f t="shared" si="13"/>
        <v/>
      </c>
      <c r="N101" s="17" t="str">
        <f t="shared" si="14"/>
        <v/>
      </c>
      <c r="O101" s="17" t="str">
        <f t="shared" si="15"/>
        <v/>
      </c>
      <c r="P101" s="17" t="str">
        <f>IF($A101="","",ROUND(C101*D101*Parámetros!$B$8*0.0417,0))</f>
        <v/>
      </c>
      <c r="Q101" s="17" t="str">
        <f t="shared" si="16"/>
        <v/>
      </c>
      <c r="R101" s="17" t="str">
        <f t="shared" si="17"/>
        <v/>
      </c>
    </row>
    <row r="102" spans="1:18" x14ac:dyDescent="0.25">
      <c r="A102" s="22" t="str">
        <f>IF(Trabajadores!A100="","",Trabajadores!A100)</f>
        <v/>
      </c>
      <c r="B102" s="23" t="str">
        <f>IF(A102="","",Trabajadores!B100)</f>
        <v/>
      </c>
      <c r="C102" s="24" t="str">
        <f>IF(A102="","",Trabajadores!G100)</f>
        <v/>
      </c>
      <c r="D102" s="19" t="str">
        <f>IF($A102="","",SUMIFS('Registro de turnos'!$L$5:$L$504,'Registro de turnos'!$B$5:$B$504,$A102,'Registro de turnos'!$A$5:$A$504,"&gt;="&amp;$B$3,'Registro de turnos'!$A$5:$A$504,"&lt;="&amp;$B$4))</f>
        <v/>
      </c>
      <c r="E102" s="19" t="str">
        <f>IF($A102="","",SUMIFS('Registro de turnos'!$M$5:$M$504,'Registro de turnos'!$B$5:$B$504,$A102,'Registro de turnos'!$A$5:$A$504,"&gt;="&amp;$B$3,'Registro de turnos'!$A$5:$A$504,"&lt;="&amp;$B$4))</f>
        <v/>
      </c>
      <c r="F102" s="19" t="str">
        <f>IF($A102="","",SUMIFS('Registro de turnos'!$N$5:$N$504,'Registro de turnos'!$B$5:$B$504,$A102,'Registro de turnos'!$A$5:$A$504,"&gt;="&amp;$B$3,'Registro de turnos'!$A$5:$A$504,"&lt;="&amp;$B$4))</f>
        <v/>
      </c>
      <c r="G102" s="19" t="str">
        <f>IF($A102="","",SUMIFS('Registro de turnos'!$O$5:$O$504,'Registro de turnos'!$B$5:$B$504,$A102,'Registro de turnos'!$A$5:$A$504,"&gt;="&amp;$B$3,'Registro de turnos'!$A$5:$A$504,"&lt;="&amp;$B$4))</f>
        <v/>
      </c>
      <c r="H102" s="19" t="str">
        <f>IF($A102="","",SUMIFS('Registro de turnos'!$P$5:$P$504,'Registro de turnos'!$B$5:$B$504,$A102,'Registro de turnos'!$A$5:$A$504,"&gt;="&amp;$B$3,'Registro de turnos'!$A$5:$A$504,"&lt;="&amp;$B$4))</f>
        <v/>
      </c>
      <c r="I102" s="19" t="str">
        <f>IF($A102="","",SUMIFS('Registro de turnos'!$Q$5:$Q$504,'Registro de turnos'!$B$5:$B$504,$A102,'Registro de turnos'!$A$5:$A$504,"&gt;="&amp;$B$3,'Registro de turnos'!$A$5:$A$504,"&lt;="&amp;$B$4))</f>
        <v/>
      </c>
      <c r="J102" s="19" t="str">
        <f>IF($A102="","",SUMIFS('Registro de turnos'!$R$5:$R$504,'Registro de turnos'!$B$5:$B$504,$A102,'Registro de turnos'!$A$5:$A$504,"&gt;="&amp;$B$3,'Registro de turnos'!$A$5:$A$504,"&lt;="&amp;$B$4))</f>
        <v/>
      </c>
      <c r="K102" s="19" t="str">
        <f t="shared" si="12"/>
        <v/>
      </c>
      <c r="L102" s="17" t="str">
        <f>IF($A102="","",SUMIFS('Registro de turnos'!$T$5:$T$504,'Registro de turnos'!$B$5:$B$504,$A102,'Registro de turnos'!$A$5:$A$504,"&gt;="&amp;$B$3,'Registro de turnos'!$A$5:$A$504,"&lt;="&amp;$B$4))</f>
        <v/>
      </c>
      <c r="M102" s="17" t="str">
        <f t="shared" si="13"/>
        <v/>
      </c>
      <c r="N102" s="17" t="str">
        <f t="shared" si="14"/>
        <v/>
      </c>
      <c r="O102" s="17" t="str">
        <f t="shared" si="15"/>
        <v/>
      </c>
      <c r="P102" s="17" t="str">
        <f>IF($A102="","",ROUND(C102*D102*Parámetros!$B$8*0.0417,0))</f>
        <v/>
      </c>
      <c r="Q102" s="17" t="str">
        <f t="shared" si="16"/>
        <v/>
      </c>
      <c r="R102" s="17" t="str">
        <f t="shared" si="17"/>
        <v/>
      </c>
    </row>
    <row r="103" spans="1:18" x14ac:dyDescent="0.25">
      <c r="A103" s="22" t="str">
        <f>IF(Trabajadores!A101="","",Trabajadores!A101)</f>
        <v/>
      </c>
      <c r="B103" s="23" t="str">
        <f>IF(A103="","",Trabajadores!B101)</f>
        <v/>
      </c>
      <c r="C103" s="24" t="str">
        <f>IF(A103="","",Trabajadores!G101)</f>
        <v/>
      </c>
      <c r="D103" s="19" t="str">
        <f>IF($A103="","",SUMIFS('Registro de turnos'!$L$5:$L$504,'Registro de turnos'!$B$5:$B$504,$A103,'Registro de turnos'!$A$5:$A$504,"&gt;="&amp;$B$3,'Registro de turnos'!$A$5:$A$504,"&lt;="&amp;$B$4))</f>
        <v/>
      </c>
      <c r="E103" s="19" t="str">
        <f>IF($A103="","",SUMIFS('Registro de turnos'!$M$5:$M$504,'Registro de turnos'!$B$5:$B$504,$A103,'Registro de turnos'!$A$5:$A$504,"&gt;="&amp;$B$3,'Registro de turnos'!$A$5:$A$504,"&lt;="&amp;$B$4))</f>
        <v/>
      </c>
      <c r="F103" s="19" t="str">
        <f>IF($A103="","",SUMIFS('Registro de turnos'!$N$5:$N$504,'Registro de turnos'!$B$5:$B$504,$A103,'Registro de turnos'!$A$5:$A$504,"&gt;="&amp;$B$3,'Registro de turnos'!$A$5:$A$504,"&lt;="&amp;$B$4))</f>
        <v/>
      </c>
      <c r="G103" s="19" t="str">
        <f>IF($A103="","",SUMIFS('Registro de turnos'!$O$5:$O$504,'Registro de turnos'!$B$5:$B$504,$A103,'Registro de turnos'!$A$5:$A$504,"&gt;="&amp;$B$3,'Registro de turnos'!$A$5:$A$504,"&lt;="&amp;$B$4))</f>
        <v/>
      </c>
      <c r="H103" s="19" t="str">
        <f>IF($A103="","",SUMIFS('Registro de turnos'!$P$5:$P$504,'Registro de turnos'!$B$5:$B$504,$A103,'Registro de turnos'!$A$5:$A$504,"&gt;="&amp;$B$3,'Registro de turnos'!$A$5:$A$504,"&lt;="&amp;$B$4))</f>
        <v/>
      </c>
      <c r="I103" s="19" t="str">
        <f>IF($A103="","",SUMIFS('Registro de turnos'!$Q$5:$Q$504,'Registro de turnos'!$B$5:$B$504,$A103,'Registro de turnos'!$A$5:$A$504,"&gt;="&amp;$B$3,'Registro de turnos'!$A$5:$A$504,"&lt;="&amp;$B$4))</f>
        <v/>
      </c>
      <c r="J103" s="19" t="str">
        <f>IF($A103="","",SUMIFS('Registro de turnos'!$R$5:$R$504,'Registro de turnos'!$B$5:$B$504,$A103,'Registro de turnos'!$A$5:$A$504,"&gt;="&amp;$B$3,'Registro de turnos'!$A$5:$A$504,"&lt;="&amp;$B$4))</f>
        <v/>
      </c>
      <c r="K103" s="19" t="str">
        <f t="shared" ref="K103:K134" si="18">IF($A103="","",E103+F103+I103+J103)</f>
        <v/>
      </c>
      <c r="L103" s="17" t="str">
        <f>IF($A103="","",SUMIFS('Registro de turnos'!$T$5:$T$504,'Registro de turnos'!$B$5:$B$504,$A103,'Registro de turnos'!$A$5:$A$504,"&gt;="&amp;$B$3,'Registro de turnos'!$A$5:$A$504,"&lt;="&amp;$B$4))</f>
        <v/>
      </c>
      <c r="M103" s="17" t="str">
        <f t="shared" ref="M103:M134" si="19">IF($A103="","",ROUND(L103*0.0833,0))</f>
        <v/>
      </c>
      <c r="N103" s="17" t="str">
        <f t="shared" ref="N103:N134" si="20">IF($A103="","",ROUND(L103*0.0833,0))</f>
        <v/>
      </c>
      <c r="O103" s="17" t="str">
        <f t="shared" ref="O103:O134" si="21">IF($A103="","",ROUND(L103*0.01,0))</f>
        <v/>
      </c>
      <c r="P103" s="17" t="str">
        <f>IF($A103="","",ROUND(C103*D103*Parámetros!$B$8*0.0417,0))</f>
        <v/>
      </c>
      <c r="Q103" s="17" t="str">
        <f t="shared" ref="Q103:Q134" si="22">IF($A103="","",ROUND(L103*0.08,0))</f>
        <v/>
      </c>
      <c r="R103" s="17" t="str">
        <f t="shared" ref="R103:R134" si="23">IF($A103="","",L103-Q103)</f>
        <v/>
      </c>
    </row>
    <row r="104" spans="1:18" x14ac:dyDescent="0.25">
      <c r="A104" s="22" t="str">
        <f>IF(Trabajadores!A102="","",Trabajadores!A102)</f>
        <v/>
      </c>
      <c r="B104" s="23" t="str">
        <f>IF(A104="","",Trabajadores!B102)</f>
        <v/>
      </c>
      <c r="C104" s="24" t="str">
        <f>IF(A104="","",Trabajadores!G102)</f>
        <v/>
      </c>
      <c r="D104" s="19" t="str">
        <f>IF($A104="","",SUMIFS('Registro de turnos'!$L$5:$L$504,'Registro de turnos'!$B$5:$B$504,$A104,'Registro de turnos'!$A$5:$A$504,"&gt;="&amp;$B$3,'Registro de turnos'!$A$5:$A$504,"&lt;="&amp;$B$4))</f>
        <v/>
      </c>
      <c r="E104" s="19" t="str">
        <f>IF($A104="","",SUMIFS('Registro de turnos'!$M$5:$M$504,'Registro de turnos'!$B$5:$B$504,$A104,'Registro de turnos'!$A$5:$A$504,"&gt;="&amp;$B$3,'Registro de turnos'!$A$5:$A$504,"&lt;="&amp;$B$4))</f>
        <v/>
      </c>
      <c r="F104" s="19" t="str">
        <f>IF($A104="","",SUMIFS('Registro de turnos'!$N$5:$N$504,'Registro de turnos'!$B$5:$B$504,$A104,'Registro de turnos'!$A$5:$A$504,"&gt;="&amp;$B$3,'Registro de turnos'!$A$5:$A$504,"&lt;="&amp;$B$4))</f>
        <v/>
      </c>
      <c r="G104" s="19" t="str">
        <f>IF($A104="","",SUMIFS('Registro de turnos'!$O$5:$O$504,'Registro de turnos'!$B$5:$B$504,$A104,'Registro de turnos'!$A$5:$A$504,"&gt;="&amp;$B$3,'Registro de turnos'!$A$5:$A$504,"&lt;="&amp;$B$4))</f>
        <v/>
      </c>
      <c r="H104" s="19" t="str">
        <f>IF($A104="","",SUMIFS('Registro de turnos'!$P$5:$P$504,'Registro de turnos'!$B$5:$B$504,$A104,'Registro de turnos'!$A$5:$A$504,"&gt;="&amp;$B$3,'Registro de turnos'!$A$5:$A$504,"&lt;="&amp;$B$4))</f>
        <v/>
      </c>
      <c r="I104" s="19" t="str">
        <f>IF($A104="","",SUMIFS('Registro de turnos'!$Q$5:$Q$504,'Registro de turnos'!$B$5:$B$504,$A104,'Registro de turnos'!$A$5:$A$504,"&gt;="&amp;$B$3,'Registro de turnos'!$A$5:$A$504,"&lt;="&amp;$B$4))</f>
        <v/>
      </c>
      <c r="J104" s="19" t="str">
        <f>IF($A104="","",SUMIFS('Registro de turnos'!$R$5:$R$504,'Registro de turnos'!$B$5:$B$504,$A104,'Registro de turnos'!$A$5:$A$504,"&gt;="&amp;$B$3,'Registro de turnos'!$A$5:$A$504,"&lt;="&amp;$B$4))</f>
        <v/>
      </c>
      <c r="K104" s="19" t="str">
        <f t="shared" si="18"/>
        <v/>
      </c>
      <c r="L104" s="17" t="str">
        <f>IF($A104="","",SUMIFS('Registro de turnos'!$T$5:$T$504,'Registro de turnos'!$B$5:$B$504,$A104,'Registro de turnos'!$A$5:$A$504,"&gt;="&amp;$B$3,'Registro de turnos'!$A$5:$A$504,"&lt;="&amp;$B$4))</f>
        <v/>
      </c>
      <c r="M104" s="17" t="str">
        <f t="shared" si="19"/>
        <v/>
      </c>
      <c r="N104" s="17" t="str">
        <f t="shared" si="20"/>
        <v/>
      </c>
      <c r="O104" s="17" t="str">
        <f t="shared" si="21"/>
        <v/>
      </c>
      <c r="P104" s="17" t="str">
        <f>IF($A104="","",ROUND(C104*D104*Parámetros!$B$8*0.0417,0))</f>
        <v/>
      </c>
      <c r="Q104" s="17" t="str">
        <f t="shared" si="22"/>
        <v/>
      </c>
      <c r="R104" s="17" t="str">
        <f t="shared" si="23"/>
        <v/>
      </c>
    </row>
    <row r="105" spans="1:18" x14ac:dyDescent="0.25">
      <c r="A105" s="22" t="str">
        <f>IF(Trabajadores!A103="","",Trabajadores!A103)</f>
        <v/>
      </c>
      <c r="B105" s="23" t="str">
        <f>IF(A105="","",Trabajadores!B103)</f>
        <v/>
      </c>
      <c r="C105" s="24" t="str">
        <f>IF(A105="","",Trabajadores!G103)</f>
        <v/>
      </c>
      <c r="D105" s="19" t="str">
        <f>IF($A105="","",SUMIFS('Registro de turnos'!$L$5:$L$504,'Registro de turnos'!$B$5:$B$504,$A105,'Registro de turnos'!$A$5:$A$504,"&gt;="&amp;$B$3,'Registro de turnos'!$A$5:$A$504,"&lt;="&amp;$B$4))</f>
        <v/>
      </c>
      <c r="E105" s="19" t="str">
        <f>IF($A105="","",SUMIFS('Registro de turnos'!$M$5:$M$504,'Registro de turnos'!$B$5:$B$504,$A105,'Registro de turnos'!$A$5:$A$504,"&gt;="&amp;$B$3,'Registro de turnos'!$A$5:$A$504,"&lt;="&amp;$B$4))</f>
        <v/>
      </c>
      <c r="F105" s="19" t="str">
        <f>IF($A105="","",SUMIFS('Registro de turnos'!$N$5:$N$504,'Registro de turnos'!$B$5:$B$504,$A105,'Registro de turnos'!$A$5:$A$504,"&gt;="&amp;$B$3,'Registro de turnos'!$A$5:$A$504,"&lt;="&amp;$B$4))</f>
        <v/>
      </c>
      <c r="G105" s="19" t="str">
        <f>IF($A105="","",SUMIFS('Registro de turnos'!$O$5:$O$504,'Registro de turnos'!$B$5:$B$504,$A105,'Registro de turnos'!$A$5:$A$504,"&gt;="&amp;$B$3,'Registro de turnos'!$A$5:$A$504,"&lt;="&amp;$B$4))</f>
        <v/>
      </c>
      <c r="H105" s="19" t="str">
        <f>IF($A105="","",SUMIFS('Registro de turnos'!$P$5:$P$504,'Registro de turnos'!$B$5:$B$504,$A105,'Registro de turnos'!$A$5:$A$504,"&gt;="&amp;$B$3,'Registro de turnos'!$A$5:$A$504,"&lt;="&amp;$B$4))</f>
        <v/>
      </c>
      <c r="I105" s="19" t="str">
        <f>IF($A105="","",SUMIFS('Registro de turnos'!$Q$5:$Q$504,'Registro de turnos'!$B$5:$B$504,$A105,'Registro de turnos'!$A$5:$A$504,"&gt;="&amp;$B$3,'Registro de turnos'!$A$5:$A$504,"&lt;="&amp;$B$4))</f>
        <v/>
      </c>
      <c r="J105" s="19" t="str">
        <f>IF($A105="","",SUMIFS('Registro de turnos'!$R$5:$R$504,'Registro de turnos'!$B$5:$B$504,$A105,'Registro de turnos'!$A$5:$A$504,"&gt;="&amp;$B$3,'Registro de turnos'!$A$5:$A$504,"&lt;="&amp;$B$4))</f>
        <v/>
      </c>
      <c r="K105" s="19" t="str">
        <f t="shared" si="18"/>
        <v/>
      </c>
      <c r="L105" s="17" t="str">
        <f>IF($A105="","",SUMIFS('Registro de turnos'!$T$5:$T$504,'Registro de turnos'!$B$5:$B$504,$A105,'Registro de turnos'!$A$5:$A$504,"&gt;="&amp;$B$3,'Registro de turnos'!$A$5:$A$504,"&lt;="&amp;$B$4))</f>
        <v/>
      </c>
      <c r="M105" s="17" t="str">
        <f t="shared" si="19"/>
        <v/>
      </c>
      <c r="N105" s="17" t="str">
        <f t="shared" si="20"/>
        <v/>
      </c>
      <c r="O105" s="17" t="str">
        <f t="shared" si="21"/>
        <v/>
      </c>
      <c r="P105" s="17" t="str">
        <f>IF($A105="","",ROUND(C105*D105*Parámetros!$B$8*0.0417,0))</f>
        <v/>
      </c>
      <c r="Q105" s="17" t="str">
        <f t="shared" si="22"/>
        <v/>
      </c>
      <c r="R105" s="17" t="str">
        <f t="shared" si="23"/>
        <v/>
      </c>
    </row>
    <row r="106" spans="1:18" x14ac:dyDescent="0.25">
      <c r="A106" s="22" t="str">
        <f>IF(Trabajadores!A104="","",Trabajadores!A104)</f>
        <v/>
      </c>
      <c r="B106" s="23" t="str">
        <f>IF(A106="","",Trabajadores!B104)</f>
        <v/>
      </c>
      <c r="C106" s="24" t="str">
        <f>IF(A106="","",Trabajadores!G104)</f>
        <v/>
      </c>
      <c r="D106" s="19" t="str">
        <f>IF($A106="","",SUMIFS('Registro de turnos'!$L$5:$L$504,'Registro de turnos'!$B$5:$B$504,$A106,'Registro de turnos'!$A$5:$A$504,"&gt;="&amp;$B$3,'Registro de turnos'!$A$5:$A$504,"&lt;="&amp;$B$4))</f>
        <v/>
      </c>
      <c r="E106" s="19" t="str">
        <f>IF($A106="","",SUMIFS('Registro de turnos'!$M$5:$M$504,'Registro de turnos'!$B$5:$B$504,$A106,'Registro de turnos'!$A$5:$A$504,"&gt;="&amp;$B$3,'Registro de turnos'!$A$5:$A$504,"&lt;="&amp;$B$4))</f>
        <v/>
      </c>
      <c r="F106" s="19" t="str">
        <f>IF($A106="","",SUMIFS('Registro de turnos'!$N$5:$N$504,'Registro de turnos'!$B$5:$B$504,$A106,'Registro de turnos'!$A$5:$A$504,"&gt;="&amp;$B$3,'Registro de turnos'!$A$5:$A$504,"&lt;="&amp;$B$4))</f>
        <v/>
      </c>
      <c r="G106" s="19" t="str">
        <f>IF($A106="","",SUMIFS('Registro de turnos'!$O$5:$O$504,'Registro de turnos'!$B$5:$B$504,$A106,'Registro de turnos'!$A$5:$A$504,"&gt;="&amp;$B$3,'Registro de turnos'!$A$5:$A$504,"&lt;="&amp;$B$4))</f>
        <v/>
      </c>
      <c r="H106" s="19" t="str">
        <f>IF($A106="","",SUMIFS('Registro de turnos'!$P$5:$P$504,'Registro de turnos'!$B$5:$B$504,$A106,'Registro de turnos'!$A$5:$A$504,"&gt;="&amp;$B$3,'Registro de turnos'!$A$5:$A$504,"&lt;="&amp;$B$4))</f>
        <v/>
      </c>
      <c r="I106" s="19" t="str">
        <f>IF($A106="","",SUMIFS('Registro de turnos'!$Q$5:$Q$504,'Registro de turnos'!$B$5:$B$504,$A106,'Registro de turnos'!$A$5:$A$504,"&gt;="&amp;$B$3,'Registro de turnos'!$A$5:$A$504,"&lt;="&amp;$B$4))</f>
        <v/>
      </c>
      <c r="J106" s="19" t="str">
        <f>IF($A106="","",SUMIFS('Registro de turnos'!$R$5:$R$504,'Registro de turnos'!$B$5:$B$504,$A106,'Registro de turnos'!$A$5:$A$504,"&gt;="&amp;$B$3,'Registro de turnos'!$A$5:$A$504,"&lt;="&amp;$B$4))</f>
        <v/>
      </c>
      <c r="K106" s="19" t="str">
        <f t="shared" si="18"/>
        <v/>
      </c>
      <c r="L106" s="17" t="str">
        <f>IF($A106="","",SUMIFS('Registro de turnos'!$T$5:$T$504,'Registro de turnos'!$B$5:$B$504,$A106,'Registro de turnos'!$A$5:$A$504,"&gt;="&amp;$B$3,'Registro de turnos'!$A$5:$A$504,"&lt;="&amp;$B$4))</f>
        <v/>
      </c>
      <c r="M106" s="17" t="str">
        <f t="shared" si="19"/>
        <v/>
      </c>
      <c r="N106" s="17" t="str">
        <f t="shared" si="20"/>
        <v/>
      </c>
      <c r="O106" s="17" t="str">
        <f t="shared" si="21"/>
        <v/>
      </c>
      <c r="P106" s="17" t="str">
        <f>IF($A106="","",ROUND(C106*D106*Parámetros!$B$8*0.0417,0))</f>
        <v/>
      </c>
      <c r="Q106" s="17" t="str">
        <f t="shared" si="22"/>
        <v/>
      </c>
      <c r="R106" s="17" t="str">
        <f t="shared" si="23"/>
        <v/>
      </c>
    </row>
    <row r="107" spans="1:18" x14ac:dyDescent="0.25">
      <c r="A107" s="22" t="str">
        <f>IF(Trabajadores!A105="","",Trabajadores!A105)</f>
        <v/>
      </c>
      <c r="B107" s="23" t="str">
        <f>IF(A107="","",Trabajadores!B105)</f>
        <v/>
      </c>
      <c r="C107" s="24" t="str">
        <f>IF(A107="","",Trabajadores!G105)</f>
        <v/>
      </c>
      <c r="D107" s="19" t="str">
        <f>IF($A107="","",SUMIFS('Registro de turnos'!$L$5:$L$504,'Registro de turnos'!$B$5:$B$504,$A107,'Registro de turnos'!$A$5:$A$504,"&gt;="&amp;$B$3,'Registro de turnos'!$A$5:$A$504,"&lt;="&amp;$B$4))</f>
        <v/>
      </c>
      <c r="E107" s="19" t="str">
        <f>IF($A107="","",SUMIFS('Registro de turnos'!$M$5:$M$504,'Registro de turnos'!$B$5:$B$504,$A107,'Registro de turnos'!$A$5:$A$504,"&gt;="&amp;$B$3,'Registro de turnos'!$A$5:$A$504,"&lt;="&amp;$B$4))</f>
        <v/>
      </c>
      <c r="F107" s="19" t="str">
        <f>IF($A107="","",SUMIFS('Registro de turnos'!$N$5:$N$504,'Registro de turnos'!$B$5:$B$504,$A107,'Registro de turnos'!$A$5:$A$504,"&gt;="&amp;$B$3,'Registro de turnos'!$A$5:$A$504,"&lt;="&amp;$B$4))</f>
        <v/>
      </c>
      <c r="G107" s="19" t="str">
        <f>IF($A107="","",SUMIFS('Registro de turnos'!$O$5:$O$504,'Registro de turnos'!$B$5:$B$504,$A107,'Registro de turnos'!$A$5:$A$504,"&gt;="&amp;$B$3,'Registro de turnos'!$A$5:$A$504,"&lt;="&amp;$B$4))</f>
        <v/>
      </c>
      <c r="H107" s="19" t="str">
        <f>IF($A107="","",SUMIFS('Registro de turnos'!$P$5:$P$504,'Registro de turnos'!$B$5:$B$504,$A107,'Registro de turnos'!$A$5:$A$504,"&gt;="&amp;$B$3,'Registro de turnos'!$A$5:$A$504,"&lt;="&amp;$B$4))</f>
        <v/>
      </c>
      <c r="I107" s="19" t="str">
        <f>IF($A107="","",SUMIFS('Registro de turnos'!$Q$5:$Q$504,'Registro de turnos'!$B$5:$B$504,$A107,'Registro de turnos'!$A$5:$A$504,"&gt;="&amp;$B$3,'Registro de turnos'!$A$5:$A$504,"&lt;="&amp;$B$4))</f>
        <v/>
      </c>
      <c r="J107" s="19" t="str">
        <f>IF($A107="","",SUMIFS('Registro de turnos'!$R$5:$R$504,'Registro de turnos'!$B$5:$B$504,$A107,'Registro de turnos'!$A$5:$A$504,"&gt;="&amp;$B$3,'Registro de turnos'!$A$5:$A$504,"&lt;="&amp;$B$4))</f>
        <v/>
      </c>
      <c r="K107" s="19" t="str">
        <f t="shared" si="18"/>
        <v/>
      </c>
      <c r="L107" s="17" t="str">
        <f>IF($A107="","",SUMIFS('Registro de turnos'!$T$5:$T$504,'Registro de turnos'!$B$5:$B$504,$A107,'Registro de turnos'!$A$5:$A$504,"&gt;="&amp;$B$3,'Registro de turnos'!$A$5:$A$504,"&lt;="&amp;$B$4))</f>
        <v/>
      </c>
      <c r="M107" s="17" t="str">
        <f t="shared" si="19"/>
        <v/>
      </c>
      <c r="N107" s="17" t="str">
        <f t="shared" si="20"/>
        <v/>
      </c>
      <c r="O107" s="17" t="str">
        <f t="shared" si="21"/>
        <v/>
      </c>
      <c r="P107" s="17" t="str">
        <f>IF($A107="","",ROUND(C107*D107*Parámetros!$B$8*0.0417,0))</f>
        <v/>
      </c>
      <c r="Q107" s="17" t="str">
        <f t="shared" si="22"/>
        <v/>
      </c>
      <c r="R107" s="17" t="str">
        <f t="shared" si="23"/>
        <v/>
      </c>
    </row>
    <row r="108" spans="1:18" x14ac:dyDescent="0.25">
      <c r="A108" s="22" t="str">
        <f>IF(Trabajadores!A106="","",Trabajadores!A106)</f>
        <v/>
      </c>
      <c r="B108" s="23" t="str">
        <f>IF(A108="","",Trabajadores!B106)</f>
        <v/>
      </c>
      <c r="C108" s="24" t="str">
        <f>IF(A108="","",Trabajadores!G106)</f>
        <v/>
      </c>
      <c r="D108" s="19" t="str">
        <f>IF($A108="","",SUMIFS('Registro de turnos'!$L$5:$L$504,'Registro de turnos'!$B$5:$B$504,$A108,'Registro de turnos'!$A$5:$A$504,"&gt;="&amp;$B$3,'Registro de turnos'!$A$5:$A$504,"&lt;="&amp;$B$4))</f>
        <v/>
      </c>
      <c r="E108" s="19" t="str">
        <f>IF($A108="","",SUMIFS('Registro de turnos'!$M$5:$M$504,'Registro de turnos'!$B$5:$B$504,$A108,'Registro de turnos'!$A$5:$A$504,"&gt;="&amp;$B$3,'Registro de turnos'!$A$5:$A$504,"&lt;="&amp;$B$4))</f>
        <v/>
      </c>
      <c r="F108" s="19" t="str">
        <f>IF($A108="","",SUMIFS('Registro de turnos'!$N$5:$N$504,'Registro de turnos'!$B$5:$B$504,$A108,'Registro de turnos'!$A$5:$A$504,"&gt;="&amp;$B$3,'Registro de turnos'!$A$5:$A$504,"&lt;="&amp;$B$4))</f>
        <v/>
      </c>
      <c r="G108" s="19" t="str">
        <f>IF($A108="","",SUMIFS('Registro de turnos'!$O$5:$O$504,'Registro de turnos'!$B$5:$B$504,$A108,'Registro de turnos'!$A$5:$A$504,"&gt;="&amp;$B$3,'Registro de turnos'!$A$5:$A$504,"&lt;="&amp;$B$4))</f>
        <v/>
      </c>
      <c r="H108" s="19" t="str">
        <f>IF($A108="","",SUMIFS('Registro de turnos'!$P$5:$P$504,'Registro de turnos'!$B$5:$B$504,$A108,'Registro de turnos'!$A$5:$A$504,"&gt;="&amp;$B$3,'Registro de turnos'!$A$5:$A$504,"&lt;="&amp;$B$4))</f>
        <v/>
      </c>
      <c r="I108" s="19" t="str">
        <f>IF($A108="","",SUMIFS('Registro de turnos'!$Q$5:$Q$504,'Registro de turnos'!$B$5:$B$504,$A108,'Registro de turnos'!$A$5:$A$504,"&gt;="&amp;$B$3,'Registro de turnos'!$A$5:$A$504,"&lt;="&amp;$B$4))</f>
        <v/>
      </c>
      <c r="J108" s="19" t="str">
        <f>IF($A108="","",SUMIFS('Registro de turnos'!$R$5:$R$504,'Registro de turnos'!$B$5:$B$504,$A108,'Registro de turnos'!$A$5:$A$504,"&gt;="&amp;$B$3,'Registro de turnos'!$A$5:$A$504,"&lt;="&amp;$B$4))</f>
        <v/>
      </c>
      <c r="K108" s="19" t="str">
        <f t="shared" si="18"/>
        <v/>
      </c>
      <c r="L108" s="17" t="str">
        <f>IF($A108="","",SUMIFS('Registro de turnos'!$T$5:$T$504,'Registro de turnos'!$B$5:$B$504,$A108,'Registro de turnos'!$A$5:$A$504,"&gt;="&amp;$B$3,'Registro de turnos'!$A$5:$A$504,"&lt;="&amp;$B$4))</f>
        <v/>
      </c>
      <c r="M108" s="17" t="str">
        <f t="shared" si="19"/>
        <v/>
      </c>
      <c r="N108" s="17" t="str">
        <f t="shared" si="20"/>
        <v/>
      </c>
      <c r="O108" s="17" t="str">
        <f t="shared" si="21"/>
        <v/>
      </c>
      <c r="P108" s="17" t="str">
        <f>IF($A108="","",ROUND(C108*D108*Parámetros!$B$8*0.0417,0))</f>
        <v/>
      </c>
      <c r="Q108" s="17" t="str">
        <f t="shared" si="22"/>
        <v/>
      </c>
      <c r="R108" s="17" t="str">
        <f t="shared" si="23"/>
        <v/>
      </c>
    </row>
    <row r="109" spans="1:18" x14ac:dyDescent="0.25">
      <c r="A109" s="22" t="str">
        <f>IF(Trabajadores!A107="","",Trabajadores!A107)</f>
        <v/>
      </c>
      <c r="B109" s="23" t="str">
        <f>IF(A109="","",Trabajadores!B107)</f>
        <v/>
      </c>
      <c r="C109" s="24" t="str">
        <f>IF(A109="","",Trabajadores!G107)</f>
        <v/>
      </c>
      <c r="D109" s="19" t="str">
        <f>IF($A109="","",SUMIFS('Registro de turnos'!$L$5:$L$504,'Registro de turnos'!$B$5:$B$504,$A109,'Registro de turnos'!$A$5:$A$504,"&gt;="&amp;$B$3,'Registro de turnos'!$A$5:$A$504,"&lt;="&amp;$B$4))</f>
        <v/>
      </c>
      <c r="E109" s="19" t="str">
        <f>IF($A109="","",SUMIFS('Registro de turnos'!$M$5:$M$504,'Registro de turnos'!$B$5:$B$504,$A109,'Registro de turnos'!$A$5:$A$504,"&gt;="&amp;$B$3,'Registro de turnos'!$A$5:$A$504,"&lt;="&amp;$B$4))</f>
        <v/>
      </c>
      <c r="F109" s="19" t="str">
        <f>IF($A109="","",SUMIFS('Registro de turnos'!$N$5:$N$504,'Registro de turnos'!$B$5:$B$504,$A109,'Registro de turnos'!$A$5:$A$504,"&gt;="&amp;$B$3,'Registro de turnos'!$A$5:$A$504,"&lt;="&amp;$B$4))</f>
        <v/>
      </c>
      <c r="G109" s="19" t="str">
        <f>IF($A109="","",SUMIFS('Registro de turnos'!$O$5:$O$504,'Registro de turnos'!$B$5:$B$504,$A109,'Registro de turnos'!$A$5:$A$504,"&gt;="&amp;$B$3,'Registro de turnos'!$A$5:$A$504,"&lt;="&amp;$B$4))</f>
        <v/>
      </c>
      <c r="H109" s="19" t="str">
        <f>IF($A109="","",SUMIFS('Registro de turnos'!$P$5:$P$504,'Registro de turnos'!$B$5:$B$504,$A109,'Registro de turnos'!$A$5:$A$504,"&gt;="&amp;$B$3,'Registro de turnos'!$A$5:$A$504,"&lt;="&amp;$B$4))</f>
        <v/>
      </c>
      <c r="I109" s="19" t="str">
        <f>IF($A109="","",SUMIFS('Registro de turnos'!$Q$5:$Q$504,'Registro de turnos'!$B$5:$B$504,$A109,'Registro de turnos'!$A$5:$A$504,"&gt;="&amp;$B$3,'Registro de turnos'!$A$5:$A$504,"&lt;="&amp;$B$4))</f>
        <v/>
      </c>
      <c r="J109" s="19" t="str">
        <f>IF($A109="","",SUMIFS('Registro de turnos'!$R$5:$R$504,'Registro de turnos'!$B$5:$B$504,$A109,'Registro de turnos'!$A$5:$A$504,"&gt;="&amp;$B$3,'Registro de turnos'!$A$5:$A$504,"&lt;="&amp;$B$4))</f>
        <v/>
      </c>
      <c r="K109" s="19" t="str">
        <f t="shared" si="18"/>
        <v/>
      </c>
      <c r="L109" s="17" t="str">
        <f>IF($A109="","",SUMIFS('Registro de turnos'!$T$5:$T$504,'Registro de turnos'!$B$5:$B$504,$A109,'Registro de turnos'!$A$5:$A$504,"&gt;="&amp;$B$3,'Registro de turnos'!$A$5:$A$504,"&lt;="&amp;$B$4))</f>
        <v/>
      </c>
      <c r="M109" s="17" t="str">
        <f t="shared" si="19"/>
        <v/>
      </c>
      <c r="N109" s="17" t="str">
        <f t="shared" si="20"/>
        <v/>
      </c>
      <c r="O109" s="17" t="str">
        <f t="shared" si="21"/>
        <v/>
      </c>
      <c r="P109" s="17" t="str">
        <f>IF($A109="","",ROUND(C109*D109*Parámetros!$B$8*0.0417,0))</f>
        <v/>
      </c>
      <c r="Q109" s="17" t="str">
        <f t="shared" si="22"/>
        <v/>
      </c>
      <c r="R109" s="17" t="str">
        <f t="shared" si="23"/>
        <v/>
      </c>
    </row>
    <row r="110" spans="1:18" x14ac:dyDescent="0.25">
      <c r="A110" s="22" t="str">
        <f>IF(Trabajadores!A108="","",Trabajadores!A108)</f>
        <v/>
      </c>
      <c r="B110" s="23" t="str">
        <f>IF(A110="","",Trabajadores!B108)</f>
        <v/>
      </c>
      <c r="C110" s="24" t="str">
        <f>IF(A110="","",Trabajadores!G108)</f>
        <v/>
      </c>
      <c r="D110" s="19" t="str">
        <f>IF($A110="","",SUMIFS('Registro de turnos'!$L$5:$L$504,'Registro de turnos'!$B$5:$B$504,$A110,'Registro de turnos'!$A$5:$A$504,"&gt;="&amp;$B$3,'Registro de turnos'!$A$5:$A$504,"&lt;="&amp;$B$4))</f>
        <v/>
      </c>
      <c r="E110" s="19" t="str">
        <f>IF($A110="","",SUMIFS('Registro de turnos'!$M$5:$M$504,'Registro de turnos'!$B$5:$B$504,$A110,'Registro de turnos'!$A$5:$A$504,"&gt;="&amp;$B$3,'Registro de turnos'!$A$5:$A$504,"&lt;="&amp;$B$4))</f>
        <v/>
      </c>
      <c r="F110" s="19" t="str">
        <f>IF($A110="","",SUMIFS('Registro de turnos'!$N$5:$N$504,'Registro de turnos'!$B$5:$B$504,$A110,'Registro de turnos'!$A$5:$A$504,"&gt;="&amp;$B$3,'Registro de turnos'!$A$5:$A$504,"&lt;="&amp;$B$4))</f>
        <v/>
      </c>
      <c r="G110" s="19" t="str">
        <f>IF($A110="","",SUMIFS('Registro de turnos'!$O$5:$O$504,'Registro de turnos'!$B$5:$B$504,$A110,'Registro de turnos'!$A$5:$A$504,"&gt;="&amp;$B$3,'Registro de turnos'!$A$5:$A$504,"&lt;="&amp;$B$4))</f>
        <v/>
      </c>
      <c r="H110" s="19" t="str">
        <f>IF($A110="","",SUMIFS('Registro de turnos'!$P$5:$P$504,'Registro de turnos'!$B$5:$B$504,$A110,'Registro de turnos'!$A$5:$A$504,"&gt;="&amp;$B$3,'Registro de turnos'!$A$5:$A$504,"&lt;="&amp;$B$4))</f>
        <v/>
      </c>
      <c r="I110" s="19" t="str">
        <f>IF($A110="","",SUMIFS('Registro de turnos'!$Q$5:$Q$504,'Registro de turnos'!$B$5:$B$504,$A110,'Registro de turnos'!$A$5:$A$504,"&gt;="&amp;$B$3,'Registro de turnos'!$A$5:$A$504,"&lt;="&amp;$B$4))</f>
        <v/>
      </c>
      <c r="J110" s="19" t="str">
        <f>IF($A110="","",SUMIFS('Registro de turnos'!$R$5:$R$504,'Registro de turnos'!$B$5:$B$504,$A110,'Registro de turnos'!$A$5:$A$504,"&gt;="&amp;$B$3,'Registro de turnos'!$A$5:$A$504,"&lt;="&amp;$B$4))</f>
        <v/>
      </c>
      <c r="K110" s="19" t="str">
        <f t="shared" si="18"/>
        <v/>
      </c>
      <c r="L110" s="17" t="str">
        <f>IF($A110="","",SUMIFS('Registro de turnos'!$T$5:$T$504,'Registro de turnos'!$B$5:$B$504,$A110,'Registro de turnos'!$A$5:$A$504,"&gt;="&amp;$B$3,'Registro de turnos'!$A$5:$A$504,"&lt;="&amp;$B$4))</f>
        <v/>
      </c>
      <c r="M110" s="17" t="str">
        <f t="shared" si="19"/>
        <v/>
      </c>
      <c r="N110" s="17" t="str">
        <f t="shared" si="20"/>
        <v/>
      </c>
      <c r="O110" s="17" t="str">
        <f t="shared" si="21"/>
        <v/>
      </c>
      <c r="P110" s="17" t="str">
        <f>IF($A110="","",ROUND(C110*D110*Parámetros!$B$8*0.0417,0))</f>
        <v/>
      </c>
      <c r="Q110" s="17" t="str">
        <f t="shared" si="22"/>
        <v/>
      </c>
      <c r="R110" s="17" t="str">
        <f t="shared" si="23"/>
        <v/>
      </c>
    </row>
    <row r="111" spans="1:18" x14ac:dyDescent="0.25">
      <c r="A111" s="22" t="str">
        <f>IF(Trabajadores!A109="","",Trabajadores!A109)</f>
        <v/>
      </c>
      <c r="B111" s="23" t="str">
        <f>IF(A111="","",Trabajadores!B109)</f>
        <v/>
      </c>
      <c r="C111" s="24" t="str">
        <f>IF(A111="","",Trabajadores!G109)</f>
        <v/>
      </c>
      <c r="D111" s="19" t="str">
        <f>IF($A111="","",SUMIFS('Registro de turnos'!$L$5:$L$504,'Registro de turnos'!$B$5:$B$504,$A111,'Registro de turnos'!$A$5:$A$504,"&gt;="&amp;$B$3,'Registro de turnos'!$A$5:$A$504,"&lt;="&amp;$B$4))</f>
        <v/>
      </c>
      <c r="E111" s="19" t="str">
        <f>IF($A111="","",SUMIFS('Registro de turnos'!$M$5:$M$504,'Registro de turnos'!$B$5:$B$504,$A111,'Registro de turnos'!$A$5:$A$504,"&gt;="&amp;$B$3,'Registro de turnos'!$A$5:$A$504,"&lt;="&amp;$B$4))</f>
        <v/>
      </c>
      <c r="F111" s="19" t="str">
        <f>IF($A111="","",SUMIFS('Registro de turnos'!$N$5:$N$504,'Registro de turnos'!$B$5:$B$504,$A111,'Registro de turnos'!$A$5:$A$504,"&gt;="&amp;$B$3,'Registro de turnos'!$A$5:$A$504,"&lt;="&amp;$B$4))</f>
        <v/>
      </c>
      <c r="G111" s="19" t="str">
        <f>IF($A111="","",SUMIFS('Registro de turnos'!$O$5:$O$504,'Registro de turnos'!$B$5:$B$504,$A111,'Registro de turnos'!$A$5:$A$504,"&gt;="&amp;$B$3,'Registro de turnos'!$A$5:$A$504,"&lt;="&amp;$B$4))</f>
        <v/>
      </c>
      <c r="H111" s="19" t="str">
        <f>IF($A111="","",SUMIFS('Registro de turnos'!$P$5:$P$504,'Registro de turnos'!$B$5:$B$504,$A111,'Registro de turnos'!$A$5:$A$504,"&gt;="&amp;$B$3,'Registro de turnos'!$A$5:$A$504,"&lt;="&amp;$B$4))</f>
        <v/>
      </c>
      <c r="I111" s="19" t="str">
        <f>IF($A111="","",SUMIFS('Registro de turnos'!$Q$5:$Q$504,'Registro de turnos'!$B$5:$B$504,$A111,'Registro de turnos'!$A$5:$A$504,"&gt;="&amp;$B$3,'Registro de turnos'!$A$5:$A$504,"&lt;="&amp;$B$4))</f>
        <v/>
      </c>
      <c r="J111" s="19" t="str">
        <f>IF($A111="","",SUMIFS('Registro de turnos'!$R$5:$R$504,'Registro de turnos'!$B$5:$B$504,$A111,'Registro de turnos'!$A$5:$A$504,"&gt;="&amp;$B$3,'Registro de turnos'!$A$5:$A$504,"&lt;="&amp;$B$4))</f>
        <v/>
      </c>
      <c r="K111" s="19" t="str">
        <f t="shared" si="18"/>
        <v/>
      </c>
      <c r="L111" s="17" t="str">
        <f>IF($A111="","",SUMIFS('Registro de turnos'!$T$5:$T$504,'Registro de turnos'!$B$5:$B$504,$A111,'Registro de turnos'!$A$5:$A$504,"&gt;="&amp;$B$3,'Registro de turnos'!$A$5:$A$504,"&lt;="&amp;$B$4))</f>
        <v/>
      </c>
      <c r="M111" s="17" t="str">
        <f t="shared" si="19"/>
        <v/>
      </c>
      <c r="N111" s="17" t="str">
        <f t="shared" si="20"/>
        <v/>
      </c>
      <c r="O111" s="17" t="str">
        <f t="shared" si="21"/>
        <v/>
      </c>
      <c r="P111" s="17" t="str">
        <f>IF($A111="","",ROUND(C111*D111*Parámetros!$B$8*0.0417,0))</f>
        <v/>
      </c>
      <c r="Q111" s="17" t="str">
        <f t="shared" si="22"/>
        <v/>
      </c>
      <c r="R111" s="17" t="str">
        <f t="shared" si="23"/>
        <v/>
      </c>
    </row>
    <row r="112" spans="1:18" x14ac:dyDescent="0.25">
      <c r="A112" s="22" t="str">
        <f>IF(Trabajadores!A110="","",Trabajadores!A110)</f>
        <v/>
      </c>
      <c r="B112" s="23" t="str">
        <f>IF(A112="","",Trabajadores!B110)</f>
        <v/>
      </c>
      <c r="C112" s="24" t="str">
        <f>IF(A112="","",Trabajadores!G110)</f>
        <v/>
      </c>
      <c r="D112" s="19" t="str">
        <f>IF($A112="","",SUMIFS('Registro de turnos'!$L$5:$L$504,'Registro de turnos'!$B$5:$B$504,$A112,'Registro de turnos'!$A$5:$A$504,"&gt;="&amp;$B$3,'Registro de turnos'!$A$5:$A$504,"&lt;="&amp;$B$4))</f>
        <v/>
      </c>
      <c r="E112" s="19" t="str">
        <f>IF($A112="","",SUMIFS('Registro de turnos'!$M$5:$M$504,'Registro de turnos'!$B$5:$B$504,$A112,'Registro de turnos'!$A$5:$A$504,"&gt;="&amp;$B$3,'Registro de turnos'!$A$5:$A$504,"&lt;="&amp;$B$4))</f>
        <v/>
      </c>
      <c r="F112" s="19" t="str">
        <f>IF($A112="","",SUMIFS('Registro de turnos'!$N$5:$N$504,'Registro de turnos'!$B$5:$B$504,$A112,'Registro de turnos'!$A$5:$A$504,"&gt;="&amp;$B$3,'Registro de turnos'!$A$5:$A$504,"&lt;="&amp;$B$4))</f>
        <v/>
      </c>
      <c r="G112" s="19" t="str">
        <f>IF($A112="","",SUMIFS('Registro de turnos'!$O$5:$O$504,'Registro de turnos'!$B$5:$B$504,$A112,'Registro de turnos'!$A$5:$A$504,"&gt;="&amp;$B$3,'Registro de turnos'!$A$5:$A$504,"&lt;="&amp;$B$4))</f>
        <v/>
      </c>
      <c r="H112" s="19" t="str">
        <f>IF($A112="","",SUMIFS('Registro de turnos'!$P$5:$P$504,'Registro de turnos'!$B$5:$B$504,$A112,'Registro de turnos'!$A$5:$A$504,"&gt;="&amp;$B$3,'Registro de turnos'!$A$5:$A$504,"&lt;="&amp;$B$4))</f>
        <v/>
      </c>
      <c r="I112" s="19" t="str">
        <f>IF($A112="","",SUMIFS('Registro de turnos'!$Q$5:$Q$504,'Registro de turnos'!$B$5:$B$504,$A112,'Registro de turnos'!$A$5:$A$504,"&gt;="&amp;$B$3,'Registro de turnos'!$A$5:$A$504,"&lt;="&amp;$B$4))</f>
        <v/>
      </c>
      <c r="J112" s="19" t="str">
        <f>IF($A112="","",SUMIFS('Registro de turnos'!$R$5:$R$504,'Registro de turnos'!$B$5:$B$504,$A112,'Registro de turnos'!$A$5:$A$504,"&gt;="&amp;$B$3,'Registro de turnos'!$A$5:$A$504,"&lt;="&amp;$B$4))</f>
        <v/>
      </c>
      <c r="K112" s="19" t="str">
        <f t="shared" si="18"/>
        <v/>
      </c>
      <c r="L112" s="17" t="str">
        <f>IF($A112="","",SUMIFS('Registro de turnos'!$T$5:$T$504,'Registro de turnos'!$B$5:$B$504,$A112,'Registro de turnos'!$A$5:$A$504,"&gt;="&amp;$B$3,'Registro de turnos'!$A$5:$A$504,"&lt;="&amp;$B$4))</f>
        <v/>
      </c>
      <c r="M112" s="17" t="str">
        <f t="shared" si="19"/>
        <v/>
      </c>
      <c r="N112" s="17" t="str">
        <f t="shared" si="20"/>
        <v/>
      </c>
      <c r="O112" s="17" t="str">
        <f t="shared" si="21"/>
        <v/>
      </c>
      <c r="P112" s="17" t="str">
        <f>IF($A112="","",ROUND(C112*D112*Parámetros!$B$8*0.0417,0))</f>
        <v/>
      </c>
      <c r="Q112" s="17" t="str">
        <f t="shared" si="22"/>
        <v/>
      </c>
      <c r="R112" s="17" t="str">
        <f t="shared" si="23"/>
        <v/>
      </c>
    </row>
    <row r="113" spans="1:18" x14ac:dyDescent="0.25">
      <c r="A113" s="22" t="str">
        <f>IF(Trabajadores!A111="","",Trabajadores!A111)</f>
        <v/>
      </c>
      <c r="B113" s="23" t="str">
        <f>IF(A113="","",Trabajadores!B111)</f>
        <v/>
      </c>
      <c r="C113" s="24" t="str">
        <f>IF(A113="","",Trabajadores!G111)</f>
        <v/>
      </c>
      <c r="D113" s="19" t="str">
        <f>IF($A113="","",SUMIFS('Registro de turnos'!$L$5:$L$504,'Registro de turnos'!$B$5:$B$504,$A113,'Registro de turnos'!$A$5:$A$504,"&gt;="&amp;$B$3,'Registro de turnos'!$A$5:$A$504,"&lt;="&amp;$B$4))</f>
        <v/>
      </c>
      <c r="E113" s="19" t="str">
        <f>IF($A113="","",SUMIFS('Registro de turnos'!$M$5:$M$504,'Registro de turnos'!$B$5:$B$504,$A113,'Registro de turnos'!$A$5:$A$504,"&gt;="&amp;$B$3,'Registro de turnos'!$A$5:$A$504,"&lt;="&amp;$B$4))</f>
        <v/>
      </c>
      <c r="F113" s="19" t="str">
        <f>IF($A113="","",SUMIFS('Registro de turnos'!$N$5:$N$504,'Registro de turnos'!$B$5:$B$504,$A113,'Registro de turnos'!$A$5:$A$504,"&gt;="&amp;$B$3,'Registro de turnos'!$A$5:$A$504,"&lt;="&amp;$B$4))</f>
        <v/>
      </c>
      <c r="G113" s="19" t="str">
        <f>IF($A113="","",SUMIFS('Registro de turnos'!$O$5:$O$504,'Registro de turnos'!$B$5:$B$504,$A113,'Registro de turnos'!$A$5:$A$504,"&gt;="&amp;$B$3,'Registro de turnos'!$A$5:$A$504,"&lt;="&amp;$B$4))</f>
        <v/>
      </c>
      <c r="H113" s="19" t="str">
        <f>IF($A113="","",SUMIFS('Registro de turnos'!$P$5:$P$504,'Registro de turnos'!$B$5:$B$504,$A113,'Registro de turnos'!$A$5:$A$504,"&gt;="&amp;$B$3,'Registro de turnos'!$A$5:$A$504,"&lt;="&amp;$B$4))</f>
        <v/>
      </c>
      <c r="I113" s="19" t="str">
        <f>IF($A113="","",SUMIFS('Registro de turnos'!$Q$5:$Q$504,'Registro de turnos'!$B$5:$B$504,$A113,'Registro de turnos'!$A$5:$A$504,"&gt;="&amp;$B$3,'Registro de turnos'!$A$5:$A$504,"&lt;="&amp;$B$4))</f>
        <v/>
      </c>
      <c r="J113" s="19" t="str">
        <f>IF($A113="","",SUMIFS('Registro de turnos'!$R$5:$R$504,'Registro de turnos'!$B$5:$B$504,$A113,'Registro de turnos'!$A$5:$A$504,"&gt;="&amp;$B$3,'Registro de turnos'!$A$5:$A$504,"&lt;="&amp;$B$4))</f>
        <v/>
      </c>
      <c r="K113" s="19" t="str">
        <f t="shared" si="18"/>
        <v/>
      </c>
      <c r="L113" s="17" t="str">
        <f>IF($A113="","",SUMIFS('Registro de turnos'!$T$5:$T$504,'Registro de turnos'!$B$5:$B$504,$A113,'Registro de turnos'!$A$5:$A$504,"&gt;="&amp;$B$3,'Registro de turnos'!$A$5:$A$504,"&lt;="&amp;$B$4))</f>
        <v/>
      </c>
      <c r="M113" s="17" t="str">
        <f t="shared" si="19"/>
        <v/>
      </c>
      <c r="N113" s="17" t="str">
        <f t="shared" si="20"/>
        <v/>
      </c>
      <c r="O113" s="17" t="str">
        <f t="shared" si="21"/>
        <v/>
      </c>
      <c r="P113" s="17" t="str">
        <f>IF($A113="","",ROUND(C113*D113*Parámetros!$B$8*0.0417,0))</f>
        <v/>
      </c>
      <c r="Q113" s="17" t="str">
        <f t="shared" si="22"/>
        <v/>
      </c>
      <c r="R113" s="17" t="str">
        <f t="shared" si="23"/>
        <v/>
      </c>
    </row>
    <row r="114" spans="1:18" x14ac:dyDescent="0.25">
      <c r="A114" s="22" t="str">
        <f>IF(Trabajadores!A112="","",Trabajadores!A112)</f>
        <v/>
      </c>
      <c r="B114" s="23" t="str">
        <f>IF(A114="","",Trabajadores!B112)</f>
        <v/>
      </c>
      <c r="C114" s="24" t="str">
        <f>IF(A114="","",Trabajadores!G112)</f>
        <v/>
      </c>
      <c r="D114" s="19" t="str">
        <f>IF($A114="","",SUMIFS('Registro de turnos'!$L$5:$L$504,'Registro de turnos'!$B$5:$B$504,$A114,'Registro de turnos'!$A$5:$A$504,"&gt;="&amp;$B$3,'Registro de turnos'!$A$5:$A$504,"&lt;="&amp;$B$4))</f>
        <v/>
      </c>
      <c r="E114" s="19" t="str">
        <f>IF($A114="","",SUMIFS('Registro de turnos'!$M$5:$M$504,'Registro de turnos'!$B$5:$B$504,$A114,'Registro de turnos'!$A$5:$A$504,"&gt;="&amp;$B$3,'Registro de turnos'!$A$5:$A$504,"&lt;="&amp;$B$4))</f>
        <v/>
      </c>
      <c r="F114" s="19" t="str">
        <f>IF($A114="","",SUMIFS('Registro de turnos'!$N$5:$N$504,'Registro de turnos'!$B$5:$B$504,$A114,'Registro de turnos'!$A$5:$A$504,"&gt;="&amp;$B$3,'Registro de turnos'!$A$5:$A$504,"&lt;="&amp;$B$4))</f>
        <v/>
      </c>
      <c r="G114" s="19" t="str">
        <f>IF($A114="","",SUMIFS('Registro de turnos'!$O$5:$O$504,'Registro de turnos'!$B$5:$B$504,$A114,'Registro de turnos'!$A$5:$A$504,"&gt;="&amp;$B$3,'Registro de turnos'!$A$5:$A$504,"&lt;="&amp;$B$4))</f>
        <v/>
      </c>
      <c r="H114" s="19" t="str">
        <f>IF($A114="","",SUMIFS('Registro de turnos'!$P$5:$P$504,'Registro de turnos'!$B$5:$B$504,$A114,'Registro de turnos'!$A$5:$A$504,"&gt;="&amp;$B$3,'Registro de turnos'!$A$5:$A$504,"&lt;="&amp;$B$4))</f>
        <v/>
      </c>
      <c r="I114" s="19" t="str">
        <f>IF($A114="","",SUMIFS('Registro de turnos'!$Q$5:$Q$504,'Registro de turnos'!$B$5:$B$504,$A114,'Registro de turnos'!$A$5:$A$504,"&gt;="&amp;$B$3,'Registro de turnos'!$A$5:$A$504,"&lt;="&amp;$B$4))</f>
        <v/>
      </c>
      <c r="J114" s="19" t="str">
        <f>IF($A114="","",SUMIFS('Registro de turnos'!$R$5:$R$504,'Registro de turnos'!$B$5:$B$504,$A114,'Registro de turnos'!$A$5:$A$504,"&gt;="&amp;$B$3,'Registro de turnos'!$A$5:$A$504,"&lt;="&amp;$B$4))</f>
        <v/>
      </c>
      <c r="K114" s="19" t="str">
        <f t="shared" si="18"/>
        <v/>
      </c>
      <c r="L114" s="17" t="str">
        <f>IF($A114="","",SUMIFS('Registro de turnos'!$T$5:$T$504,'Registro de turnos'!$B$5:$B$504,$A114,'Registro de turnos'!$A$5:$A$504,"&gt;="&amp;$B$3,'Registro de turnos'!$A$5:$A$504,"&lt;="&amp;$B$4))</f>
        <v/>
      </c>
      <c r="M114" s="17" t="str">
        <f t="shared" si="19"/>
        <v/>
      </c>
      <c r="N114" s="17" t="str">
        <f t="shared" si="20"/>
        <v/>
      </c>
      <c r="O114" s="17" t="str">
        <f t="shared" si="21"/>
        <v/>
      </c>
      <c r="P114" s="17" t="str">
        <f>IF($A114="","",ROUND(C114*D114*Parámetros!$B$8*0.0417,0))</f>
        <v/>
      </c>
      <c r="Q114" s="17" t="str">
        <f t="shared" si="22"/>
        <v/>
      </c>
      <c r="R114" s="17" t="str">
        <f t="shared" si="23"/>
        <v/>
      </c>
    </row>
    <row r="115" spans="1:18" x14ac:dyDescent="0.25">
      <c r="A115" s="22" t="str">
        <f>IF(Trabajadores!A113="","",Trabajadores!A113)</f>
        <v/>
      </c>
      <c r="B115" s="23" t="str">
        <f>IF(A115="","",Trabajadores!B113)</f>
        <v/>
      </c>
      <c r="C115" s="24" t="str">
        <f>IF(A115="","",Trabajadores!G113)</f>
        <v/>
      </c>
      <c r="D115" s="19" t="str">
        <f>IF($A115="","",SUMIFS('Registro de turnos'!$L$5:$L$504,'Registro de turnos'!$B$5:$B$504,$A115,'Registro de turnos'!$A$5:$A$504,"&gt;="&amp;$B$3,'Registro de turnos'!$A$5:$A$504,"&lt;="&amp;$B$4))</f>
        <v/>
      </c>
      <c r="E115" s="19" t="str">
        <f>IF($A115="","",SUMIFS('Registro de turnos'!$M$5:$M$504,'Registro de turnos'!$B$5:$B$504,$A115,'Registro de turnos'!$A$5:$A$504,"&gt;="&amp;$B$3,'Registro de turnos'!$A$5:$A$504,"&lt;="&amp;$B$4))</f>
        <v/>
      </c>
      <c r="F115" s="19" t="str">
        <f>IF($A115="","",SUMIFS('Registro de turnos'!$N$5:$N$504,'Registro de turnos'!$B$5:$B$504,$A115,'Registro de turnos'!$A$5:$A$504,"&gt;="&amp;$B$3,'Registro de turnos'!$A$5:$A$504,"&lt;="&amp;$B$4))</f>
        <v/>
      </c>
      <c r="G115" s="19" t="str">
        <f>IF($A115="","",SUMIFS('Registro de turnos'!$O$5:$O$504,'Registro de turnos'!$B$5:$B$504,$A115,'Registro de turnos'!$A$5:$A$504,"&gt;="&amp;$B$3,'Registro de turnos'!$A$5:$A$504,"&lt;="&amp;$B$4))</f>
        <v/>
      </c>
      <c r="H115" s="19" t="str">
        <f>IF($A115="","",SUMIFS('Registro de turnos'!$P$5:$P$504,'Registro de turnos'!$B$5:$B$504,$A115,'Registro de turnos'!$A$5:$A$504,"&gt;="&amp;$B$3,'Registro de turnos'!$A$5:$A$504,"&lt;="&amp;$B$4))</f>
        <v/>
      </c>
      <c r="I115" s="19" t="str">
        <f>IF($A115="","",SUMIFS('Registro de turnos'!$Q$5:$Q$504,'Registro de turnos'!$B$5:$B$504,$A115,'Registro de turnos'!$A$5:$A$504,"&gt;="&amp;$B$3,'Registro de turnos'!$A$5:$A$504,"&lt;="&amp;$B$4))</f>
        <v/>
      </c>
      <c r="J115" s="19" t="str">
        <f>IF($A115="","",SUMIFS('Registro de turnos'!$R$5:$R$504,'Registro de turnos'!$B$5:$B$504,$A115,'Registro de turnos'!$A$5:$A$504,"&gt;="&amp;$B$3,'Registro de turnos'!$A$5:$A$504,"&lt;="&amp;$B$4))</f>
        <v/>
      </c>
      <c r="K115" s="19" t="str">
        <f t="shared" si="18"/>
        <v/>
      </c>
      <c r="L115" s="17" t="str">
        <f>IF($A115="","",SUMIFS('Registro de turnos'!$T$5:$T$504,'Registro de turnos'!$B$5:$B$504,$A115,'Registro de turnos'!$A$5:$A$504,"&gt;="&amp;$B$3,'Registro de turnos'!$A$5:$A$504,"&lt;="&amp;$B$4))</f>
        <v/>
      </c>
      <c r="M115" s="17" t="str">
        <f t="shared" si="19"/>
        <v/>
      </c>
      <c r="N115" s="17" t="str">
        <f t="shared" si="20"/>
        <v/>
      </c>
      <c r="O115" s="17" t="str">
        <f t="shared" si="21"/>
        <v/>
      </c>
      <c r="P115" s="17" t="str">
        <f>IF($A115="","",ROUND(C115*D115*Parámetros!$B$8*0.0417,0))</f>
        <v/>
      </c>
      <c r="Q115" s="17" t="str">
        <f t="shared" si="22"/>
        <v/>
      </c>
      <c r="R115" s="17" t="str">
        <f t="shared" si="23"/>
        <v/>
      </c>
    </row>
    <row r="116" spans="1:18" x14ac:dyDescent="0.25">
      <c r="A116" s="22" t="str">
        <f>IF(Trabajadores!A114="","",Trabajadores!A114)</f>
        <v/>
      </c>
      <c r="B116" s="23" t="str">
        <f>IF(A116="","",Trabajadores!B114)</f>
        <v/>
      </c>
      <c r="C116" s="24" t="str">
        <f>IF(A116="","",Trabajadores!G114)</f>
        <v/>
      </c>
      <c r="D116" s="19" t="str">
        <f>IF($A116="","",SUMIFS('Registro de turnos'!$L$5:$L$504,'Registro de turnos'!$B$5:$B$504,$A116,'Registro de turnos'!$A$5:$A$504,"&gt;="&amp;$B$3,'Registro de turnos'!$A$5:$A$504,"&lt;="&amp;$B$4))</f>
        <v/>
      </c>
      <c r="E116" s="19" t="str">
        <f>IF($A116="","",SUMIFS('Registro de turnos'!$M$5:$M$504,'Registro de turnos'!$B$5:$B$504,$A116,'Registro de turnos'!$A$5:$A$504,"&gt;="&amp;$B$3,'Registro de turnos'!$A$5:$A$504,"&lt;="&amp;$B$4))</f>
        <v/>
      </c>
      <c r="F116" s="19" t="str">
        <f>IF($A116="","",SUMIFS('Registro de turnos'!$N$5:$N$504,'Registro de turnos'!$B$5:$B$504,$A116,'Registro de turnos'!$A$5:$A$504,"&gt;="&amp;$B$3,'Registro de turnos'!$A$5:$A$504,"&lt;="&amp;$B$4))</f>
        <v/>
      </c>
      <c r="G116" s="19" t="str">
        <f>IF($A116="","",SUMIFS('Registro de turnos'!$O$5:$O$504,'Registro de turnos'!$B$5:$B$504,$A116,'Registro de turnos'!$A$5:$A$504,"&gt;="&amp;$B$3,'Registro de turnos'!$A$5:$A$504,"&lt;="&amp;$B$4))</f>
        <v/>
      </c>
      <c r="H116" s="19" t="str">
        <f>IF($A116="","",SUMIFS('Registro de turnos'!$P$5:$P$504,'Registro de turnos'!$B$5:$B$504,$A116,'Registro de turnos'!$A$5:$A$504,"&gt;="&amp;$B$3,'Registro de turnos'!$A$5:$A$504,"&lt;="&amp;$B$4))</f>
        <v/>
      </c>
      <c r="I116" s="19" t="str">
        <f>IF($A116="","",SUMIFS('Registro de turnos'!$Q$5:$Q$504,'Registro de turnos'!$B$5:$B$504,$A116,'Registro de turnos'!$A$5:$A$504,"&gt;="&amp;$B$3,'Registro de turnos'!$A$5:$A$504,"&lt;="&amp;$B$4))</f>
        <v/>
      </c>
      <c r="J116" s="19" t="str">
        <f>IF($A116="","",SUMIFS('Registro de turnos'!$R$5:$R$504,'Registro de turnos'!$B$5:$B$504,$A116,'Registro de turnos'!$A$5:$A$504,"&gt;="&amp;$B$3,'Registro de turnos'!$A$5:$A$504,"&lt;="&amp;$B$4))</f>
        <v/>
      </c>
      <c r="K116" s="19" t="str">
        <f t="shared" si="18"/>
        <v/>
      </c>
      <c r="L116" s="17" t="str">
        <f>IF($A116="","",SUMIFS('Registro de turnos'!$T$5:$T$504,'Registro de turnos'!$B$5:$B$504,$A116,'Registro de turnos'!$A$5:$A$504,"&gt;="&amp;$B$3,'Registro de turnos'!$A$5:$A$504,"&lt;="&amp;$B$4))</f>
        <v/>
      </c>
      <c r="M116" s="17" t="str">
        <f t="shared" si="19"/>
        <v/>
      </c>
      <c r="N116" s="17" t="str">
        <f t="shared" si="20"/>
        <v/>
      </c>
      <c r="O116" s="17" t="str">
        <f t="shared" si="21"/>
        <v/>
      </c>
      <c r="P116" s="17" t="str">
        <f>IF($A116="","",ROUND(C116*D116*Parámetros!$B$8*0.0417,0))</f>
        <v/>
      </c>
      <c r="Q116" s="17" t="str">
        <f t="shared" si="22"/>
        <v/>
      </c>
      <c r="R116" s="17" t="str">
        <f t="shared" si="23"/>
        <v/>
      </c>
    </row>
    <row r="117" spans="1:18" x14ac:dyDescent="0.25">
      <c r="A117" s="22" t="str">
        <f>IF(Trabajadores!A115="","",Trabajadores!A115)</f>
        <v/>
      </c>
      <c r="B117" s="23" t="str">
        <f>IF(A117="","",Trabajadores!B115)</f>
        <v/>
      </c>
      <c r="C117" s="24" t="str">
        <f>IF(A117="","",Trabajadores!G115)</f>
        <v/>
      </c>
      <c r="D117" s="19" t="str">
        <f>IF($A117="","",SUMIFS('Registro de turnos'!$L$5:$L$504,'Registro de turnos'!$B$5:$B$504,$A117,'Registro de turnos'!$A$5:$A$504,"&gt;="&amp;$B$3,'Registro de turnos'!$A$5:$A$504,"&lt;="&amp;$B$4))</f>
        <v/>
      </c>
      <c r="E117" s="19" t="str">
        <f>IF($A117="","",SUMIFS('Registro de turnos'!$M$5:$M$504,'Registro de turnos'!$B$5:$B$504,$A117,'Registro de turnos'!$A$5:$A$504,"&gt;="&amp;$B$3,'Registro de turnos'!$A$5:$A$504,"&lt;="&amp;$B$4))</f>
        <v/>
      </c>
      <c r="F117" s="19" t="str">
        <f>IF($A117="","",SUMIFS('Registro de turnos'!$N$5:$N$504,'Registro de turnos'!$B$5:$B$504,$A117,'Registro de turnos'!$A$5:$A$504,"&gt;="&amp;$B$3,'Registro de turnos'!$A$5:$A$504,"&lt;="&amp;$B$4))</f>
        <v/>
      </c>
      <c r="G117" s="19" t="str">
        <f>IF($A117="","",SUMIFS('Registro de turnos'!$O$5:$O$504,'Registro de turnos'!$B$5:$B$504,$A117,'Registro de turnos'!$A$5:$A$504,"&gt;="&amp;$B$3,'Registro de turnos'!$A$5:$A$504,"&lt;="&amp;$B$4))</f>
        <v/>
      </c>
      <c r="H117" s="19" t="str">
        <f>IF($A117="","",SUMIFS('Registro de turnos'!$P$5:$P$504,'Registro de turnos'!$B$5:$B$504,$A117,'Registro de turnos'!$A$5:$A$504,"&gt;="&amp;$B$3,'Registro de turnos'!$A$5:$A$504,"&lt;="&amp;$B$4))</f>
        <v/>
      </c>
      <c r="I117" s="19" t="str">
        <f>IF($A117="","",SUMIFS('Registro de turnos'!$Q$5:$Q$504,'Registro de turnos'!$B$5:$B$504,$A117,'Registro de turnos'!$A$5:$A$504,"&gt;="&amp;$B$3,'Registro de turnos'!$A$5:$A$504,"&lt;="&amp;$B$4))</f>
        <v/>
      </c>
      <c r="J117" s="19" t="str">
        <f>IF($A117="","",SUMIFS('Registro de turnos'!$R$5:$R$504,'Registro de turnos'!$B$5:$B$504,$A117,'Registro de turnos'!$A$5:$A$504,"&gt;="&amp;$B$3,'Registro de turnos'!$A$5:$A$504,"&lt;="&amp;$B$4))</f>
        <v/>
      </c>
      <c r="K117" s="19" t="str">
        <f t="shared" si="18"/>
        <v/>
      </c>
      <c r="L117" s="17" t="str">
        <f>IF($A117="","",SUMIFS('Registro de turnos'!$T$5:$T$504,'Registro de turnos'!$B$5:$B$504,$A117,'Registro de turnos'!$A$5:$A$504,"&gt;="&amp;$B$3,'Registro de turnos'!$A$5:$A$504,"&lt;="&amp;$B$4))</f>
        <v/>
      </c>
      <c r="M117" s="17" t="str">
        <f t="shared" si="19"/>
        <v/>
      </c>
      <c r="N117" s="17" t="str">
        <f t="shared" si="20"/>
        <v/>
      </c>
      <c r="O117" s="17" t="str">
        <f t="shared" si="21"/>
        <v/>
      </c>
      <c r="P117" s="17" t="str">
        <f>IF($A117="","",ROUND(C117*D117*Parámetros!$B$8*0.0417,0))</f>
        <v/>
      </c>
      <c r="Q117" s="17" t="str">
        <f t="shared" si="22"/>
        <v/>
      </c>
      <c r="R117" s="17" t="str">
        <f t="shared" si="23"/>
        <v/>
      </c>
    </row>
    <row r="118" spans="1:18" x14ac:dyDescent="0.25">
      <c r="A118" s="22" t="str">
        <f>IF(Trabajadores!A116="","",Trabajadores!A116)</f>
        <v/>
      </c>
      <c r="B118" s="23" t="str">
        <f>IF(A118="","",Trabajadores!B116)</f>
        <v/>
      </c>
      <c r="C118" s="24" t="str">
        <f>IF(A118="","",Trabajadores!G116)</f>
        <v/>
      </c>
      <c r="D118" s="19" t="str">
        <f>IF($A118="","",SUMIFS('Registro de turnos'!$L$5:$L$504,'Registro de turnos'!$B$5:$B$504,$A118,'Registro de turnos'!$A$5:$A$504,"&gt;="&amp;$B$3,'Registro de turnos'!$A$5:$A$504,"&lt;="&amp;$B$4))</f>
        <v/>
      </c>
      <c r="E118" s="19" t="str">
        <f>IF($A118="","",SUMIFS('Registro de turnos'!$M$5:$M$504,'Registro de turnos'!$B$5:$B$504,$A118,'Registro de turnos'!$A$5:$A$504,"&gt;="&amp;$B$3,'Registro de turnos'!$A$5:$A$504,"&lt;="&amp;$B$4))</f>
        <v/>
      </c>
      <c r="F118" s="19" t="str">
        <f>IF($A118="","",SUMIFS('Registro de turnos'!$N$5:$N$504,'Registro de turnos'!$B$5:$B$504,$A118,'Registro de turnos'!$A$5:$A$504,"&gt;="&amp;$B$3,'Registro de turnos'!$A$5:$A$504,"&lt;="&amp;$B$4))</f>
        <v/>
      </c>
      <c r="G118" s="19" t="str">
        <f>IF($A118="","",SUMIFS('Registro de turnos'!$O$5:$O$504,'Registro de turnos'!$B$5:$B$504,$A118,'Registro de turnos'!$A$5:$A$504,"&gt;="&amp;$B$3,'Registro de turnos'!$A$5:$A$504,"&lt;="&amp;$B$4))</f>
        <v/>
      </c>
      <c r="H118" s="19" t="str">
        <f>IF($A118="","",SUMIFS('Registro de turnos'!$P$5:$P$504,'Registro de turnos'!$B$5:$B$504,$A118,'Registro de turnos'!$A$5:$A$504,"&gt;="&amp;$B$3,'Registro de turnos'!$A$5:$A$504,"&lt;="&amp;$B$4))</f>
        <v/>
      </c>
      <c r="I118" s="19" t="str">
        <f>IF($A118="","",SUMIFS('Registro de turnos'!$Q$5:$Q$504,'Registro de turnos'!$B$5:$B$504,$A118,'Registro de turnos'!$A$5:$A$504,"&gt;="&amp;$B$3,'Registro de turnos'!$A$5:$A$504,"&lt;="&amp;$B$4))</f>
        <v/>
      </c>
      <c r="J118" s="19" t="str">
        <f>IF($A118="","",SUMIFS('Registro de turnos'!$R$5:$R$504,'Registro de turnos'!$B$5:$B$504,$A118,'Registro de turnos'!$A$5:$A$504,"&gt;="&amp;$B$3,'Registro de turnos'!$A$5:$A$504,"&lt;="&amp;$B$4))</f>
        <v/>
      </c>
      <c r="K118" s="19" t="str">
        <f t="shared" si="18"/>
        <v/>
      </c>
      <c r="L118" s="17" t="str">
        <f>IF($A118="","",SUMIFS('Registro de turnos'!$T$5:$T$504,'Registro de turnos'!$B$5:$B$504,$A118,'Registro de turnos'!$A$5:$A$504,"&gt;="&amp;$B$3,'Registro de turnos'!$A$5:$A$504,"&lt;="&amp;$B$4))</f>
        <v/>
      </c>
      <c r="M118" s="17" t="str">
        <f t="shared" si="19"/>
        <v/>
      </c>
      <c r="N118" s="17" t="str">
        <f t="shared" si="20"/>
        <v/>
      </c>
      <c r="O118" s="17" t="str">
        <f t="shared" si="21"/>
        <v/>
      </c>
      <c r="P118" s="17" t="str">
        <f>IF($A118="","",ROUND(C118*D118*Parámetros!$B$8*0.0417,0))</f>
        <v/>
      </c>
      <c r="Q118" s="17" t="str">
        <f t="shared" si="22"/>
        <v/>
      </c>
      <c r="R118" s="17" t="str">
        <f t="shared" si="23"/>
        <v/>
      </c>
    </row>
    <row r="119" spans="1:18" x14ac:dyDescent="0.25">
      <c r="A119" s="22" t="str">
        <f>IF(Trabajadores!A117="","",Trabajadores!A117)</f>
        <v/>
      </c>
      <c r="B119" s="23" t="str">
        <f>IF(A119="","",Trabajadores!B117)</f>
        <v/>
      </c>
      <c r="C119" s="24" t="str">
        <f>IF(A119="","",Trabajadores!G117)</f>
        <v/>
      </c>
      <c r="D119" s="19" t="str">
        <f>IF($A119="","",SUMIFS('Registro de turnos'!$L$5:$L$504,'Registro de turnos'!$B$5:$B$504,$A119,'Registro de turnos'!$A$5:$A$504,"&gt;="&amp;$B$3,'Registro de turnos'!$A$5:$A$504,"&lt;="&amp;$B$4))</f>
        <v/>
      </c>
      <c r="E119" s="19" t="str">
        <f>IF($A119="","",SUMIFS('Registro de turnos'!$M$5:$M$504,'Registro de turnos'!$B$5:$B$504,$A119,'Registro de turnos'!$A$5:$A$504,"&gt;="&amp;$B$3,'Registro de turnos'!$A$5:$A$504,"&lt;="&amp;$B$4))</f>
        <v/>
      </c>
      <c r="F119" s="19" t="str">
        <f>IF($A119="","",SUMIFS('Registro de turnos'!$N$5:$N$504,'Registro de turnos'!$B$5:$B$504,$A119,'Registro de turnos'!$A$5:$A$504,"&gt;="&amp;$B$3,'Registro de turnos'!$A$5:$A$504,"&lt;="&amp;$B$4))</f>
        <v/>
      </c>
      <c r="G119" s="19" t="str">
        <f>IF($A119="","",SUMIFS('Registro de turnos'!$O$5:$O$504,'Registro de turnos'!$B$5:$B$504,$A119,'Registro de turnos'!$A$5:$A$504,"&gt;="&amp;$B$3,'Registro de turnos'!$A$5:$A$504,"&lt;="&amp;$B$4))</f>
        <v/>
      </c>
      <c r="H119" s="19" t="str">
        <f>IF($A119="","",SUMIFS('Registro de turnos'!$P$5:$P$504,'Registro de turnos'!$B$5:$B$504,$A119,'Registro de turnos'!$A$5:$A$504,"&gt;="&amp;$B$3,'Registro de turnos'!$A$5:$A$504,"&lt;="&amp;$B$4))</f>
        <v/>
      </c>
      <c r="I119" s="19" t="str">
        <f>IF($A119="","",SUMIFS('Registro de turnos'!$Q$5:$Q$504,'Registro de turnos'!$B$5:$B$504,$A119,'Registro de turnos'!$A$5:$A$504,"&gt;="&amp;$B$3,'Registro de turnos'!$A$5:$A$504,"&lt;="&amp;$B$4))</f>
        <v/>
      </c>
      <c r="J119" s="19" t="str">
        <f>IF($A119="","",SUMIFS('Registro de turnos'!$R$5:$R$504,'Registro de turnos'!$B$5:$B$504,$A119,'Registro de turnos'!$A$5:$A$504,"&gt;="&amp;$B$3,'Registro de turnos'!$A$5:$A$504,"&lt;="&amp;$B$4))</f>
        <v/>
      </c>
      <c r="K119" s="19" t="str">
        <f t="shared" si="18"/>
        <v/>
      </c>
      <c r="L119" s="17" t="str">
        <f>IF($A119="","",SUMIFS('Registro de turnos'!$T$5:$T$504,'Registro de turnos'!$B$5:$B$504,$A119,'Registro de turnos'!$A$5:$A$504,"&gt;="&amp;$B$3,'Registro de turnos'!$A$5:$A$504,"&lt;="&amp;$B$4))</f>
        <v/>
      </c>
      <c r="M119" s="17" t="str">
        <f t="shared" si="19"/>
        <v/>
      </c>
      <c r="N119" s="17" t="str">
        <f t="shared" si="20"/>
        <v/>
      </c>
      <c r="O119" s="17" t="str">
        <f t="shared" si="21"/>
        <v/>
      </c>
      <c r="P119" s="17" t="str">
        <f>IF($A119="","",ROUND(C119*D119*Parámetros!$B$8*0.0417,0))</f>
        <v/>
      </c>
      <c r="Q119" s="17" t="str">
        <f t="shared" si="22"/>
        <v/>
      </c>
      <c r="R119" s="17" t="str">
        <f t="shared" si="23"/>
        <v/>
      </c>
    </row>
    <row r="120" spans="1:18" x14ac:dyDescent="0.25">
      <c r="A120" s="22" t="str">
        <f>IF(Trabajadores!A118="","",Trabajadores!A118)</f>
        <v/>
      </c>
      <c r="B120" s="23" t="str">
        <f>IF(A120="","",Trabajadores!B118)</f>
        <v/>
      </c>
      <c r="C120" s="24" t="str">
        <f>IF(A120="","",Trabajadores!G118)</f>
        <v/>
      </c>
      <c r="D120" s="19" t="str">
        <f>IF($A120="","",SUMIFS('Registro de turnos'!$L$5:$L$504,'Registro de turnos'!$B$5:$B$504,$A120,'Registro de turnos'!$A$5:$A$504,"&gt;="&amp;$B$3,'Registro de turnos'!$A$5:$A$504,"&lt;="&amp;$B$4))</f>
        <v/>
      </c>
      <c r="E120" s="19" t="str">
        <f>IF($A120="","",SUMIFS('Registro de turnos'!$M$5:$M$504,'Registro de turnos'!$B$5:$B$504,$A120,'Registro de turnos'!$A$5:$A$504,"&gt;="&amp;$B$3,'Registro de turnos'!$A$5:$A$504,"&lt;="&amp;$B$4))</f>
        <v/>
      </c>
      <c r="F120" s="19" t="str">
        <f>IF($A120="","",SUMIFS('Registro de turnos'!$N$5:$N$504,'Registro de turnos'!$B$5:$B$504,$A120,'Registro de turnos'!$A$5:$A$504,"&gt;="&amp;$B$3,'Registro de turnos'!$A$5:$A$504,"&lt;="&amp;$B$4))</f>
        <v/>
      </c>
      <c r="G120" s="19" t="str">
        <f>IF($A120="","",SUMIFS('Registro de turnos'!$O$5:$O$504,'Registro de turnos'!$B$5:$B$504,$A120,'Registro de turnos'!$A$5:$A$504,"&gt;="&amp;$B$3,'Registro de turnos'!$A$5:$A$504,"&lt;="&amp;$B$4))</f>
        <v/>
      </c>
      <c r="H120" s="19" t="str">
        <f>IF($A120="","",SUMIFS('Registro de turnos'!$P$5:$P$504,'Registro de turnos'!$B$5:$B$504,$A120,'Registro de turnos'!$A$5:$A$504,"&gt;="&amp;$B$3,'Registro de turnos'!$A$5:$A$504,"&lt;="&amp;$B$4))</f>
        <v/>
      </c>
      <c r="I120" s="19" t="str">
        <f>IF($A120="","",SUMIFS('Registro de turnos'!$Q$5:$Q$504,'Registro de turnos'!$B$5:$B$504,$A120,'Registro de turnos'!$A$5:$A$504,"&gt;="&amp;$B$3,'Registro de turnos'!$A$5:$A$504,"&lt;="&amp;$B$4))</f>
        <v/>
      </c>
      <c r="J120" s="19" t="str">
        <f>IF($A120="","",SUMIFS('Registro de turnos'!$R$5:$R$504,'Registro de turnos'!$B$5:$B$504,$A120,'Registro de turnos'!$A$5:$A$504,"&gt;="&amp;$B$3,'Registro de turnos'!$A$5:$A$504,"&lt;="&amp;$B$4))</f>
        <v/>
      </c>
      <c r="K120" s="19" t="str">
        <f t="shared" si="18"/>
        <v/>
      </c>
      <c r="L120" s="17" t="str">
        <f>IF($A120="","",SUMIFS('Registro de turnos'!$T$5:$T$504,'Registro de turnos'!$B$5:$B$504,$A120,'Registro de turnos'!$A$5:$A$504,"&gt;="&amp;$B$3,'Registro de turnos'!$A$5:$A$504,"&lt;="&amp;$B$4))</f>
        <v/>
      </c>
      <c r="M120" s="17" t="str">
        <f t="shared" si="19"/>
        <v/>
      </c>
      <c r="N120" s="17" t="str">
        <f t="shared" si="20"/>
        <v/>
      </c>
      <c r="O120" s="17" t="str">
        <f t="shared" si="21"/>
        <v/>
      </c>
      <c r="P120" s="17" t="str">
        <f>IF($A120="","",ROUND(C120*D120*Parámetros!$B$8*0.0417,0))</f>
        <v/>
      </c>
      <c r="Q120" s="17" t="str">
        <f t="shared" si="22"/>
        <v/>
      </c>
      <c r="R120" s="17" t="str">
        <f t="shared" si="23"/>
        <v/>
      </c>
    </row>
    <row r="121" spans="1:18" x14ac:dyDescent="0.25">
      <c r="A121" s="22" t="str">
        <f>IF(Trabajadores!A119="","",Trabajadores!A119)</f>
        <v/>
      </c>
      <c r="B121" s="23" t="str">
        <f>IF(A121="","",Trabajadores!B119)</f>
        <v/>
      </c>
      <c r="C121" s="24" t="str">
        <f>IF(A121="","",Trabajadores!G119)</f>
        <v/>
      </c>
      <c r="D121" s="19" t="str">
        <f>IF($A121="","",SUMIFS('Registro de turnos'!$L$5:$L$504,'Registro de turnos'!$B$5:$B$504,$A121,'Registro de turnos'!$A$5:$A$504,"&gt;="&amp;$B$3,'Registro de turnos'!$A$5:$A$504,"&lt;="&amp;$B$4))</f>
        <v/>
      </c>
      <c r="E121" s="19" t="str">
        <f>IF($A121="","",SUMIFS('Registro de turnos'!$M$5:$M$504,'Registro de turnos'!$B$5:$B$504,$A121,'Registro de turnos'!$A$5:$A$504,"&gt;="&amp;$B$3,'Registro de turnos'!$A$5:$A$504,"&lt;="&amp;$B$4))</f>
        <v/>
      </c>
      <c r="F121" s="19" t="str">
        <f>IF($A121="","",SUMIFS('Registro de turnos'!$N$5:$N$504,'Registro de turnos'!$B$5:$B$504,$A121,'Registro de turnos'!$A$5:$A$504,"&gt;="&amp;$B$3,'Registro de turnos'!$A$5:$A$504,"&lt;="&amp;$B$4))</f>
        <v/>
      </c>
      <c r="G121" s="19" t="str">
        <f>IF($A121="","",SUMIFS('Registro de turnos'!$O$5:$O$504,'Registro de turnos'!$B$5:$B$504,$A121,'Registro de turnos'!$A$5:$A$504,"&gt;="&amp;$B$3,'Registro de turnos'!$A$5:$A$504,"&lt;="&amp;$B$4))</f>
        <v/>
      </c>
      <c r="H121" s="19" t="str">
        <f>IF($A121="","",SUMIFS('Registro de turnos'!$P$5:$P$504,'Registro de turnos'!$B$5:$B$504,$A121,'Registro de turnos'!$A$5:$A$504,"&gt;="&amp;$B$3,'Registro de turnos'!$A$5:$A$504,"&lt;="&amp;$B$4))</f>
        <v/>
      </c>
      <c r="I121" s="19" t="str">
        <f>IF($A121="","",SUMIFS('Registro de turnos'!$Q$5:$Q$504,'Registro de turnos'!$B$5:$B$504,$A121,'Registro de turnos'!$A$5:$A$504,"&gt;="&amp;$B$3,'Registro de turnos'!$A$5:$A$504,"&lt;="&amp;$B$4))</f>
        <v/>
      </c>
      <c r="J121" s="19" t="str">
        <f>IF($A121="","",SUMIFS('Registro de turnos'!$R$5:$R$504,'Registro de turnos'!$B$5:$B$504,$A121,'Registro de turnos'!$A$5:$A$504,"&gt;="&amp;$B$3,'Registro de turnos'!$A$5:$A$504,"&lt;="&amp;$B$4))</f>
        <v/>
      </c>
      <c r="K121" s="19" t="str">
        <f t="shared" si="18"/>
        <v/>
      </c>
      <c r="L121" s="17" t="str">
        <f>IF($A121="","",SUMIFS('Registro de turnos'!$T$5:$T$504,'Registro de turnos'!$B$5:$B$504,$A121,'Registro de turnos'!$A$5:$A$504,"&gt;="&amp;$B$3,'Registro de turnos'!$A$5:$A$504,"&lt;="&amp;$B$4))</f>
        <v/>
      </c>
      <c r="M121" s="17" t="str">
        <f t="shared" si="19"/>
        <v/>
      </c>
      <c r="N121" s="17" t="str">
        <f t="shared" si="20"/>
        <v/>
      </c>
      <c r="O121" s="17" t="str">
        <f t="shared" si="21"/>
        <v/>
      </c>
      <c r="P121" s="17" t="str">
        <f>IF($A121="","",ROUND(C121*D121*Parámetros!$B$8*0.0417,0))</f>
        <v/>
      </c>
      <c r="Q121" s="17" t="str">
        <f t="shared" si="22"/>
        <v/>
      </c>
      <c r="R121" s="17" t="str">
        <f t="shared" si="23"/>
        <v/>
      </c>
    </row>
    <row r="122" spans="1:18" x14ac:dyDescent="0.25">
      <c r="A122" s="22" t="str">
        <f>IF(Trabajadores!A120="","",Trabajadores!A120)</f>
        <v/>
      </c>
      <c r="B122" s="23" t="str">
        <f>IF(A122="","",Trabajadores!B120)</f>
        <v/>
      </c>
      <c r="C122" s="24" t="str">
        <f>IF(A122="","",Trabajadores!G120)</f>
        <v/>
      </c>
      <c r="D122" s="19" t="str">
        <f>IF($A122="","",SUMIFS('Registro de turnos'!$L$5:$L$504,'Registro de turnos'!$B$5:$B$504,$A122,'Registro de turnos'!$A$5:$A$504,"&gt;="&amp;$B$3,'Registro de turnos'!$A$5:$A$504,"&lt;="&amp;$B$4))</f>
        <v/>
      </c>
      <c r="E122" s="19" t="str">
        <f>IF($A122="","",SUMIFS('Registro de turnos'!$M$5:$M$504,'Registro de turnos'!$B$5:$B$504,$A122,'Registro de turnos'!$A$5:$A$504,"&gt;="&amp;$B$3,'Registro de turnos'!$A$5:$A$504,"&lt;="&amp;$B$4))</f>
        <v/>
      </c>
      <c r="F122" s="19" t="str">
        <f>IF($A122="","",SUMIFS('Registro de turnos'!$N$5:$N$504,'Registro de turnos'!$B$5:$B$504,$A122,'Registro de turnos'!$A$5:$A$504,"&gt;="&amp;$B$3,'Registro de turnos'!$A$5:$A$504,"&lt;="&amp;$B$4))</f>
        <v/>
      </c>
      <c r="G122" s="19" t="str">
        <f>IF($A122="","",SUMIFS('Registro de turnos'!$O$5:$O$504,'Registro de turnos'!$B$5:$B$504,$A122,'Registro de turnos'!$A$5:$A$504,"&gt;="&amp;$B$3,'Registro de turnos'!$A$5:$A$504,"&lt;="&amp;$B$4))</f>
        <v/>
      </c>
      <c r="H122" s="19" t="str">
        <f>IF($A122="","",SUMIFS('Registro de turnos'!$P$5:$P$504,'Registro de turnos'!$B$5:$B$504,$A122,'Registro de turnos'!$A$5:$A$504,"&gt;="&amp;$B$3,'Registro de turnos'!$A$5:$A$504,"&lt;="&amp;$B$4))</f>
        <v/>
      </c>
      <c r="I122" s="19" t="str">
        <f>IF($A122="","",SUMIFS('Registro de turnos'!$Q$5:$Q$504,'Registro de turnos'!$B$5:$B$504,$A122,'Registro de turnos'!$A$5:$A$504,"&gt;="&amp;$B$3,'Registro de turnos'!$A$5:$A$504,"&lt;="&amp;$B$4))</f>
        <v/>
      </c>
      <c r="J122" s="19" t="str">
        <f>IF($A122="","",SUMIFS('Registro de turnos'!$R$5:$R$504,'Registro de turnos'!$B$5:$B$504,$A122,'Registro de turnos'!$A$5:$A$504,"&gt;="&amp;$B$3,'Registro de turnos'!$A$5:$A$504,"&lt;="&amp;$B$4))</f>
        <v/>
      </c>
      <c r="K122" s="19" t="str">
        <f t="shared" si="18"/>
        <v/>
      </c>
      <c r="L122" s="17" t="str">
        <f>IF($A122="","",SUMIFS('Registro de turnos'!$T$5:$T$504,'Registro de turnos'!$B$5:$B$504,$A122,'Registro de turnos'!$A$5:$A$504,"&gt;="&amp;$B$3,'Registro de turnos'!$A$5:$A$504,"&lt;="&amp;$B$4))</f>
        <v/>
      </c>
      <c r="M122" s="17" t="str">
        <f t="shared" si="19"/>
        <v/>
      </c>
      <c r="N122" s="17" t="str">
        <f t="shared" si="20"/>
        <v/>
      </c>
      <c r="O122" s="17" t="str">
        <f t="shared" si="21"/>
        <v/>
      </c>
      <c r="P122" s="17" t="str">
        <f>IF($A122="","",ROUND(C122*D122*Parámetros!$B$8*0.0417,0))</f>
        <v/>
      </c>
      <c r="Q122" s="17" t="str">
        <f t="shared" si="22"/>
        <v/>
      </c>
      <c r="R122" s="17" t="str">
        <f t="shared" si="23"/>
        <v/>
      </c>
    </row>
    <row r="123" spans="1:18" x14ac:dyDescent="0.25">
      <c r="A123" s="22" t="str">
        <f>IF(Trabajadores!A121="","",Trabajadores!A121)</f>
        <v/>
      </c>
      <c r="B123" s="23" t="str">
        <f>IF(A123="","",Trabajadores!B121)</f>
        <v/>
      </c>
      <c r="C123" s="24" t="str">
        <f>IF(A123="","",Trabajadores!G121)</f>
        <v/>
      </c>
      <c r="D123" s="19" t="str">
        <f>IF($A123="","",SUMIFS('Registro de turnos'!$L$5:$L$504,'Registro de turnos'!$B$5:$B$504,$A123,'Registro de turnos'!$A$5:$A$504,"&gt;="&amp;$B$3,'Registro de turnos'!$A$5:$A$504,"&lt;="&amp;$B$4))</f>
        <v/>
      </c>
      <c r="E123" s="19" t="str">
        <f>IF($A123="","",SUMIFS('Registro de turnos'!$M$5:$M$504,'Registro de turnos'!$B$5:$B$504,$A123,'Registro de turnos'!$A$5:$A$504,"&gt;="&amp;$B$3,'Registro de turnos'!$A$5:$A$504,"&lt;="&amp;$B$4))</f>
        <v/>
      </c>
      <c r="F123" s="19" t="str">
        <f>IF($A123="","",SUMIFS('Registro de turnos'!$N$5:$N$504,'Registro de turnos'!$B$5:$B$504,$A123,'Registro de turnos'!$A$5:$A$504,"&gt;="&amp;$B$3,'Registro de turnos'!$A$5:$A$504,"&lt;="&amp;$B$4))</f>
        <v/>
      </c>
      <c r="G123" s="19" t="str">
        <f>IF($A123="","",SUMIFS('Registro de turnos'!$O$5:$O$504,'Registro de turnos'!$B$5:$B$504,$A123,'Registro de turnos'!$A$5:$A$504,"&gt;="&amp;$B$3,'Registro de turnos'!$A$5:$A$504,"&lt;="&amp;$B$4))</f>
        <v/>
      </c>
      <c r="H123" s="19" t="str">
        <f>IF($A123="","",SUMIFS('Registro de turnos'!$P$5:$P$504,'Registro de turnos'!$B$5:$B$504,$A123,'Registro de turnos'!$A$5:$A$504,"&gt;="&amp;$B$3,'Registro de turnos'!$A$5:$A$504,"&lt;="&amp;$B$4))</f>
        <v/>
      </c>
      <c r="I123" s="19" t="str">
        <f>IF($A123="","",SUMIFS('Registro de turnos'!$Q$5:$Q$504,'Registro de turnos'!$B$5:$B$504,$A123,'Registro de turnos'!$A$5:$A$504,"&gt;="&amp;$B$3,'Registro de turnos'!$A$5:$A$504,"&lt;="&amp;$B$4))</f>
        <v/>
      </c>
      <c r="J123" s="19" t="str">
        <f>IF($A123="","",SUMIFS('Registro de turnos'!$R$5:$R$504,'Registro de turnos'!$B$5:$B$504,$A123,'Registro de turnos'!$A$5:$A$504,"&gt;="&amp;$B$3,'Registro de turnos'!$A$5:$A$504,"&lt;="&amp;$B$4))</f>
        <v/>
      </c>
      <c r="K123" s="19" t="str">
        <f t="shared" si="18"/>
        <v/>
      </c>
      <c r="L123" s="17" t="str">
        <f>IF($A123="","",SUMIFS('Registro de turnos'!$T$5:$T$504,'Registro de turnos'!$B$5:$B$504,$A123,'Registro de turnos'!$A$5:$A$504,"&gt;="&amp;$B$3,'Registro de turnos'!$A$5:$A$504,"&lt;="&amp;$B$4))</f>
        <v/>
      </c>
      <c r="M123" s="17" t="str">
        <f t="shared" si="19"/>
        <v/>
      </c>
      <c r="N123" s="17" t="str">
        <f t="shared" si="20"/>
        <v/>
      </c>
      <c r="O123" s="17" t="str">
        <f t="shared" si="21"/>
        <v/>
      </c>
      <c r="P123" s="17" t="str">
        <f>IF($A123="","",ROUND(C123*D123*Parámetros!$B$8*0.0417,0))</f>
        <v/>
      </c>
      <c r="Q123" s="17" t="str">
        <f t="shared" si="22"/>
        <v/>
      </c>
      <c r="R123" s="17" t="str">
        <f t="shared" si="23"/>
        <v/>
      </c>
    </row>
    <row r="124" spans="1:18" x14ac:dyDescent="0.25">
      <c r="A124" s="22" t="str">
        <f>IF(Trabajadores!A122="","",Trabajadores!A122)</f>
        <v/>
      </c>
      <c r="B124" s="23" t="str">
        <f>IF(A124="","",Trabajadores!B122)</f>
        <v/>
      </c>
      <c r="C124" s="24" t="str">
        <f>IF(A124="","",Trabajadores!G122)</f>
        <v/>
      </c>
      <c r="D124" s="19" t="str">
        <f>IF($A124="","",SUMIFS('Registro de turnos'!$L$5:$L$504,'Registro de turnos'!$B$5:$B$504,$A124,'Registro de turnos'!$A$5:$A$504,"&gt;="&amp;$B$3,'Registro de turnos'!$A$5:$A$504,"&lt;="&amp;$B$4))</f>
        <v/>
      </c>
      <c r="E124" s="19" t="str">
        <f>IF($A124="","",SUMIFS('Registro de turnos'!$M$5:$M$504,'Registro de turnos'!$B$5:$B$504,$A124,'Registro de turnos'!$A$5:$A$504,"&gt;="&amp;$B$3,'Registro de turnos'!$A$5:$A$504,"&lt;="&amp;$B$4))</f>
        <v/>
      </c>
      <c r="F124" s="19" t="str">
        <f>IF($A124="","",SUMIFS('Registro de turnos'!$N$5:$N$504,'Registro de turnos'!$B$5:$B$504,$A124,'Registro de turnos'!$A$5:$A$504,"&gt;="&amp;$B$3,'Registro de turnos'!$A$5:$A$504,"&lt;="&amp;$B$4))</f>
        <v/>
      </c>
      <c r="G124" s="19" t="str">
        <f>IF($A124="","",SUMIFS('Registro de turnos'!$O$5:$O$504,'Registro de turnos'!$B$5:$B$504,$A124,'Registro de turnos'!$A$5:$A$504,"&gt;="&amp;$B$3,'Registro de turnos'!$A$5:$A$504,"&lt;="&amp;$B$4))</f>
        <v/>
      </c>
      <c r="H124" s="19" t="str">
        <f>IF($A124="","",SUMIFS('Registro de turnos'!$P$5:$P$504,'Registro de turnos'!$B$5:$B$504,$A124,'Registro de turnos'!$A$5:$A$504,"&gt;="&amp;$B$3,'Registro de turnos'!$A$5:$A$504,"&lt;="&amp;$B$4))</f>
        <v/>
      </c>
      <c r="I124" s="19" t="str">
        <f>IF($A124="","",SUMIFS('Registro de turnos'!$Q$5:$Q$504,'Registro de turnos'!$B$5:$B$504,$A124,'Registro de turnos'!$A$5:$A$504,"&gt;="&amp;$B$3,'Registro de turnos'!$A$5:$A$504,"&lt;="&amp;$B$4))</f>
        <v/>
      </c>
      <c r="J124" s="19" t="str">
        <f>IF($A124="","",SUMIFS('Registro de turnos'!$R$5:$R$504,'Registro de turnos'!$B$5:$B$504,$A124,'Registro de turnos'!$A$5:$A$504,"&gt;="&amp;$B$3,'Registro de turnos'!$A$5:$A$504,"&lt;="&amp;$B$4))</f>
        <v/>
      </c>
      <c r="K124" s="19" t="str">
        <f t="shared" si="18"/>
        <v/>
      </c>
      <c r="L124" s="17" t="str">
        <f>IF($A124="","",SUMIFS('Registro de turnos'!$T$5:$T$504,'Registro de turnos'!$B$5:$B$504,$A124,'Registro de turnos'!$A$5:$A$504,"&gt;="&amp;$B$3,'Registro de turnos'!$A$5:$A$504,"&lt;="&amp;$B$4))</f>
        <v/>
      </c>
      <c r="M124" s="17" t="str">
        <f t="shared" si="19"/>
        <v/>
      </c>
      <c r="N124" s="17" t="str">
        <f t="shared" si="20"/>
        <v/>
      </c>
      <c r="O124" s="17" t="str">
        <f t="shared" si="21"/>
        <v/>
      </c>
      <c r="P124" s="17" t="str">
        <f>IF($A124="","",ROUND(C124*D124*Parámetros!$B$8*0.0417,0))</f>
        <v/>
      </c>
      <c r="Q124" s="17" t="str">
        <f t="shared" si="22"/>
        <v/>
      </c>
      <c r="R124" s="17" t="str">
        <f t="shared" si="23"/>
        <v/>
      </c>
    </row>
    <row r="125" spans="1:18" x14ac:dyDescent="0.25">
      <c r="A125" s="22" t="str">
        <f>IF(Trabajadores!A123="","",Trabajadores!A123)</f>
        <v/>
      </c>
      <c r="B125" s="23" t="str">
        <f>IF(A125="","",Trabajadores!B123)</f>
        <v/>
      </c>
      <c r="C125" s="24" t="str">
        <f>IF(A125="","",Trabajadores!G123)</f>
        <v/>
      </c>
      <c r="D125" s="19" t="str">
        <f>IF($A125="","",SUMIFS('Registro de turnos'!$L$5:$L$504,'Registro de turnos'!$B$5:$B$504,$A125,'Registro de turnos'!$A$5:$A$504,"&gt;="&amp;$B$3,'Registro de turnos'!$A$5:$A$504,"&lt;="&amp;$B$4))</f>
        <v/>
      </c>
      <c r="E125" s="19" t="str">
        <f>IF($A125="","",SUMIFS('Registro de turnos'!$M$5:$M$504,'Registro de turnos'!$B$5:$B$504,$A125,'Registro de turnos'!$A$5:$A$504,"&gt;="&amp;$B$3,'Registro de turnos'!$A$5:$A$504,"&lt;="&amp;$B$4))</f>
        <v/>
      </c>
      <c r="F125" s="19" t="str">
        <f>IF($A125="","",SUMIFS('Registro de turnos'!$N$5:$N$504,'Registro de turnos'!$B$5:$B$504,$A125,'Registro de turnos'!$A$5:$A$504,"&gt;="&amp;$B$3,'Registro de turnos'!$A$5:$A$504,"&lt;="&amp;$B$4))</f>
        <v/>
      </c>
      <c r="G125" s="19" t="str">
        <f>IF($A125="","",SUMIFS('Registro de turnos'!$O$5:$O$504,'Registro de turnos'!$B$5:$B$504,$A125,'Registro de turnos'!$A$5:$A$504,"&gt;="&amp;$B$3,'Registro de turnos'!$A$5:$A$504,"&lt;="&amp;$B$4))</f>
        <v/>
      </c>
      <c r="H125" s="19" t="str">
        <f>IF($A125="","",SUMIFS('Registro de turnos'!$P$5:$P$504,'Registro de turnos'!$B$5:$B$504,$A125,'Registro de turnos'!$A$5:$A$504,"&gt;="&amp;$B$3,'Registro de turnos'!$A$5:$A$504,"&lt;="&amp;$B$4))</f>
        <v/>
      </c>
      <c r="I125" s="19" t="str">
        <f>IF($A125="","",SUMIFS('Registro de turnos'!$Q$5:$Q$504,'Registro de turnos'!$B$5:$B$504,$A125,'Registro de turnos'!$A$5:$A$504,"&gt;="&amp;$B$3,'Registro de turnos'!$A$5:$A$504,"&lt;="&amp;$B$4))</f>
        <v/>
      </c>
      <c r="J125" s="19" t="str">
        <f>IF($A125="","",SUMIFS('Registro de turnos'!$R$5:$R$504,'Registro de turnos'!$B$5:$B$504,$A125,'Registro de turnos'!$A$5:$A$504,"&gt;="&amp;$B$3,'Registro de turnos'!$A$5:$A$504,"&lt;="&amp;$B$4))</f>
        <v/>
      </c>
      <c r="K125" s="19" t="str">
        <f t="shared" si="18"/>
        <v/>
      </c>
      <c r="L125" s="17" t="str">
        <f>IF($A125="","",SUMIFS('Registro de turnos'!$T$5:$T$504,'Registro de turnos'!$B$5:$B$504,$A125,'Registro de turnos'!$A$5:$A$504,"&gt;="&amp;$B$3,'Registro de turnos'!$A$5:$A$504,"&lt;="&amp;$B$4))</f>
        <v/>
      </c>
      <c r="M125" s="17" t="str">
        <f t="shared" si="19"/>
        <v/>
      </c>
      <c r="N125" s="17" t="str">
        <f t="shared" si="20"/>
        <v/>
      </c>
      <c r="O125" s="17" t="str">
        <f t="shared" si="21"/>
        <v/>
      </c>
      <c r="P125" s="17" t="str">
        <f>IF($A125="","",ROUND(C125*D125*Parámetros!$B$8*0.0417,0))</f>
        <v/>
      </c>
      <c r="Q125" s="17" t="str">
        <f t="shared" si="22"/>
        <v/>
      </c>
      <c r="R125" s="17" t="str">
        <f t="shared" si="23"/>
        <v/>
      </c>
    </row>
    <row r="126" spans="1:18" x14ac:dyDescent="0.25">
      <c r="A126" s="22" t="str">
        <f>IF(Trabajadores!A124="","",Trabajadores!A124)</f>
        <v/>
      </c>
      <c r="B126" s="23" t="str">
        <f>IF(A126="","",Trabajadores!B124)</f>
        <v/>
      </c>
      <c r="C126" s="24" t="str">
        <f>IF(A126="","",Trabajadores!G124)</f>
        <v/>
      </c>
      <c r="D126" s="19" t="str">
        <f>IF($A126="","",SUMIFS('Registro de turnos'!$L$5:$L$504,'Registro de turnos'!$B$5:$B$504,$A126,'Registro de turnos'!$A$5:$A$504,"&gt;="&amp;$B$3,'Registro de turnos'!$A$5:$A$504,"&lt;="&amp;$B$4))</f>
        <v/>
      </c>
      <c r="E126" s="19" t="str">
        <f>IF($A126="","",SUMIFS('Registro de turnos'!$M$5:$M$504,'Registro de turnos'!$B$5:$B$504,$A126,'Registro de turnos'!$A$5:$A$504,"&gt;="&amp;$B$3,'Registro de turnos'!$A$5:$A$504,"&lt;="&amp;$B$4))</f>
        <v/>
      </c>
      <c r="F126" s="19" t="str">
        <f>IF($A126="","",SUMIFS('Registro de turnos'!$N$5:$N$504,'Registro de turnos'!$B$5:$B$504,$A126,'Registro de turnos'!$A$5:$A$504,"&gt;="&amp;$B$3,'Registro de turnos'!$A$5:$A$504,"&lt;="&amp;$B$4))</f>
        <v/>
      </c>
      <c r="G126" s="19" t="str">
        <f>IF($A126="","",SUMIFS('Registro de turnos'!$O$5:$O$504,'Registro de turnos'!$B$5:$B$504,$A126,'Registro de turnos'!$A$5:$A$504,"&gt;="&amp;$B$3,'Registro de turnos'!$A$5:$A$504,"&lt;="&amp;$B$4))</f>
        <v/>
      </c>
      <c r="H126" s="19" t="str">
        <f>IF($A126="","",SUMIFS('Registro de turnos'!$P$5:$P$504,'Registro de turnos'!$B$5:$B$504,$A126,'Registro de turnos'!$A$5:$A$504,"&gt;="&amp;$B$3,'Registro de turnos'!$A$5:$A$504,"&lt;="&amp;$B$4))</f>
        <v/>
      </c>
      <c r="I126" s="19" t="str">
        <f>IF($A126="","",SUMIFS('Registro de turnos'!$Q$5:$Q$504,'Registro de turnos'!$B$5:$B$504,$A126,'Registro de turnos'!$A$5:$A$504,"&gt;="&amp;$B$3,'Registro de turnos'!$A$5:$A$504,"&lt;="&amp;$B$4))</f>
        <v/>
      </c>
      <c r="J126" s="19" t="str">
        <f>IF($A126="","",SUMIFS('Registro de turnos'!$R$5:$R$504,'Registro de turnos'!$B$5:$B$504,$A126,'Registro de turnos'!$A$5:$A$504,"&gt;="&amp;$B$3,'Registro de turnos'!$A$5:$A$504,"&lt;="&amp;$B$4))</f>
        <v/>
      </c>
      <c r="K126" s="19" t="str">
        <f t="shared" si="18"/>
        <v/>
      </c>
      <c r="L126" s="17" t="str">
        <f>IF($A126="","",SUMIFS('Registro de turnos'!$T$5:$T$504,'Registro de turnos'!$B$5:$B$504,$A126,'Registro de turnos'!$A$5:$A$504,"&gt;="&amp;$B$3,'Registro de turnos'!$A$5:$A$504,"&lt;="&amp;$B$4))</f>
        <v/>
      </c>
      <c r="M126" s="17" t="str">
        <f t="shared" si="19"/>
        <v/>
      </c>
      <c r="N126" s="17" t="str">
        <f t="shared" si="20"/>
        <v/>
      </c>
      <c r="O126" s="17" t="str">
        <f t="shared" si="21"/>
        <v/>
      </c>
      <c r="P126" s="17" t="str">
        <f>IF($A126="","",ROUND(C126*D126*Parámetros!$B$8*0.0417,0))</f>
        <v/>
      </c>
      <c r="Q126" s="17" t="str">
        <f t="shared" si="22"/>
        <v/>
      </c>
      <c r="R126" s="17" t="str">
        <f t="shared" si="23"/>
        <v/>
      </c>
    </row>
    <row r="127" spans="1:18" x14ac:dyDescent="0.25">
      <c r="A127" s="22" t="str">
        <f>IF(Trabajadores!A125="","",Trabajadores!A125)</f>
        <v/>
      </c>
      <c r="B127" s="23" t="str">
        <f>IF(A127="","",Trabajadores!B125)</f>
        <v/>
      </c>
      <c r="C127" s="24" t="str">
        <f>IF(A127="","",Trabajadores!G125)</f>
        <v/>
      </c>
      <c r="D127" s="19" t="str">
        <f>IF($A127="","",SUMIFS('Registro de turnos'!$L$5:$L$504,'Registro de turnos'!$B$5:$B$504,$A127,'Registro de turnos'!$A$5:$A$504,"&gt;="&amp;$B$3,'Registro de turnos'!$A$5:$A$504,"&lt;="&amp;$B$4))</f>
        <v/>
      </c>
      <c r="E127" s="19" t="str">
        <f>IF($A127="","",SUMIFS('Registro de turnos'!$M$5:$M$504,'Registro de turnos'!$B$5:$B$504,$A127,'Registro de turnos'!$A$5:$A$504,"&gt;="&amp;$B$3,'Registro de turnos'!$A$5:$A$504,"&lt;="&amp;$B$4))</f>
        <v/>
      </c>
      <c r="F127" s="19" t="str">
        <f>IF($A127="","",SUMIFS('Registro de turnos'!$N$5:$N$504,'Registro de turnos'!$B$5:$B$504,$A127,'Registro de turnos'!$A$5:$A$504,"&gt;="&amp;$B$3,'Registro de turnos'!$A$5:$A$504,"&lt;="&amp;$B$4))</f>
        <v/>
      </c>
      <c r="G127" s="19" t="str">
        <f>IF($A127="","",SUMIFS('Registro de turnos'!$O$5:$O$504,'Registro de turnos'!$B$5:$B$504,$A127,'Registro de turnos'!$A$5:$A$504,"&gt;="&amp;$B$3,'Registro de turnos'!$A$5:$A$504,"&lt;="&amp;$B$4))</f>
        <v/>
      </c>
      <c r="H127" s="19" t="str">
        <f>IF($A127="","",SUMIFS('Registro de turnos'!$P$5:$P$504,'Registro de turnos'!$B$5:$B$504,$A127,'Registro de turnos'!$A$5:$A$504,"&gt;="&amp;$B$3,'Registro de turnos'!$A$5:$A$504,"&lt;="&amp;$B$4))</f>
        <v/>
      </c>
      <c r="I127" s="19" t="str">
        <f>IF($A127="","",SUMIFS('Registro de turnos'!$Q$5:$Q$504,'Registro de turnos'!$B$5:$B$504,$A127,'Registro de turnos'!$A$5:$A$504,"&gt;="&amp;$B$3,'Registro de turnos'!$A$5:$A$504,"&lt;="&amp;$B$4))</f>
        <v/>
      </c>
      <c r="J127" s="19" t="str">
        <f>IF($A127="","",SUMIFS('Registro de turnos'!$R$5:$R$504,'Registro de turnos'!$B$5:$B$504,$A127,'Registro de turnos'!$A$5:$A$504,"&gt;="&amp;$B$3,'Registro de turnos'!$A$5:$A$504,"&lt;="&amp;$B$4))</f>
        <v/>
      </c>
      <c r="K127" s="19" t="str">
        <f t="shared" si="18"/>
        <v/>
      </c>
      <c r="L127" s="17" t="str">
        <f>IF($A127="","",SUMIFS('Registro de turnos'!$T$5:$T$504,'Registro de turnos'!$B$5:$B$504,$A127,'Registro de turnos'!$A$5:$A$504,"&gt;="&amp;$B$3,'Registro de turnos'!$A$5:$A$504,"&lt;="&amp;$B$4))</f>
        <v/>
      </c>
      <c r="M127" s="17" t="str">
        <f t="shared" si="19"/>
        <v/>
      </c>
      <c r="N127" s="17" t="str">
        <f t="shared" si="20"/>
        <v/>
      </c>
      <c r="O127" s="17" t="str">
        <f t="shared" si="21"/>
        <v/>
      </c>
      <c r="P127" s="17" t="str">
        <f>IF($A127="","",ROUND(C127*D127*Parámetros!$B$8*0.0417,0))</f>
        <v/>
      </c>
      <c r="Q127" s="17" t="str">
        <f t="shared" si="22"/>
        <v/>
      </c>
      <c r="R127" s="17" t="str">
        <f t="shared" si="23"/>
        <v/>
      </c>
    </row>
    <row r="128" spans="1:18" x14ac:dyDescent="0.25">
      <c r="A128" s="22" t="str">
        <f>IF(Trabajadores!A126="","",Trabajadores!A126)</f>
        <v/>
      </c>
      <c r="B128" s="23" t="str">
        <f>IF(A128="","",Trabajadores!B126)</f>
        <v/>
      </c>
      <c r="C128" s="24" t="str">
        <f>IF(A128="","",Trabajadores!G126)</f>
        <v/>
      </c>
      <c r="D128" s="19" t="str">
        <f>IF($A128="","",SUMIFS('Registro de turnos'!$L$5:$L$504,'Registro de turnos'!$B$5:$B$504,$A128,'Registro de turnos'!$A$5:$A$504,"&gt;="&amp;$B$3,'Registro de turnos'!$A$5:$A$504,"&lt;="&amp;$B$4))</f>
        <v/>
      </c>
      <c r="E128" s="19" t="str">
        <f>IF($A128="","",SUMIFS('Registro de turnos'!$M$5:$M$504,'Registro de turnos'!$B$5:$B$504,$A128,'Registro de turnos'!$A$5:$A$504,"&gt;="&amp;$B$3,'Registro de turnos'!$A$5:$A$504,"&lt;="&amp;$B$4))</f>
        <v/>
      </c>
      <c r="F128" s="19" t="str">
        <f>IF($A128="","",SUMIFS('Registro de turnos'!$N$5:$N$504,'Registro de turnos'!$B$5:$B$504,$A128,'Registro de turnos'!$A$5:$A$504,"&gt;="&amp;$B$3,'Registro de turnos'!$A$5:$A$504,"&lt;="&amp;$B$4))</f>
        <v/>
      </c>
      <c r="G128" s="19" t="str">
        <f>IF($A128="","",SUMIFS('Registro de turnos'!$O$5:$O$504,'Registro de turnos'!$B$5:$B$504,$A128,'Registro de turnos'!$A$5:$A$504,"&gt;="&amp;$B$3,'Registro de turnos'!$A$5:$A$504,"&lt;="&amp;$B$4))</f>
        <v/>
      </c>
      <c r="H128" s="19" t="str">
        <f>IF($A128="","",SUMIFS('Registro de turnos'!$P$5:$P$504,'Registro de turnos'!$B$5:$B$504,$A128,'Registro de turnos'!$A$5:$A$504,"&gt;="&amp;$B$3,'Registro de turnos'!$A$5:$A$504,"&lt;="&amp;$B$4))</f>
        <v/>
      </c>
      <c r="I128" s="19" t="str">
        <f>IF($A128="","",SUMIFS('Registro de turnos'!$Q$5:$Q$504,'Registro de turnos'!$B$5:$B$504,$A128,'Registro de turnos'!$A$5:$A$504,"&gt;="&amp;$B$3,'Registro de turnos'!$A$5:$A$504,"&lt;="&amp;$B$4))</f>
        <v/>
      </c>
      <c r="J128" s="19" t="str">
        <f>IF($A128="","",SUMIFS('Registro de turnos'!$R$5:$R$504,'Registro de turnos'!$B$5:$B$504,$A128,'Registro de turnos'!$A$5:$A$504,"&gt;="&amp;$B$3,'Registro de turnos'!$A$5:$A$504,"&lt;="&amp;$B$4))</f>
        <v/>
      </c>
      <c r="K128" s="19" t="str">
        <f t="shared" si="18"/>
        <v/>
      </c>
      <c r="L128" s="17" t="str">
        <f>IF($A128="","",SUMIFS('Registro de turnos'!$T$5:$T$504,'Registro de turnos'!$B$5:$B$504,$A128,'Registro de turnos'!$A$5:$A$504,"&gt;="&amp;$B$3,'Registro de turnos'!$A$5:$A$504,"&lt;="&amp;$B$4))</f>
        <v/>
      </c>
      <c r="M128" s="17" t="str">
        <f t="shared" si="19"/>
        <v/>
      </c>
      <c r="N128" s="17" t="str">
        <f t="shared" si="20"/>
        <v/>
      </c>
      <c r="O128" s="17" t="str">
        <f t="shared" si="21"/>
        <v/>
      </c>
      <c r="P128" s="17" t="str">
        <f>IF($A128="","",ROUND(C128*D128*Parámetros!$B$8*0.0417,0))</f>
        <v/>
      </c>
      <c r="Q128" s="17" t="str">
        <f t="shared" si="22"/>
        <v/>
      </c>
      <c r="R128" s="17" t="str">
        <f t="shared" si="23"/>
        <v/>
      </c>
    </row>
    <row r="129" spans="1:18" x14ac:dyDescent="0.25">
      <c r="A129" s="22" t="str">
        <f>IF(Trabajadores!A127="","",Trabajadores!A127)</f>
        <v/>
      </c>
      <c r="B129" s="23" t="str">
        <f>IF(A129="","",Trabajadores!B127)</f>
        <v/>
      </c>
      <c r="C129" s="24" t="str">
        <f>IF(A129="","",Trabajadores!G127)</f>
        <v/>
      </c>
      <c r="D129" s="19" t="str">
        <f>IF($A129="","",SUMIFS('Registro de turnos'!$L$5:$L$504,'Registro de turnos'!$B$5:$B$504,$A129,'Registro de turnos'!$A$5:$A$504,"&gt;="&amp;$B$3,'Registro de turnos'!$A$5:$A$504,"&lt;="&amp;$B$4))</f>
        <v/>
      </c>
      <c r="E129" s="19" t="str">
        <f>IF($A129="","",SUMIFS('Registro de turnos'!$M$5:$M$504,'Registro de turnos'!$B$5:$B$504,$A129,'Registro de turnos'!$A$5:$A$504,"&gt;="&amp;$B$3,'Registro de turnos'!$A$5:$A$504,"&lt;="&amp;$B$4))</f>
        <v/>
      </c>
      <c r="F129" s="19" t="str">
        <f>IF($A129="","",SUMIFS('Registro de turnos'!$N$5:$N$504,'Registro de turnos'!$B$5:$B$504,$A129,'Registro de turnos'!$A$5:$A$504,"&gt;="&amp;$B$3,'Registro de turnos'!$A$5:$A$504,"&lt;="&amp;$B$4))</f>
        <v/>
      </c>
      <c r="G129" s="19" t="str">
        <f>IF($A129="","",SUMIFS('Registro de turnos'!$O$5:$O$504,'Registro de turnos'!$B$5:$B$504,$A129,'Registro de turnos'!$A$5:$A$504,"&gt;="&amp;$B$3,'Registro de turnos'!$A$5:$A$504,"&lt;="&amp;$B$4))</f>
        <v/>
      </c>
      <c r="H129" s="19" t="str">
        <f>IF($A129="","",SUMIFS('Registro de turnos'!$P$5:$P$504,'Registro de turnos'!$B$5:$B$504,$A129,'Registro de turnos'!$A$5:$A$504,"&gt;="&amp;$B$3,'Registro de turnos'!$A$5:$A$504,"&lt;="&amp;$B$4))</f>
        <v/>
      </c>
      <c r="I129" s="19" t="str">
        <f>IF($A129="","",SUMIFS('Registro de turnos'!$Q$5:$Q$504,'Registro de turnos'!$B$5:$B$504,$A129,'Registro de turnos'!$A$5:$A$504,"&gt;="&amp;$B$3,'Registro de turnos'!$A$5:$A$504,"&lt;="&amp;$B$4))</f>
        <v/>
      </c>
      <c r="J129" s="19" t="str">
        <f>IF($A129="","",SUMIFS('Registro de turnos'!$R$5:$R$504,'Registro de turnos'!$B$5:$B$504,$A129,'Registro de turnos'!$A$5:$A$504,"&gt;="&amp;$B$3,'Registro de turnos'!$A$5:$A$504,"&lt;="&amp;$B$4))</f>
        <v/>
      </c>
      <c r="K129" s="19" t="str">
        <f t="shared" si="18"/>
        <v/>
      </c>
      <c r="L129" s="17" t="str">
        <f>IF($A129="","",SUMIFS('Registro de turnos'!$T$5:$T$504,'Registro de turnos'!$B$5:$B$504,$A129,'Registro de turnos'!$A$5:$A$504,"&gt;="&amp;$B$3,'Registro de turnos'!$A$5:$A$504,"&lt;="&amp;$B$4))</f>
        <v/>
      </c>
      <c r="M129" s="17" t="str">
        <f t="shared" si="19"/>
        <v/>
      </c>
      <c r="N129" s="17" t="str">
        <f t="shared" si="20"/>
        <v/>
      </c>
      <c r="O129" s="17" t="str">
        <f t="shared" si="21"/>
        <v/>
      </c>
      <c r="P129" s="17" t="str">
        <f>IF($A129="","",ROUND(C129*D129*Parámetros!$B$8*0.0417,0))</f>
        <v/>
      </c>
      <c r="Q129" s="17" t="str">
        <f t="shared" si="22"/>
        <v/>
      </c>
      <c r="R129" s="17" t="str">
        <f t="shared" si="23"/>
        <v/>
      </c>
    </row>
    <row r="130" spans="1:18" x14ac:dyDescent="0.25">
      <c r="A130" s="22" t="str">
        <f>IF(Trabajadores!A128="","",Trabajadores!A128)</f>
        <v/>
      </c>
      <c r="B130" s="23" t="str">
        <f>IF(A130="","",Trabajadores!B128)</f>
        <v/>
      </c>
      <c r="C130" s="24" t="str">
        <f>IF(A130="","",Trabajadores!G128)</f>
        <v/>
      </c>
      <c r="D130" s="19" t="str">
        <f>IF($A130="","",SUMIFS('Registro de turnos'!$L$5:$L$504,'Registro de turnos'!$B$5:$B$504,$A130,'Registro de turnos'!$A$5:$A$504,"&gt;="&amp;$B$3,'Registro de turnos'!$A$5:$A$504,"&lt;="&amp;$B$4))</f>
        <v/>
      </c>
      <c r="E130" s="19" t="str">
        <f>IF($A130="","",SUMIFS('Registro de turnos'!$M$5:$M$504,'Registro de turnos'!$B$5:$B$504,$A130,'Registro de turnos'!$A$5:$A$504,"&gt;="&amp;$B$3,'Registro de turnos'!$A$5:$A$504,"&lt;="&amp;$B$4))</f>
        <v/>
      </c>
      <c r="F130" s="19" t="str">
        <f>IF($A130="","",SUMIFS('Registro de turnos'!$N$5:$N$504,'Registro de turnos'!$B$5:$B$504,$A130,'Registro de turnos'!$A$5:$A$504,"&gt;="&amp;$B$3,'Registro de turnos'!$A$5:$A$504,"&lt;="&amp;$B$4))</f>
        <v/>
      </c>
      <c r="G130" s="19" t="str">
        <f>IF($A130="","",SUMIFS('Registro de turnos'!$O$5:$O$504,'Registro de turnos'!$B$5:$B$504,$A130,'Registro de turnos'!$A$5:$A$504,"&gt;="&amp;$B$3,'Registro de turnos'!$A$5:$A$504,"&lt;="&amp;$B$4))</f>
        <v/>
      </c>
      <c r="H130" s="19" t="str">
        <f>IF($A130="","",SUMIFS('Registro de turnos'!$P$5:$P$504,'Registro de turnos'!$B$5:$B$504,$A130,'Registro de turnos'!$A$5:$A$504,"&gt;="&amp;$B$3,'Registro de turnos'!$A$5:$A$504,"&lt;="&amp;$B$4))</f>
        <v/>
      </c>
      <c r="I130" s="19" t="str">
        <f>IF($A130="","",SUMIFS('Registro de turnos'!$Q$5:$Q$504,'Registro de turnos'!$B$5:$B$504,$A130,'Registro de turnos'!$A$5:$A$504,"&gt;="&amp;$B$3,'Registro de turnos'!$A$5:$A$504,"&lt;="&amp;$B$4))</f>
        <v/>
      </c>
      <c r="J130" s="19" t="str">
        <f>IF($A130="","",SUMIFS('Registro de turnos'!$R$5:$R$504,'Registro de turnos'!$B$5:$B$504,$A130,'Registro de turnos'!$A$5:$A$504,"&gt;="&amp;$B$3,'Registro de turnos'!$A$5:$A$504,"&lt;="&amp;$B$4))</f>
        <v/>
      </c>
      <c r="K130" s="19" t="str">
        <f t="shared" si="18"/>
        <v/>
      </c>
      <c r="L130" s="17" t="str">
        <f>IF($A130="","",SUMIFS('Registro de turnos'!$T$5:$T$504,'Registro de turnos'!$B$5:$B$504,$A130,'Registro de turnos'!$A$5:$A$504,"&gt;="&amp;$B$3,'Registro de turnos'!$A$5:$A$504,"&lt;="&amp;$B$4))</f>
        <v/>
      </c>
      <c r="M130" s="17" t="str">
        <f t="shared" si="19"/>
        <v/>
      </c>
      <c r="N130" s="17" t="str">
        <f t="shared" si="20"/>
        <v/>
      </c>
      <c r="O130" s="17" t="str">
        <f t="shared" si="21"/>
        <v/>
      </c>
      <c r="P130" s="17" t="str">
        <f>IF($A130="","",ROUND(C130*D130*Parámetros!$B$8*0.0417,0))</f>
        <v/>
      </c>
      <c r="Q130" s="17" t="str">
        <f t="shared" si="22"/>
        <v/>
      </c>
      <c r="R130" s="17" t="str">
        <f t="shared" si="23"/>
        <v/>
      </c>
    </row>
    <row r="131" spans="1:18" x14ac:dyDescent="0.25">
      <c r="A131" s="22" t="str">
        <f>IF(Trabajadores!A129="","",Trabajadores!A129)</f>
        <v/>
      </c>
      <c r="B131" s="23" t="str">
        <f>IF(A131="","",Trabajadores!B129)</f>
        <v/>
      </c>
      <c r="C131" s="24" t="str">
        <f>IF(A131="","",Trabajadores!G129)</f>
        <v/>
      </c>
      <c r="D131" s="19" t="str">
        <f>IF($A131="","",SUMIFS('Registro de turnos'!$L$5:$L$504,'Registro de turnos'!$B$5:$B$504,$A131,'Registro de turnos'!$A$5:$A$504,"&gt;="&amp;$B$3,'Registro de turnos'!$A$5:$A$504,"&lt;="&amp;$B$4))</f>
        <v/>
      </c>
      <c r="E131" s="19" t="str">
        <f>IF($A131="","",SUMIFS('Registro de turnos'!$M$5:$M$504,'Registro de turnos'!$B$5:$B$504,$A131,'Registro de turnos'!$A$5:$A$504,"&gt;="&amp;$B$3,'Registro de turnos'!$A$5:$A$504,"&lt;="&amp;$B$4))</f>
        <v/>
      </c>
      <c r="F131" s="19" t="str">
        <f>IF($A131="","",SUMIFS('Registro de turnos'!$N$5:$N$504,'Registro de turnos'!$B$5:$B$504,$A131,'Registro de turnos'!$A$5:$A$504,"&gt;="&amp;$B$3,'Registro de turnos'!$A$5:$A$504,"&lt;="&amp;$B$4))</f>
        <v/>
      </c>
      <c r="G131" s="19" t="str">
        <f>IF($A131="","",SUMIFS('Registro de turnos'!$O$5:$O$504,'Registro de turnos'!$B$5:$B$504,$A131,'Registro de turnos'!$A$5:$A$504,"&gt;="&amp;$B$3,'Registro de turnos'!$A$5:$A$504,"&lt;="&amp;$B$4))</f>
        <v/>
      </c>
      <c r="H131" s="19" t="str">
        <f>IF($A131="","",SUMIFS('Registro de turnos'!$P$5:$P$504,'Registro de turnos'!$B$5:$B$504,$A131,'Registro de turnos'!$A$5:$A$504,"&gt;="&amp;$B$3,'Registro de turnos'!$A$5:$A$504,"&lt;="&amp;$B$4))</f>
        <v/>
      </c>
      <c r="I131" s="19" t="str">
        <f>IF($A131="","",SUMIFS('Registro de turnos'!$Q$5:$Q$504,'Registro de turnos'!$B$5:$B$504,$A131,'Registro de turnos'!$A$5:$A$504,"&gt;="&amp;$B$3,'Registro de turnos'!$A$5:$A$504,"&lt;="&amp;$B$4))</f>
        <v/>
      </c>
      <c r="J131" s="19" t="str">
        <f>IF($A131="","",SUMIFS('Registro de turnos'!$R$5:$R$504,'Registro de turnos'!$B$5:$B$504,$A131,'Registro de turnos'!$A$5:$A$504,"&gt;="&amp;$B$3,'Registro de turnos'!$A$5:$A$504,"&lt;="&amp;$B$4))</f>
        <v/>
      </c>
      <c r="K131" s="19" t="str">
        <f t="shared" si="18"/>
        <v/>
      </c>
      <c r="L131" s="17" t="str">
        <f>IF($A131="","",SUMIFS('Registro de turnos'!$T$5:$T$504,'Registro de turnos'!$B$5:$B$504,$A131,'Registro de turnos'!$A$5:$A$504,"&gt;="&amp;$B$3,'Registro de turnos'!$A$5:$A$504,"&lt;="&amp;$B$4))</f>
        <v/>
      </c>
      <c r="M131" s="17" t="str">
        <f t="shared" si="19"/>
        <v/>
      </c>
      <c r="N131" s="17" t="str">
        <f t="shared" si="20"/>
        <v/>
      </c>
      <c r="O131" s="17" t="str">
        <f t="shared" si="21"/>
        <v/>
      </c>
      <c r="P131" s="17" t="str">
        <f>IF($A131="","",ROUND(C131*D131*Parámetros!$B$8*0.0417,0))</f>
        <v/>
      </c>
      <c r="Q131" s="17" t="str">
        <f t="shared" si="22"/>
        <v/>
      </c>
      <c r="R131" s="17" t="str">
        <f t="shared" si="23"/>
        <v/>
      </c>
    </row>
    <row r="132" spans="1:18" x14ac:dyDescent="0.25">
      <c r="A132" s="22" t="str">
        <f>IF(Trabajadores!A130="","",Trabajadores!A130)</f>
        <v/>
      </c>
      <c r="B132" s="23" t="str">
        <f>IF(A132="","",Trabajadores!B130)</f>
        <v/>
      </c>
      <c r="C132" s="24" t="str">
        <f>IF(A132="","",Trabajadores!G130)</f>
        <v/>
      </c>
      <c r="D132" s="19" t="str">
        <f>IF($A132="","",SUMIFS('Registro de turnos'!$L$5:$L$504,'Registro de turnos'!$B$5:$B$504,$A132,'Registro de turnos'!$A$5:$A$504,"&gt;="&amp;$B$3,'Registro de turnos'!$A$5:$A$504,"&lt;="&amp;$B$4))</f>
        <v/>
      </c>
      <c r="E132" s="19" t="str">
        <f>IF($A132="","",SUMIFS('Registro de turnos'!$M$5:$M$504,'Registro de turnos'!$B$5:$B$504,$A132,'Registro de turnos'!$A$5:$A$504,"&gt;="&amp;$B$3,'Registro de turnos'!$A$5:$A$504,"&lt;="&amp;$B$4))</f>
        <v/>
      </c>
      <c r="F132" s="19" t="str">
        <f>IF($A132="","",SUMIFS('Registro de turnos'!$N$5:$N$504,'Registro de turnos'!$B$5:$B$504,$A132,'Registro de turnos'!$A$5:$A$504,"&gt;="&amp;$B$3,'Registro de turnos'!$A$5:$A$504,"&lt;="&amp;$B$4))</f>
        <v/>
      </c>
      <c r="G132" s="19" t="str">
        <f>IF($A132="","",SUMIFS('Registro de turnos'!$O$5:$O$504,'Registro de turnos'!$B$5:$B$504,$A132,'Registro de turnos'!$A$5:$A$504,"&gt;="&amp;$B$3,'Registro de turnos'!$A$5:$A$504,"&lt;="&amp;$B$4))</f>
        <v/>
      </c>
      <c r="H132" s="19" t="str">
        <f>IF($A132="","",SUMIFS('Registro de turnos'!$P$5:$P$504,'Registro de turnos'!$B$5:$B$504,$A132,'Registro de turnos'!$A$5:$A$504,"&gt;="&amp;$B$3,'Registro de turnos'!$A$5:$A$504,"&lt;="&amp;$B$4))</f>
        <v/>
      </c>
      <c r="I132" s="19" t="str">
        <f>IF($A132="","",SUMIFS('Registro de turnos'!$Q$5:$Q$504,'Registro de turnos'!$B$5:$B$504,$A132,'Registro de turnos'!$A$5:$A$504,"&gt;="&amp;$B$3,'Registro de turnos'!$A$5:$A$504,"&lt;="&amp;$B$4))</f>
        <v/>
      </c>
      <c r="J132" s="19" t="str">
        <f>IF($A132="","",SUMIFS('Registro de turnos'!$R$5:$R$504,'Registro de turnos'!$B$5:$B$504,$A132,'Registro de turnos'!$A$5:$A$504,"&gt;="&amp;$B$3,'Registro de turnos'!$A$5:$A$504,"&lt;="&amp;$B$4))</f>
        <v/>
      </c>
      <c r="K132" s="19" t="str">
        <f t="shared" si="18"/>
        <v/>
      </c>
      <c r="L132" s="17" t="str">
        <f>IF($A132="","",SUMIFS('Registro de turnos'!$T$5:$T$504,'Registro de turnos'!$B$5:$B$504,$A132,'Registro de turnos'!$A$5:$A$504,"&gt;="&amp;$B$3,'Registro de turnos'!$A$5:$A$504,"&lt;="&amp;$B$4))</f>
        <v/>
      </c>
      <c r="M132" s="17" t="str">
        <f t="shared" si="19"/>
        <v/>
      </c>
      <c r="N132" s="17" t="str">
        <f t="shared" si="20"/>
        <v/>
      </c>
      <c r="O132" s="17" t="str">
        <f t="shared" si="21"/>
        <v/>
      </c>
      <c r="P132" s="17" t="str">
        <f>IF($A132="","",ROUND(C132*D132*Parámetros!$B$8*0.0417,0))</f>
        <v/>
      </c>
      <c r="Q132" s="17" t="str">
        <f t="shared" si="22"/>
        <v/>
      </c>
      <c r="R132" s="17" t="str">
        <f t="shared" si="23"/>
        <v/>
      </c>
    </row>
    <row r="133" spans="1:18" x14ac:dyDescent="0.25">
      <c r="A133" s="22" t="str">
        <f>IF(Trabajadores!A131="","",Trabajadores!A131)</f>
        <v/>
      </c>
      <c r="B133" s="23" t="str">
        <f>IF(A133="","",Trabajadores!B131)</f>
        <v/>
      </c>
      <c r="C133" s="24" t="str">
        <f>IF(A133="","",Trabajadores!G131)</f>
        <v/>
      </c>
      <c r="D133" s="19" t="str">
        <f>IF($A133="","",SUMIFS('Registro de turnos'!$L$5:$L$504,'Registro de turnos'!$B$5:$B$504,$A133,'Registro de turnos'!$A$5:$A$504,"&gt;="&amp;$B$3,'Registro de turnos'!$A$5:$A$504,"&lt;="&amp;$B$4))</f>
        <v/>
      </c>
      <c r="E133" s="19" t="str">
        <f>IF($A133="","",SUMIFS('Registro de turnos'!$M$5:$M$504,'Registro de turnos'!$B$5:$B$504,$A133,'Registro de turnos'!$A$5:$A$504,"&gt;="&amp;$B$3,'Registro de turnos'!$A$5:$A$504,"&lt;="&amp;$B$4))</f>
        <v/>
      </c>
      <c r="F133" s="19" t="str">
        <f>IF($A133="","",SUMIFS('Registro de turnos'!$N$5:$N$504,'Registro de turnos'!$B$5:$B$504,$A133,'Registro de turnos'!$A$5:$A$504,"&gt;="&amp;$B$3,'Registro de turnos'!$A$5:$A$504,"&lt;="&amp;$B$4))</f>
        <v/>
      </c>
      <c r="G133" s="19" t="str">
        <f>IF($A133="","",SUMIFS('Registro de turnos'!$O$5:$O$504,'Registro de turnos'!$B$5:$B$504,$A133,'Registro de turnos'!$A$5:$A$504,"&gt;="&amp;$B$3,'Registro de turnos'!$A$5:$A$504,"&lt;="&amp;$B$4))</f>
        <v/>
      </c>
      <c r="H133" s="19" t="str">
        <f>IF($A133="","",SUMIFS('Registro de turnos'!$P$5:$P$504,'Registro de turnos'!$B$5:$B$504,$A133,'Registro de turnos'!$A$5:$A$504,"&gt;="&amp;$B$3,'Registro de turnos'!$A$5:$A$504,"&lt;="&amp;$B$4))</f>
        <v/>
      </c>
      <c r="I133" s="19" t="str">
        <f>IF($A133="","",SUMIFS('Registro de turnos'!$Q$5:$Q$504,'Registro de turnos'!$B$5:$B$504,$A133,'Registro de turnos'!$A$5:$A$504,"&gt;="&amp;$B$3,'Registro de turnos'!$A$5:$A$504,"&lt;="&amp;$B$4))</f>
        <v/>
      </c>
      <c r="J133" s="19" t="str">
        <f>IF($A133="","",SUMIFS('Registro de turnos'!$R$5:$R$504,'Registro de turnos'!$B$5:$B$504,$A133,'Registro de turnos'!$A$5:$A$504,"&gt;="&amp;$B$3,'Registro de turnos'!$A$5:$A$504,"&lt;="&amp;$B$4))</f>
        <v/>
      </c>
      <c r="K133" s="19" t="str">
        <f t="shared" si="18"/>
        <v/>
      </c>
      <c r="L133" s="17" t="str">
        <f>IF($A133="","",SUMIFS('Registro de turnos'!$T$5:$T$504,'Registro de turnos'!$B$5:$B$504,$A133,'Registro de turnos'!$A$5:$A$504,"&gt;="&amp;$B$3,'Registro de turnos'!$A$5:$A$504,"&lt;="&amp;$B$4))</f>
        <v/>
      </c>
      <c r="M133" s="17" t="str">
        <f t="shared" si="19"/>
        <v/>
      </c>
      <c r="N133" s="17" t="str">
        <f t="shared" si="20"/>
        <v/>
      </c>
      <c r="O133" s="17" t="str">
        <f t="shared" si="21"/>
        <v/>
      </c>
      <c r="P133" s="17" t="str">
        <f>IF($A133="","",ROUND(C133*D133*Parámetros!$B$8*0.0417,0))</f>
        <v/>
      </c>
      <c r="Q133" s="17" t="str">
        <f t="shared" si="22"/>
        <v/>
      </c>
      <c r="R133" s="17" t="str">
        <f t="shared" si="23"/>
        <v/>
      </c>
    </row>
    <row r="134" spans="1:18" x14ac:dyDescent="0.25">
      <c r="A134" s="22" t="str">
        <f>IF(Trabajadores!A132="","",Trabajadores!A132)</f>
        <v/>
      </c>
      <c r="B134" s="23" t="str">
        <f>IF(A134="","",Trabajadores!B132)</f>
        <v/>
      </c>
      <c r="C134" s="24" t="str">
        <f>IF(A134="","",Trabajadores!G132)</f>
        <v/>
      </c>
      <c r="D134" s="19" t="str">
        <f>IF($A134="","",SUMIFS('Registro de turnos'!$L$5:$L$504,'Registro de turnos'!$B$5:$B$504,$A134,'Registro de turnos'!$A$5:$A$504,"&gt;="&amp;$B$3,'Registro de turnos'!$A$5:$A$504,"&lt;="&amp;$B$4))</f>
        <v/>
      </c>
      <c r="E134" s="19" t="str">
        <f>IF($A134="","",SUMIFS('Registro de turnos'!$M$5:$M$504,'Registro de turnos'!$B$5:$B$504,$A134,'Registro de turnos'!$A$5:$A$504,"&gt;="&amp;$B$3,'Registro de turnos'!$A$5:$A$504,"&lt;="&amp;$B$4))</f>
        <v/>
      </c>
      <c r="F134" s="19" t="str">
        <f>IF($A134="","",SUMIFS('Registro de turnos'!$N$5:$N$504,'Registro de turnos'!$B$5:$B$504,$A134,'Registro de turnos'!$A$5:$A$504,"&gt;="&amp;$B$3,'Registro de turnos'!$A$5:$A$504,"&lt;="&amp;$B$4))</f>
        <v/>
      </c>
      <c r="G134" s="19" t="str">
        <f>IF($A134="","",SUMIFS('Registro de turnos'!$O$5:$O$504,'Registro de turnos'!$B$5:$B$504,$A134,'Registro de turnos'!$A$5:$A$504,"&gt;="&amp;$B$3,'Registro de turnos'!$A$5:$A$504,"&lt;="&amp;$B$4))</f>
        <v/>
      </c>
      <c r="H134" s="19" t="str">
        <f>IF($A134="","",SUMIFS('Registro de turnos'!$P$5:$P$504,'Registro de turnos'!$B$5:$B$504,$A134,'Registro de turnos'!$A$5:$A$504,"&gt;="&amp;$B$3,'Registro de turnos'!$A$5:$A$504,"&lt;="&amp;$B$4))</f>
        <v/>
      </c>
      <c r="I134" s="19" t="str">
        <f>IF($A134="","",SUMIFS('Registro de turnos'!$Q$5:$Q$504,'Registro de turnos'!$B$5:$B$504,$A134,'Registro de turnos'!$A$5:$A$504,"&gt;="&amp;$B$3,'Registro de turnos'!$A$5:$A$504,"&lt;="&amp;$B$4))</f>
        <v/>
      </c>
      <c r="J134" s="19" t="str">
        <f>IF($A134="","",SUMIFS('Registro de turnos'!$R$5:$R$504,'Registro de turnos'!$B$5:$B$504,$A134,'Registro de turnos'!$A$5:$A$504,"&gt;="&amp;$B$3,'Registro de turnos'!$A$5:$A$504,"&lt;="&amp;$B$4))</f>
        <v/>
      </c>
      <c r="K134" s="19" t="str">
        <f t="shared" si="18"/>
        <v/>
      </c>
      <c r="L134" s="17" t="str">
        <f>IF($A134="","",SUMIFS('Registro de turnos'!$T$5:$T$504,'Registro de turnos'!$B$5:$B$504,$A134,'Registro de turnos'!$A$5:$A$504,"&gt;="&amp;$B$3,'Registro de turnos'!$A$5:$A$504,"&lt;="&amp;$B$4))</f>
        <v/>
      </c>
      <c r="M134" s="17" t="str">
        <f t="shared" si="19"/>
        <v/>
      </c>
      <c r="N134" s="17" t="str">
        <f t="shared" si="20"/>
        <v/>
      </c>
      <c r="O134" s="17" t="str">
        <f t="shared" si="21"/>
        <v/>
      </c>
      <c r="P134" s="17" t="str">
        <f>IF($A134="","",ROUND(C134*D134*Parámetros!$B$8*0.0417,0))</f>
        <v/>
      </c>
      <c r="Q134" s="17" t="str">
        <f t="shared" si="22"/>
        <v/>
      </c>
      <c r="R134" s="17" t="str">
        <f t="shared" si="23"/>
        <v/>
      </c>
    </row>
    <row r="135" spans="1:18" x14ac:dyDescent="0.25">
      <c r="A135" s="22" t="str">
        <f>IF(Trabajadores!A133="","",Trabajadores!A133)</f>
        <v/>
      </c>
      <c r="B135" s="23" t="str">
        <f>IF(A135="","",Trabajadores!B133)</f>
        <v/>
      </c>
      <c r="C135" s="24" t="str">
        <f>IF(A135="","",Trabajadores!G133)</f>
        <v/>
      </c>
      <c r="D135" s="19" t="str">
        <f>IF($A135="","",SUMIFS('Registro de turnos'!$L$5:$L$504,'Registro de turnos'!$B$5:$B$504,$A135,'Registro de turnos'!$A$5:$A$504,"&gt;="&amp;$B$3,'Registro de turnos'!$A$5:$A$504,"&lt;="&amp;$B$4))</f>
        <v/>
      </c>
      <c r="E135" s="19" t="str">
        <f>IF($A135="","",SUMIFS('Registro de turnos'!$M$5:$M$504,'Registro de turnos'!$B$5:$B$504,$A135,'Registro de turnos'!$A$5:$A$504,"&gt;="&amp;$B$3,'Registro de turnos'!$A$5:$A$504,"&lt;="&amp;$B$4))</f>
        <v/>
      </c>
      <c r="F135" s="19" t="str">
        <f>IF($A135="","",SUMIFS('Registro de turnos'!$N$5:$N$504,'Registro de turnos'!$B$5:$B$504,$A135,'Registro de turnos'!$A$5:$A$504,"&gt;="&amp;$B$3,'Registro de turnos'!$A$5:$A$504,"&lt;="&amp;$B$4))</f>
        <v/>
      </c>
      <c r="G135" s="19" t="str">
        <f>IF($A135="","",SUMIFS('Registro de turnos'!$O$5:$O$504,'Registro de turnos'!$B$5:$B$504,$A135,'Registro de turnos'!$A$5:$A$504,"&gt;="&amp;$B$3,'Registro de turnos'!$A$5:$A$504,"&lt;="&amp;$B$4))</f>
        <v/>
      </c>
      <c r="H135" s="19" t="str">
        <f>IF($A135="","",SUMIFS('Registro de turnos'!$P$5:$P$504,'Registro de turnos'!$B$5:$B$504,$A135,'Registro de turnos'!$A$5:$A$504,"&gt;="&amp;$B$3,'Registro de turnos'!$A$5:$A$504,"&lt;="&amp;$B$4))</f>
        <v/>
      </c>
      <c r="I135" s="19" t="str">
        <f>IF($A135="","",SUMIFS('Registro de turnos'!$Q$5:$Q$504,'Registro de turnos'!$B$5:$B$504,$A135,'Registro de turnos'!$A$5:$A$504,"&gt;="&amp;$B$3,'Registro de turnos'!$A$5:$A$504,"&lt;="&amp;$B$4))</f>
        <v/>
      </c>
      <c r="J135" s="19" t="str">
        <f>IF($A135="","",SUMIFS('Registro de turnos'!$R$5:$R$504,'Registro de turnos'!$B$5:$B$504,$A135,'Registro de turnos'!$A$5:$A$504,"&gt;="&amp;$B$3,'Registro de turnos'!$A$5:$A$504,"&lt;="&amp;$B$4))</f>
        <v/>
      </c>
      <c r="K135" s="19" t="str">
        <f t="shared" ref="K135:K166" si="24">IF($A135="","",E135+F135+I135+J135)</f>
        <v/>
      </c>
      <c r="L135" s="17" t="str">
        <f>IF($A135="","",SUMIFS('Registro de turnos'!$T$5:$T$504,'Registro de turnos'!$B$5:$B$504,$A135,'Registro de turnos'!$A$5:$A$504,"&gt;="&amp;$B$3,'Registro de turnos'!$A$5:$A$504,"&lt;="&amp;$B$4))</f>
        <v/>
      </c>
      <c r="M135" s="17" t="str">
        <f t="shared" ref="M135:M166" si="25">IF($A135="","",ROUND(L135*0.0833,0))</f>
        <v/>
      </c>
      <c r="N135" s="17" t="str">
        <f t="shared" ref="N135:N166" si="26">IF($A135="","",ROUND(L135*0.0833,0))</f>
        <v/>
      </c>
      <c r="O135" s="17" t="str">
        <f t="shared" ref="O135:O166" si="27">IF($A135="","",ROUND(L135*0.01,0))</f>
        <v/>
      </c>
      <c r="P135" s="17" t="str">
        <f>IF($A135="","",ROUND(C135*D135*Parámetros!$B$8*0.0417,0))</f>
        <v/>
      </c>
      <c r="Q135" s="17" t="str">
        <f t="shared" ref="Q135:Q166" si="28">IF($A135="","",ROUND(L135*0.08,0))</f>
        <v/>
      </c>
      <c r="R135" s="17" t="str">
        <f t="shared" ref="R135:R166" si="29">IF($A135="","",L135-Q135)</f>
        <v/>
      </c>
    </row>
    <row r="136" spans="1:18" x14ac:dyDescent="0.25">
      <c r="A136" s="22" t="str">
        <f>IF(Trabajadores!A134="","",Trabajadores!A134)</f>
        <v/>
      </c>
      <c r="B136" s="23" t="str">
        <f>IF(A136="","",Trabajadores!B134)</f>
        <v/>
      </c>
      <c r="C136" s="24" t="str">
        <f>IF(A136="","",Trabajadores!G134)</f>
        <v/>
      </c>
      <c r="D136" s="19" t="str">
        <f>IF($A136="","",SUMIFS('Registro de turnos'!$L$5:$L$504,'Registro de turnos'!$B$5:$B$504,$A136,'Registro de turnos'!$A$5:$A$504,"&gt;="&amp;$B$3,'Registro de turnos'!$A$5:$A$504,"&lt;="&amp;$B$4))</f>
        <v/>
      </c>
      <c r="E136" s="19" t="str">
        <f>IF($A136="","",SUMIFS('Registro de turnos'!$M$5:$M$504,'Registro de turnos'!$B$5:$B$504,$A136,'Registro de turnos'!$A$5:$A$504,"&gt;="&amp;$B$3,'Registro de turnos'!$A$5:$A$504,"&lt;="&amp;$B$4))</f>
        <v/>
      </c>
      <c r="F136" s="19" t="str">
        <f>IF($A136="","",SUMIFS('Registro de turnos'!$N$5:$N$504,'Registro de turnos'!$B$5:$B$504,$A136,'Registro de turnos'!$A$5:$A$504,"&gt;="&amp;$B$3,'Registro de turnos'!$A$5:$A$504,"&lt;="&amp;$B$4))</f>
        <v/>
      </c>
      <c r="G136" s="19" t="str">
        <f>IF($A136="","",SUMIFS('Registro de turnos'!$O$5:$O$504,'Registro de turnos'!$B$5:$B$504,$A136,'Registro de turnos'!$A$5:$A$504,"&gt;="&amp;$B$3,'Registro de turnos'!$A$5:$A$504,"&lt;="&amp;$B$4))</f>
        <v/>
      </c>
      <c r="H136" s="19" t="str">
        <f>IF($A136="","",SUMIFS('Registro de turnos'!$P$5:$P$504,'Registro de turnos'!$B$5:$B$504,$A136,'Registro de turnos'!$A$5:$A$504,"&gt;="&amp;$B$3,'Registro de turnos'!$A$5:$A$504,"&lt;="&amp;$B$4))</f>
        <v/>
      </c>
      <c r="I136" s="19" t="str">
        <f>IF($A136="","",SUMIFS('Registro de turnos'!$Q$5:$Q$504,'Registro de turnos'!$B$5:$B$504,$A136,'Registro de turnos'!$A$5:$A$504,"&gt;="&amp;$B$3,'Registro de turnos'!$A$5:$A$504,"&lt;="&amp;$B$4))</f>
        <v/>
      </c>
      <c r="J136" s="19" t="str">
        <f>IF($A136="","",SUMIFS('Registro de turnos'!$R$5:$R$504,'Registro de turnos'!$B$5:$B$504,$A136,'Registro de turnos'!$A$5:$A$504,"&gt;="&amp;$B$3,'Registro de turnos'!$A$5:$A$504,"&lt;="&amp;$B$4))</f>
        <v/>
      </c>
      <c r="K136" s="19" t="str">
        <f t="shared" si="24"/>
        <v/>
      </c>
      <c r="L136" s="17" t="str">
        <f>IF($A136="","",SUMIFS('Registro de turnos'!$T$5:$T$504,'Registro de turnos'!$B$5:$B$504,$A136,'Registro de turnos'!$A$5:$A$504,"&gt;="&amp;$B$3,'Registro de turnos'!$A$5:$A$504,"&lt;="&amp;$B$4))</f>
        <v/>
      </c>
      <c r="M136" s="17" t="str">
        <f t="shared" si="25"/>
        <v/>
      </c>
      <c r="N136" s="17" t="str">
        <f t="shared" si="26"/>
        <v/>
      </c>
      <c r="O136" s="17" t="str">
        <f t="shared" si="27"/>
        <v/>
      </c>
      <c r="P136" s="17" t="str">
        <f>IF($A136="","",ROUND(C136*D136*Parámetros!$B$8*0.0417,0))</f>
        <v/>
      </c>
      <c r="Q136" s="17" t="str">
        <f t="shared" si="28"/>
        <v/>
      </c>
      <c r="R136" s="17" t="str">
        <f t="shared" si="29"/>
        <v/>
      </c>
    </row>
    <row r="137" spans="1:18" x14ac:dyDescent="0.25">
      <c r="A137" s="22" t="str">
        <f>IF(Trabajadores!A135="","",Trabajadores!A135)</f>
        <v/>
      </c>
      <c r="B137" s="23" t="str">
        <f>IF(A137="","",Trabajadores!B135)</f>
        <v/>
      </c>
      <c r="C137" s="24" t="str">
        <f>IF(A137="","",Trabajadores!G135)</f>
        <v/>
      </c>
      <c r="D137" s="19" t="str">
        <f>IF($A137="","",SUMIFS('Registro de turnos'!$L$5:$L$504,'Registro de turnos'!$B$5:$B$504,$A137,'Registro de turnos'!$A$5:$A$504,"&gt;="&amp;$B$3,'Registro de turnos'!$A$5:$A$504,"&lt;="&amp;$B$4))</f>
        <v/>
      </c>
      <c r="E137" s="19" t="str">
        <f>IF($A137="","",SUMIFS('Registro de turnos'!$M$5:$M$504,'Registro de turnos'!$B$5:$B$504,$A137,'Registro de turnos'!$A$5:$A$504,"&gt;="&amp;$B$3,'Registro de turnos'!$A$5:$A$504,"&lt;="&amp;$B$4))</f>
        <v/>
      </c>
      <c r="F137" s="19" t="str">
        <f>IF($A137="","",SUMIFS('Registro de turnos'!$N$5:$N$504,'Registro de turnos'!$B$5:$B$504,$A137,'Registro de turnos'!$A$5:$A$504,"&gt;="&amp;$B$3,'Registro de turnos'!$A$5:$A$504,"&lt;="&amp;$B$4))</f>
        <v/>
      </c>
      <c r="G137" s="19" t="str">
        <f>IF($A137="","",SUMIFS('Registro de turnos'!$O$5:$O$504,'Registro de turnos'!$B$5:$B$504,$A137,'Registro de turnos'!$A$5:$A$504,"&gt;="&amp;$B$3,'Registro de turnos'!$A$5:$A$504,"&lt;="&amp;$B$4))</f>
        <v/>
      </c>
      <c r="H137" s="19" t="str">
        <f>IF($A137="","",SUMIFS('Registro de turnos'!$P$5:$P$504,'Registro de turnos'!$B$5:$B$504,$A137,'Registro de turnos'!$A$5:$A$504,"&gt;="&amp;$B$3,'Registro de turnos'!$A$5:$A$504,"&lt;="&amp;$B$4))</f>
        <v/>
      </c>
      <c r="I137" s="19" t="str">
        <f>IF($A137="","",SUMIFS('Registro de turnos'!$Q$5:$Q$504,'Registro de turnos'!$B$5:$B$504,$A137,'Registro de turnos'!$A$5:$A$504,"&gt;="&amp;$B$3,'Registro de turnos'!$A$5:$A$504,"&lt;="&amp;$B$4))</f>
        <v/>
      </c>
      <c r="J137" s="19" t="str">
        <f>IF($A137="","",SUMIFS('Registro de turnos'!$R$5:$R$504,'Registro de turnos'!$B$5:$B$504,$A137,'Registro de turnos'!$A$5:$A$504,"&gt;="&amp;$B$3,'Registro de turnos'!$A$5:$A$504,"&lt;="&amp;$B$4))</f>
        <v/>
      </c>
      <c r="K137" s="19" t="str">
        <f t="shared" si="24"/>
        <v/>
      </c>
      <c r="L137" s="17" t="str">
        <f>IF($A137="","",SUMIFS('Registro de turnos'!$T$5:$T$504,'Registro de turnos'!$B$5:$B$504,$A137,'Registro de turnos'!$A$5:$A$504,"&gt;="&amp;$B$3,'Registro de turnos'!$A$5:$A$504,"&lt;="&amp;$B$4))</f>
        <v/>
      </c>
      <c r="M137" s="17" t="str">
        <f t="shared" si="25"/>
        <v/>
      </c>
      <c r="N137" s="17" t="str">
        <f t="shared" si="26"/>
        <v/>
      </c>
      <c r="O137" s="17" t="str">
        <f t="shared" si="27"/>
        <v/>
      </c>
      <c r="P137" s="17" t="str">
        <f>IF($A137="","",ROUND(C137*D137*Parámetros!$B$8*0.0417,0))</f>
        <v/>
      </c>
      <c r="Q137" s="17" t="str">
        <f t="shared" si="28"/>
        <v/>
      </c>
      <c r="R137" s="17" t="str">
        <f t="shared" si="29"/>
        <v/>
      </c>
    </row>
    <row r="138" spans="1:18" x14ac:dyDescent="0.25">
      <c r="A138" s="22" t="str">
        <f>IF(Trabajadores!A136="","",Trabajadores!A136)</f>
        <v/>
      </c>
      <c r="B138" s="23" t="str">
        <f>IF(A138="","",Trabajadores!B136)</f>
        <v/>
      </c>
      <c r="C138" s="24" t="str">
        <f>IF(A138="","",Trabajadores!G136)</f>
        <v/>
      </c>
      <c r="D138" s="19" t="str">
        <f>IF($A138="","",SUMIFS('Registro de turnos'!$L$5:$L$504,'Registro de turnos'!$B$5:$B$504,$A138,'Registro de turnos'!$A$5:$A$504,"&gt;="&amp;$B$3,'Registro de turnos'!$A$5:$A$504,"&lt;="&amp;$B$4))</f>
        <v/>
      </c>
      <c r="E138" s="19" t="str">
        <f>IF($A138="","",SUMIFS('Registro de turnos'!$M$5:$M$504,'Registro de turnos'!$B$5:$B$504,$A138,'Registro de turnos'!$A$5:$A$504,"&gt;="&amp;$B$3,'Registro de turnos'!$A$5:$A$504,"&lt;="&amp;$B$4))</f>
        <v/>
      </c>
      <c r="F138" s="19" t="str">
        <f>IF($A138="","",SUMIFS('Registro de turnos'!$N$5:$N$504,'Registro de turnos'!$B$5:$B$504,$A138,'Registro de turnos'!$A$5:$A$504,"&gt;="&amp;$B$3,'Registro de turnos'!$A$5:$A$504,"&lt;="&amp;$B$4))</f>
        <v/>
      </c>
      <c r="G138" s="19" t="str">
        <f>IF($A138="","",SUMIFS('Registro de turnos'!$O$5:$O$504,'Registro de turnos'!$B$5:$B$504,$A138,'Registro de turnos'!$A$5:$A$504,"&gt;="&amp;$B$3,'Registro de turnos'!$A$5:$A$504,"&lt;="&amp;$B$4))</f>
        <v/>
      </c>
      <c r="H138" s="19" t="str">
        <f>IF($A138="","",SUMIFS('Registro de turnos'!$P$5:$P$504,'Registro de turnos'!$B$5:$B$504,$A138,'Registro de turnos'!$A$5:$A$504,"&gt;="&amp;$B$3,'Registro de turnos'!$A$5:$A$504,"&lt;="&amp;$B$4))</f>
        <v/>
      </c>
      <c r="I138" s="19" t="str">
        <f>IF($A138="","",SUMIFS('Registro de turnos'!$Q$5:$Q$504,'Registro de turnos'!$B$5:$B$504,$A138,'Registro de turnos'!$A$5:$A$504,"&gt;="&amp;$B$3,'Registro de turnos'!$A$5:$A$504,"&lt;="&amp;$B$4))</f>
        <v/>
      </c>
      <c r="J138" s="19" t="str">
        <f>IF($A138="","",SUMIFS('Registro de turnos'!$R$5:$R$504,'Registro de turnos'!$B$5:$B$504,$A138,'Registro de turnos'!$A$5:$A$504,"&gt;="&amp;$B$3,'Registro de turnos'!$A$5:$A$504,"&lt;="&amp;$B$4))</f>
        <v/>
      </c>
      <c r="K138" s="19" t="str">
        <f t="shared" si="24"/>
        <v/>
      </c>
      <c r="L138" s="17" t="str">
        <f>IF($A138="","",SUMIFS('Registro de turnos'!$T$5:$T$504,'Registro de turnos'!$B$5:$B$504,$A138,'Registro de turnos'!$A$5:$A$504,"&gt;="&amp;$B$3,'Registro de turnos'!$A$5:$A$504,"&lt;="&amp;$B$4))</f>
        <v/>
      </c>
      <c r="M138" s="17" t="str">
        <f t="shared" si="25"/>
        <v/>
      </c>
      <c r="N138" s="17" t="str">
        <f t="shared" si="26"/>
        <v/>
      </c>
      <c r="O138" s="17" t="str">
        <f t="shared" si="27"/>
        <v/>
      </c>
      <c r="P138" s="17" t="str">
        <f>IF($A138="","",ROUND(C138*D138*Parámetros!$B$8*0.0417,0))</f>
        <v/>
      </c>
      <c r="Q138" s="17" t="str">
        <f t="shared" si="28"/>
        <v/>
      </c>
      <c r="R138" s="17" t="str">
        <f t="shared" si="29"/>
        <v/>
      </c>
    </row>
    <row r="139" spans="1:18" x14ac:dyDescent="0.25">
      <c r="A139" s="22" t="str">
        <f>IF(Trabajadores!A137="","",Trabajadores!A137)</f>
        <v/>
      </c>
      <c r="B139" s="23" t="str">
        <f>IF(A139="","",Trabajadores!B137)</f>
        <v/>
      </c>
      <c r="C139" s="24" t="str">
        <f>IF(A139="","",Trabajadores!G137)</f>
        <v/>
      </c>
      <c r="D139" s="19" t="str">
        <f>IF($A139="","",SUMIFS('Registro de turnos'!$L$5:$L$504,'Registro de turnos'!$B$5:$B$504,$A139,'Registro de turnos'!$A$5:$A$504,"&gt;="&amp;$B$3,'Registro de turnos'!$A$5:$A$504,"&lt;="&amp;$B$4))</f>
        <v/>
      </c>
      <c r="E139" s="19" t="str">
        <f>IF($A139="","",SUMIFS('Registro de turnos'!$M$5:$M$504,'Registro de turnos'!$B$5:$B$504,$A139,'Registro de turnos'!$A$5:$A$504,"&gt;="&amp;$B$3,'Registro de turnos'!$A$5:$A$504,"&lt;="&amp;$B$4))</f>
        <v/>
      </c>
      <c r="F139" s="19" t="str">
        <f>IF($A139="","",SUMIFS('Registro de turnos'!$N$5:$N$504,'Registro de turnos'!$B$5:$B$504,$A139,'Registro de turnos'!$A$5:$A$504,"&gt;="&amp;$B$3,'Registro de turnos'!$A$5:$A$504,"&lt;="&amp;$B$4))</f>
        <v/>
      </c>
      <c r="G139" s="19" t="str">
        <f>IF($A139="","",SUMIFS('Registro de turnos'!$O$5:$O$504,'Registro de turnos'!$B$5:$B$504,$A139,'Registro de turnos'!$A$5:$A$504,"&gt;="&amp;$B$3,'Registro de turnos'!$A$5:$A$504,"&lt;="&amp;$B$4))</f>
        <v/>
      </c>
      <c r="H139" s="19" t="str">
        <f>IF($A139="","",SUMIFS('Registro de turnos'!$P$5:$P$504,'Registro de turnos'!$B$5:$B$504,$A139,'Registro de turnos'!$A$5:$A$504,"&gt;="&amp;$B$3,'Registro de turnos'!$A$5:$A$504,"&lt;="&amp;$B$4))</f>
        <v/>
      </c>
      <c r="I139" s="19" t="str">
        <f>IF($A139="","",SUMIFS('Registro de turnos'!$Q$5:$Q$504,'Registro de turnos'!$B$5:$B$504,$A139,'Registro de turnos'!$A$5:$A$504,"&gt;="&amp;$B$3,'Registro de turnos'!$A$5:$A$504,"&lt;="&amp;$B$4))</f>
        <v/>
      </c>
      <c r="J139" s="19" t="str">
        <f>IF($A139="","",SUMIFS('Registro de turnos'!$R$5:$R$504,'Registro de turnos'!$B$5:$B$504,$A139,'Registro de turnos'!$A$5:$A$504,"&gt;="&amp;$B$3,'Registro de turnos'!$A$5:$A$504,"&lt;="&amp;$B$4))</f>
        <v/>
      </c>
      <c r="K139" s="19" t="str">
        <f t="shared" si="24"/>
        <v/>
      </c>
      <c r="L139" s="17" t="str">
        <f>IF($A139="","",SUMIFS('Registro de turnos'!$T$5:$T$504,'Registro de turnos'!$B$5:$B$504,$A139,'Registro de turnos'!$A$5:$A$504,"&gt;="&amp;$B$3,'Registro de turnos'!$A$5:$A$504,"&lt;="&amp;$B$4))</f>
        <v/>
      </c>
      <c r="M139" s="17" t="str">
        <f t="shared" si="25"/>
        <v/>
      </c>
      <c r="N139" s="17" t="str">
        <f t="shared" si="26"/>
        <v/>
      </c>
      <c r="O139" s="17" t="str">
        <f t="shared" si="27"/>
        <v/>
      </c>
      <c r="P139" s="17" t="str">
        <f>IF($A139="","",ROUND(C139*D139*Parámetros!$B$8*0.0417,0))</f>
        <v/>
      </c>
      <c r="Q139" s="17" t="str">
        <f t="shared" si="28"/>
        <v/>
      </c>
      <c r="R139" s="17" t="str">
        <f t="shared" si="29"/>
        <v/>
      </c>
    </row>
    <row r="140" spans="1:18" x14ac:dyDescent="0.25">
      <c r="A140" s="22" t="str">
        <f>IF(Trabajadores!A138="","",Trabajadores!A138)</f>
        <v/>
      </c>
      <c r="B140" s="23" t="str">
        <f>IF(A140="","",Trabajadores!B138)</f>
        <v/>
      </c>
      <c r="C140" s="24" t="str">
        <f>IF(A140="","",Trabajadores!G138)</f>
        <v/>
      </c>
      <c r="D140" s="19" t="str">
        <f>IF($A140="","",SUMIFS('Registro de turnos'!$L$5:$L$504,'Registro de turnos'!$B$5:$B$504,$A140,'Registro de turnos'!$A$5:$A$504,"&gt;="&amp;$B$3,'Registro de turnos'!$A$5:$A$504,"&lt;="&amp;$B$4))</f>
        <v/>
      </c>
      <c r="E140" s="19" t="str">
        <f>IF($A140="","",SUMIFS('Registro de turnos'!$M$5:$M$504,'Registro de turnos'!$B$5:$B$504,$A140,'Registro de turnos'!$A$5:$A$504,"&gt;="&amp;$B$3,'Registro de turnos'!$A$5:$A$504,"&lt;="&amp;$B$4))</f>
        <v/>
      </c>
      <c r="F140" s="19" t="str">
        <f>IF($A140="","",SUMIFS('Registro de turnos'!$N$5:$N$504,'Registro de turnos'!$B$5:$B$504,$A140,'Registro de turnos'!$A$5:$A$504,"&gt;="&amp;$B$3,'Registro de turnos'!$A$5:$A$504,"&lt;="&amp;$B$4))</f>
        <v/>
      </c>
      <c r="G140" s="19" t="str">
        <f>IF($A140="","",SUMIFS('Registro de turnos'!$O$5:$O$504,'Registro de turnos'!$B$5:$B$504,$A140,'Registro de turnos'!$A$5:$A$504,"&gt;="&amp;$B$3,'Registro de turnos'!$A$5:$A$504,"&lt;="&amp;$B$4))</f>
        <v/>
      </c>
      <c r="H140" s="19" t="str">
        <f>IF($A140="","",SUMIFS('Registro de turnos'!$P$5:$P$504,'Registro de turnos'!$B$5:$B$504,$A140,'Registro de turnos'!$A$5:$A$504,"&gt;="&amp;$B$3,'Registro de turnos'!$A$5:$A$504,"&lt;="&amp;$B$4))</f>
        <v/>
      </c>
      <c r="I140" s="19" t="str">
        <f>IF($A140="","",SUMIFS('Registro de turnos'!$Q$5:$Q$504,'Registro de turnos'!$B$5:$B$504,$A140,'Registro de turnos'!$A$5:$A$504,"&gt;="&amp;$B$3,'Registro de turnos'!$A$5:$A$504,"&lt;="&amp;$B$4))</f>
        <v/>
      </c>
      <c r="J140" s="19" t="str">
        <f>IF($A140="","",SUMIFS('Registro de turnos'!$R$5:$R$504,'Registro de turnos'!$B$5:$B$504,$A140,'Registro de turnos'!$A$5:$A$504,"&gt;="&amp;$B$3,'Registro de turnos'!$A$5:$A$504,"&lt;="&amp;$B$4))</f>
        <v/>
      </c>
      <c r="K140" s="19" t="str">
        <f t="shared" si="24"/>
        <v/>
      </c>
      <c r="L140" s="17" t="str">
        <f>IF($A140="","",SUMIFS('Registro de turnos'!$T$5:$T$504,'Registro de turnos'!$B$5:$B$504,$A140,'Registro de turnos'!$A$5:$A$504,"&gt;="&amp;$B$3,'Registro de turnos'!$A$5:$A$504,"&lt;="&amp;$B$4))</f>
        <v/>
      </c>
      <c r="M140" s="17" t="str">
        <f t="shared" si="25"/>
        <v/>
      </c>
      <c r="N140" s="17" t="str">
        <f t="shared" si="26"/>
        <v/>
      </c>
      <c r="O140" s="17" t="str">
        <f t="shared" si="27"/>
        <v/>
      </c>
      <c r="P140" s="17" t="str">
        <f>IF($A140="","",ROUND(C140*D140*Parámetros!$B$8*0.0417,0))</f>
        <v/>
      </c>
      <c r="Q140" s="17" t="str">
        <f t="shared" si="28"/>
        <v/>
      </c>
      <c r="R140" s="17" t="str">
        <f t="shared" si="29"/>
        <v/>
      </c>
    </row>
    <row r="141" spans="1:18" x14ac:dyDescent="0.25">
      <c r="A141" s="22" t="str">
        <f>IF(Trabajadores!A139="","",Trabajadores!A139)</f>
        <v/>
      </c>
      <c r="B141" s="23" t="str">
        <f>IF(A141="","",Trabajadores!B139)</f>
        <v/>
      </c>
      <c r="C141" s="24" t="str">
        <f>IF(A141="","",Trabajadores!G139)</f>
        <v/>
      </c>
      <c r="D141" s="19" t="str">
        <f>IF($A141="","",SUMIFS('Registro de turnos'!$L$5:$L$504,'Registro de turnos'!$B$5:$B$504,$A141,'Registro de turnos'!$A$5:$A$504,"&gt;="&amp;$B$3,'Registro de turnos'!$A$5:$A$504,"&lt;="&amp;$B$4))</f>
        <v/>
      </c>
      <c r="E141" s="19" t="str">
        <f>IF($A141="","",SUMIFS('Registro de turnos'!$M$5:$M$504,'Registro de turnos'!$B$5:$B$504,$A141,'Registro de turnos'!$A$5:$A$504,"&gt;="&amp;$B$3,'Registro de turnos'!$A$5:$A$504,"&lt;="&amp;$B$4))</f>
        <v/>
      </c>
      <c r="F141" s="19" t="str">
        <f>IF($A141="","",SUMIFS('Registro de turnos'!$N$5:$N$504,'Registro de turnos'!$B$5:$B$504,$A141,'Registro de turnos'!$A$5:$A$504,"&gt;="&amp;$B$3,'Registro de turnos'!$A$5:$A$504,"&lt;="&amp;$B$4))</f>
        <v/>
      </c>
      <c r="G141" s="19" t="str">
        <f>IF($A141="","",SUMIFS('Registro de turnos'!$O$5:$O$504,'Registro de turnos'!$B$5:$B$504,$A141,'Registro de turnos'!$A$5:$A$504,"&gt;="&amp;$B$3,'Registro de turnos'!$A$5:$A$504,"&lt;="&amp;$B$4))</f>
        <v/>
      </c>
      <c r="H141" s="19" t="str">
        <f>IF($A141="","",SUMIFS('Registro de turnos'!$P$5:$P$504,'Registro de turnos'!$B$5:$B$504,$A141,'Registro de turnos'!$A$5:$A$504,"&gt;="&amp;$B$3,'Registro de turnos'!$A$5:$A$504,"&lt;="&amp;$B$4))</f>
        <v/>
      </c>
      <c r="I141" s="19" t="str">
        <f>IF($A141="","",SUMIFS('Registro de turnos'!$Q$5:$Q$504,'Registro de turnos'!$B$5:$B$504,$A141,'Registro de turnos'!$A$5:$A$504,"&gt;="&amp;$B$3,'Registro de turnos'!$A$5:$A$504,"&lt;="&amp;$B$4))</f>
        <v/>
      </c>
      <c r="J141" s="19" t="str">
        <f>IF($A141="","",SUMIFS('Registro de turnos'!$R$5:$R$504,'Registro de turnos'!$B$5:$B$504,$A141,'Registro de turnos'!$A$5:$A$504,"&gt;="&amp;$B$3,'Registro de turnos'!$A$5:$A$504,"&lt;="&amp;$B$4))</f>
        <v/>
      </c>
      <c r="K141" s="19" t="str">
        <f t="shared" si="24"/>
        <v/>
      </c>
      <c r="L141" s="17" t="str">
        <f>IF($A141="","",SUMIFS('Registro de turnos'!$T$5:$T$504,'Registro de turnos'!$B$5:$B$504,$A141,'Registro de turnos'!$A$5:$A$504,"&gt;="&amp;$B$3,'Registro de turnos'!$A$5:$A$504,"&lt;="&amp;$B$4))</f>
        <v/>
      </c>
      <c r="M141" s="17" t="str">
        <f t="shared" si="25"/>
        <v/>
      </c>
      <c r="N141" s="17" t="str">
        <f t="shared" si="26"/>
        <v/>
      </c>
      <c r="O141" s="17" t="str">
        <f t="shared" si="27"/>
        <v/>
      </c>
      <c r="P141" s="17" t="str">
        <f>IF($A141="","",ROUND(C141*D141*Parámetros!$B$8*0.0417,0))</f>
        <v/>
      </c>
      <c r="Q141" s="17" t="str">
        <f t="shared" si="28"/>
        <v/>
      </c>
      <c r="R141" s="17" t="str">
        <f t="shared" si="29"/>
        <v/>
      </c>
    </row>
    <row r="142" spans="1:18" x14ac:dyDescent="0.25">
      <c r="A142" s="22" t="str">
        <f>IF(Trabajadores!A140="","",Trabajadores!A140)</f>
        <v/>
      </c>
      <c r="B142" s="23" t="str">
        <f>IF(A142="","",Trabajadores!B140)</f>
        <v/>
      </c>
      <c r="C142" s="24" t="str">
        <f>IF(A142="","",Trabajadores!G140)</f>
        <v/>
      </c>
      <c r="D142" s="19" t="str">
        <f>IF($A142="","",SUMIFS('Registro de turnos'!$L$5:$L$504,'Registro de turnos'!$B$5:$B$504,$A142,'Registro de turnos'!$A$5:$A$504,"&gt;="&amp;$B$3,'Registro de turnos'!$A$5:$A$504,"&lt;="&amp;$B$4))</f>
        <v/>
      </c>
      <c r="E142" s="19" t="str">
        <f>IF($A142="","",SUMIFS('Registro de turnos'!$M$5:$M$504,'Registro de turnos'!$B$5:$B$504,$A142,'Registro de turnos'!$A$5:$A$504,"&gt;="&amp;$B$3,'Registro de turnos'!$A$5:$A$504,"&lt;="&amp;$B$4))</f>
        <v/>
      </c>
      <c r="F142" s="19" t="str">
        <f>IF($A142="","",SUMIFS('Registro de turnos'!$N$5:$N$504,'Registro de turnos'!$B$5:$B$504,$A142,'Registro de turnos'!$A$5:$A$504,"&gt;="&amp;$B$3,'Registro de turnos'!$A$5:$A$504,"&lt;="&amp;$B$4))</f>
        <v/>
      </c>
      <c r="G142" s="19" t="str">
        <f>IF($A142="","",SUMIFS('Registro de turnos'!$O$5:$O$504,'Registro de turnos'!$B$5:$B$504,$A142,'Registro de turnos'!$A$5:$A$504,"&gt;="&amp;$B$3,'Registro de turnos'!$A$5:$A$504,"&lt;="&amp;$B$4))</f>
        <v/>
      </c>
      <c r="H142" s="19" t="str">
        <f>IF($A142="","",SUMIFS('Registro de turnos'!$P$5:$P$504,'Registro de turnos'!$B$5:$B$504,$A142,'Registro de turnos'!$A$5:$A$504,"&gt;="&amp;$B$3,'Registro de turnos'!$A$5:$A$504,"&lt;="&amp;$B$4))</f>
        <v/>
      </c>
      <c r="I142" s="19" t="str">
        <f>IF($A142="","",SUMIFS('Registro de turnos'!$Q$5:$Q$504,'Registro de turnos'!$B$5:$B$504,$A142,'Registro de turnos'!$A$5:$A$504,"&gt;="&amp;$B$3,'Registro de turnos'!$A$5:$A$504,"&lt;="&amp;$B$4))</f>
        <v/>
      </c>
      <c r="J142" s="19" t="str">
        <f>IF($A142="","",SUMIFS('Registro de turnos'!$R$5:$R$504,'Registro de turnos'!$B$5:$B$504,$A142,'Registro de turnos'!$A$5:$A$504,"&gt;="&amp;$B$3,'Registro de turnos'!$A$5:$A$504,"&lt;="&amp;$B$4))</f>
        <v/>
      </c>
      <c r="K142" s="19" t="str">
        <f t="shared" si="24"/>
        <v/>
      </c>
      <c r="L142" s="17" t="str">
        <f>IF($A142="","",SUMIFS('Registro de turnos'!$T$5:$T$504,'Registro de turnos'!$B$5:$B$504,$A142,'Registro de turnos'!$A$5:$A$504,"&gt;="&amp;$B$3,'Registro de turnos'!$A$5:$A$504,"&lt;="&amp;$B$4))</f>
        <v/>
      </c>
      <c r="M142" s="17" t="str">
        <f t="shared" si="25"/>
        <v/>
      </c>
      <c r="N142" s="17" t="str">
        <f t="shared" si="26"/>
        <v/>
      </c>
      <c r="O142" s="17" t="str">
        <f t="shared" si="27"/>
        <v/>
      </c>
      <c r="P142" s="17" t="str">
        <f>IF($A142="","",ROUND(C142*D142*Parámetros!$B$8*0.0417,0))</f>
        <v/>
      </c>
      <c r="Q142" s="17" t="str">
        <f t="shared" si="28"/>
        <v/>
      </c>
      <c r="R142" s="17" t="str">
        <f t="shared" si="29"/>
        <v/>
      </c>
    </row>
    <row r="143" spans="1:18" x14ac:dyDescent="0.25">
      <c r="A143" s="22" t="str">
        <f>IF(Trabajadores!A141="","",Trabajadores!A141)</f>
        <v/>
      </c>
      <c r="B143" s="23" t="str">
        <f>IF(A143="","",Trabajadores!B141)</f>
        <v/>
      </c>
      <c r="C143" s="24" t="str">
        <f>IF(A143="","",Trabajadores!G141)</f>
        <v/>
      </c>
      <c r="D143" s="19" t="str">
        <f>IF($A143="","",SUMIFS('Registro de turnos'!$L$5:$L$504,'Registro de turnos'!$B$5:$B$504,$A143,'Registro de turnos'!$A$5:$A$504,"&gt;="&amp;$B$3,'Registro de turnos'!$A$5:$A$504,"&lt;="&amp;$B$4))</f>
        <v/>
      </c>
      <c r="E143" s="19" t="str">
        <f>IF($A143="","",SUMIFS('Registro de turnos'!$M$5:$M$504,'Registro de turnos'!$B$5:$B$504,$A143,'Registro de turnos'!$A$5:$A$504,"&gt;="&amp;$B$3,'Registro de turnos'!$A$5:$A$504,"&lt;="&amp;$B$4))</f>
        <v/>
      </c>
      <c r="F143" s="19" t="str">
        <f>IF($A143="","",SUMIFS('Registro de turnos'!$N$5:$N$504,'Registro de turnos'!$B$5:$B$504,$A143,'Registro de turnos'!$A$5:$A$504,"&gt;="&amp;$B$3,'Registro de turnos'!$A$5:$A$504,"&lt;="&amp;$B$4))</f>
        <v/>
      </c>
      <c r="G143" s="19" t="str">
        <f>IF($A143="","",SUMIFS('Registro de turnos'!$O$5:$O$504,'Registro de turnos'!$B$5:$B$504,$A143,'Registro de turnos'!$A$5:$A$504,"&gt;="&amp;$B$3,'Registro de turnos'!$A$5:$A$504,"&lt;="&amp;$B$4))</f>
        <v/>
      </c>
      <c r="H143" s="19" t="str">
        <f>IF($A143="","",SUMIFS('Registro de turnos'!$P$5:$P$504,'Registro de turnos'!$B$5:$B$504,$A143,'Registro de turnos'!$A$5:$A$504,"&gt;="&amp;$B$3,'Registro de turnos'!$A$5:$A$504,"&lt;="&amp;$B$4))</f>
        <v/>
      </c>
      <c r="I143" s="19" t="str">
        <f>IF($A143="","",SUMIFS('Registro de turnos'!$Q$5:$Q$504,'Registro de turnos'!$B$5:$B$504,$A143,'Registro de turnos'!$A$5:$A$504,"&gt;="&amp;$B$3,'Registro de turnos'!$A$5:$A$504,"&lt;="&amp;$B$4))</f>
        <v/>
      </c>
      <c r="J143" s="19" t="str">
        <f>IF($A143="","",SUMIFS('Registro de turnos'!$R$5:$R$504,'Registro de turnos'!$B$5:$B$504,$A143,'Registro de turnos'!$A$5:$A$504,"&gt;="&amp;$B$3,'Registro de turnos'!$A$5:$A$504,"&lt;="&amp;$B$4))</f>
        <v/>
      </c>
      <c r="K143" s="19" t="str">
        <f t="shared" si="24"/>
        <v/>
      </c>
      <c r="L143" s="17" t="str">
        <f>IF($A143="","",SUMIFS('Registro de turnos'!$T$5:$T$504,'Registro de turnos'!$B$5:$B$504,$A143,'Registro de turnos'!$A$5:$A$504,"&gt;="&amp;$B$3,'Registro de turnos'!$A$5:$A$504,"&lt;="&amp;$B$4))</f>
        <v/>
      </c>
      <c r="M143" s="17" t="str">
        <f t="shared" si="25"/>
        <v/>
      </c>
      <c r="N143" s="17" t="str">
        <f t="shared" si="26"/>
        <v/>
      </c>
      <c r="O143" s="17" t="str">
        <f t="shared" si="27"/>
        <v/>
      </c>
      <c r="P143" s="17" t="str">
        <f>IF($A143="","",ROUND(C143*D143*Parámetros!$B$8*0.0417,0))</f>
        <v/>
      </c>
      <c r="Q143" s="17" t="str">
        <f t="shared" si="28"/>
        <v/>
      </c>
      <c r="R143" s="17" t="str">
        <f t="shared" si="29"/>
        <v/>
      </c>
    </row>
    <row r="144" spans="1:18" x14ac:dyDescent="0.25">
      <c r="A144" s="22" t="str">
        <f>IF(Trabajadores!A142="","",Trabajadores!A142)</f>
        <v/>
      </c>
      <c r="B144" s="23" t="str">
        <f>IF(A144="","",Trabajadores!B142)</f>
        <v/>
      </c>
      <c r="C144" s="24" t="str">
        <f>IF(A144="","",Trabajadores!G142)</f>
        <v/>
      </c>
      <c r="D144" s="19" t="str">
        <f>IF($A144="","",SUMIFS('Registro de turnos'!$L$5:$L$504,'Registro de turnos'!$B$5:$B$504,$A144,'Registro de turnos'!$A$5:$A$504,"&gt;="&amp;$B$3,'Registro de turnos'!$A$5:$A$504,"&lt;="&amp;$B$4))</f>
        <v/>
      </c>
      <c r="E144" s="19" t="str">
        <f>IF($A144="","",SUMIFS('Registro de turnos'!$M$5:$M$504,'Registro de turnos'!$B$5:$B$504,$A144,'Registro de turnos'!$A$5:$A$504,"&gt;="&amp;$B$3,'Registro de turnos'!$A$5:$A$504,"&lt;="&amp;$B$4))</f>
        <v/>
      </c>
      <c r="F144" s="19" t="str">
        <f>IF($A144="","",SUMIFS('Registro de turnos'!$N$5:$N$504,'Registro de turnos'!$B$5:$B$504,$A144,'Registro de turnos'!$A$5:$A$504,"&gt;="&amp;$B$3,'Registro de turnos'!$A$5:$A$504,"&lt;="&amp;$B$4))</f>
        <v/>
      </c>
      <c r="G144" s="19" t="str">
        <f>IF($A144="","",SUMIFS('Registro de turnos'!$O$5:$O$504,'Registro de turnos'!$B$5:$B$504,$A144,'Registro de turnos'!$A$5:$A$504,"&gt;="&amp;$B$3,'Registro de turnos'!$A$5:$A$504,"&lt;="&amp;$B$4))</f>
        <v/>
      </c>
      <c r="H144" s="19" t="str">
        <f>IF($A144="","",SUMIFS('Registro de turnos'!$P$5:$P$504,'Registro de turnos'!$B$5:$B$504,$A144,'Registro de turnos'!$A$5:$A$504,"&gt;="&amp;$B$3,'Registro de turnos'!$A$5:$A$504,"&lt;="&amp;$B$4))</f>
        <v/>
      </c>
      <c r="I144" s="19" t="str">
        <f>IF($A144="","",SUMIFS('Registro de turnos'!$Q$5:$Q$504,'Registro de turnos'!$B$5:$B$504,$A144,'Registro de turnos'!$A$5:$A$504,"&gt;="&amp;$B$3,'Registro de turnos'!$A$5:$A$504,"&lt;="&amp;$B$4))</f>
        <v/>
      </c>
      <c r="J144" s="19" t="str">
        <f>IF($A144="","",SUMIFS('Registro de turnos'!$R$5:$R$504,'Registro de turnos'!$B$5:$B$504,$A144,'Registro de turnos'!$A$5:$A$504,"&gt;="&amp;$B$3,'Registro de turnos'!$A$5:$A$504,"&lt;="&amp;$B$4))</f>
        <v/>
      </c>
      <c r="K144" s="19" t="str">
        <f t="shared" si="24"/>
        <v/>
      </c>
      <c r="L144" s="17" t="str">
        <f>IF($A144="","",SUMIFS('Registro de turnos'!$T$5:$T$504,'Registro de turnos'!$B$5:$B$504,$A144,'Registro de turnos'!$A$5:$A$504,"&gt;="&amp;$B$3,'Registro de turnos'!$A$5:$A$504,"&lt;="&amp;$B$4))</f>
        <v/>
      </c>
      <c r="M144" s="17" t="str">
        <f t="shared" si="25"/>
        <v/>
      </c>
      <c r="N144" s="17" t="str">
        <f t="shared" si="26"/>
        <v/>
      </c>
      <c r="O144" s="17" t="str">
        <f t="shared" si="27"/>
        <v/>
      </c>
      <c r="P144" s="17" t="str">
        <f>IF($A144="","",ROUND(C144*D144*Parámetros!$B$8*0.0417,0))</f>
        <v/>
      </c>
      <c r="Q144" s="17" t="str">
        <f t="shared" si="28"/>
        <v/>
      </c>
      <c r="R144" s="17" t="str">
        <f t="shared" si="29"/>
        <v/>
      </c>
    </row>
    <row r="145" spans="1:18" x14ac:dyDescent="0.25">
      <c r="A145" s="22" t="str">
        <f>IF(Trabajadores!A143="","",Trabajadores!A143)</f>
        <v/>
      </c>
      <c r="B145" s="23" t="str">
        <f>IF(A145="","",Trabajadores!B143)</f>
        <v/>
      </c>
      <c r="C145" s="24" t="str">
        <f>IF(A145="","",Trabajadores!G143)</f>
        <v/>
      </c>
      <c r="D145" s="19" t="str">
        <f>IF($A145="","",SUMIFS('Registro de turnos'!$L$5:$L$504,'Registro de turnos'!$B$5:$B$504,$A145,'Registro de turnos'!$A$5:$A$504,"&gt;="&amp;$B$3,'Registro de turnos'!$A$5:$A$504,"&lt;="&amp;$B$4))</f>
        <v/>
      </c>
      <c r="E145" s="19" t="str">
        <f>IF($A145="","",SUMIFS('Registro de turnos'!$M$5:$M$504,'Registro de turnos'!$B$5:$B$504,$A145,'Registro de turnos'!$A$5:$A$504,"&gt;="&amp;$B$3,'Registro de turnos'!$A$5:$A$504,"&lt;="&amp;$B$4))</f>
        <v/>
      </c>
      <c r="F145" s="19" t="str">
        <f>IF($A145="","",SUMIFS('Registro de turnos'!$N$5:$N$504,'Registro de turnos'!$B$5:$B$504,$A145,'Registro de turnos'!$A$5:$A$504,"&gt;="&amp;$B$3,'Registro de turnos'!$A$5:$A$504,"&lt;="&amp;$B$4))</f>
        <v/>
      </c>
      <c r="G145" s="19" t="str">
        <f>IF($A145="","",SUMIFS('Registro de turnos'!$O$5:$O$504,'Registro de turnos'!$B$5:$B$504,$A145,'Registro de turnos'!$A$5:$A$504,"&gt;="&amp;$B$3,'Registro de turnos'!$A$5:$A$504,"&lt;="&amp;$B$4))</f>
        <v/>
      </c>
      <c r="H145" s="19" t="str">
        <f>IF($A145="","",SUMIFS('Registro de turnos'!$P$5:$P$504,'Registro de turnos'!$B$5:$B$504,$A145,'Registro de turnos'!$A$5:$A$504,"&gt;="&amp;$B$3,'Registro de turnos'!$A$5:$A$504,"&lt;="&amp;$B$4))</f>
        <v/>
      </c>
      <c r="I145" s="19" t="str">
        <f>IF($A145="","",SUMIFS('Registro de turnos'!$Q$5:$Q$504,'Registro de turnos'!$B$5:$B$504,$A145,'Registro de turnos'!$A$5:$A$504,"&gt;="&amp;$B$3,'Registro de turnos'!$A$5:$A$504,"&lt;="&amp;$B$4))</f>
        <v/>
      </c>
      <c r="J145" s="19" t="str">
        <f>IF($A145="","",SUMIFS('Registro de turnos'!$R$5:$R$504,'Registro de turnos'!$B$5:$B$504,$A145,'Registro de turnos'!$A$5:$A$504,"&gt;="&amp;$B$3,'Registro de turnos'!$A$5:$A$504,"&lt;="&amp;$B$4))</f>
        <v/>
      </c>
      <c r="K145" s="19" t="str">
        <f t="shared" si="24"/>
        <v/>
      </c>
      <c r="L145" s="17" t="str">
        <f>IF($A145="","",SUMIFS('Registro de turnos'!$T$5:$T$504,'Registro de turnos'!$B$5:$B$504,$A145,'Registro de turnos'!$A$5:$A$504,"&gt;="&amp;$B$3,'Registro de turnos'!$A$5:$A$504,"&lt;="&amp;$B$4))</f>
        <v/>
      </c>
      <c r="M145" s="17" t="str">
        <f t="shared" si="25"/>
        <v/>
      </c>
      <c r="N145" s="17" t="str">
        <f t="shared" si="26"/>
        <v/>
      </c>
      <c r="O145" s="17" t="str">
        <f t="shared" si="27"/>
        <v/>
      </c>
      <c r="P145" s="17" t="str">
        <f>IF($A145="","",ROUND(C145*D145*Parámetros!$B$8*0.0417,0))</f>
        <v/>
      </c>
      <c r="Q145" s="17" t="str">
        <f t="shared" si="28"/>
        <v/>
      </c>
      <c r="R145" s="17" t="str">
        <f t="shared" si="29"/>
        <v/>
      </c>
    </row>
    <row r="146" spans="1:18" x14ac:dyDescent="0.25">
      <c r="A146" s="22" t="str">
        <f>IF(Trabajadores!A144="","",Trabajadores!A144)</f>
        <v/>
      </c>
      <c r="B146" s="23" t="str">
        <f>IF(A146="","",Trabajadores!B144)</f>
        <v/>
      </c>
      <c r="C146" s="24" t="str">
        <f>IF(A146="","",Trabajadores!G144)</f>
        <v/>
      </c>
      <c r="D146" s="19" t="str">
        <f>IF($A146="","",SUMIFS('Registro de turnos'!$L$5:$L$504,'Registro de turnos'!$B$5:$B$504,$A146,'Registro de turnos'!$A$5:$A$504,"&gt;="&amp;$B$3,'Registro de turnos'!$A$5:$A$504,"&lt;="&amp;$B$4))</f>
        <v/>
      </c>
      <c r="E146" s="19" t="str">
        <f>IF($A146="","",SUMIFS('Registro de turnos'!$M$5:$M$504,'Registro de turnos'!$B$5:$B$504,$A146,'Registro de turnos'!$A$5:$A$504,"&gt;="&amp;$B$3,'Registro de turnos'!$A$5:$A$504,"&lt;="&amp;$B$4))</f>
        <v/>
      </c>
      <c r="F146" s="19" t="str">
        <f>IF($A146="","",SUMIFS('Registro de turnos'!$N$5:$N$504,'Registro de turnos'!$B$5:$B$504,$A146,'Registro de turnos'!$A$5:$A$504,"&gt;="&amp;$B$3,'Registro de turnos'!$A$5:$A$504,"&lt;="&amp;$B$4))</f>
        <v/>
      </c>
      <c r="G146" s="19" t="str">
        <f>IF($A146="","",SUMIFS('Registro de turnos'!$O$5:$O$504,'Registro de turnos'!$B$5:$B$504,$A146,'Registro de turnos'!$A$5:$A$504,"&gt;="&amp;$B$3,'Registro de turnos'!$A$5:$A$504,"&lt;="&amp;$B$4))</f>
        <v/>
      </c>
      <c r="H146" s="19" t="str">
        <f>IF($A146="","",SUMIFS('Registro de turnos'!$P$5:$P$504,'Registro de turnos'!$B$5:$B$504,$A146,'Registro de turnos'!$A$5:$A$504,"&gt;="&amp;$B$3,'Registro de turnos'!$A$5:$A$504,"&lt;="&amp;$B$4))</f>
        <v/>
      </c>
      <c r="I146" s="19" t="str">
        <f>IF($A146="","",SUMIFS('Registro de turnos'!$Q$5:$Q$504,'Registro de turnos'!$B$5:$B$504,$A146,'Registro de turnos'!$A$5:$A$504,"&gt;="&amp;$B$3,'Registro de turnos'!$A$5:$A$504,"&lt;="&amp;$B$4))</f>
        <v/>
      </c>
      <c r="J146" s="19" t="str">
        <f>IF($A146="","",SUMIFS('Registro de turnos'!$R$5:$R$504,'Registro de turnos'!$B$5:$B$504,$A146,'Registro de turnos'!$A$5:$A$504,"&gt;="&amp;$B$3,'Registro de turnos'!$A$5:$A$504,"&lt;="&amp;$B$4))</f>
        <v/>
      </c>
      <c r="K146" s="19" t="str">
        <f t="shared" si="24"/>
        <v/>
      </c>
      <c r="L146" s="17" t="str">
        <f>IF($A146="","",SUMIFS('Registro de turnos'!$T$5:$T$504,'Registro de turnos'!$B$5:$B$504,$A146,'Registro de turnos'!$A$5:$A$504,"&gt;="&amp;$B$3,'Registro de turnos'!$A$5:$A$504,"&lt;="&amp;$B$4))</f>
        <v/>
      </c>
      <c r="M146" s="17" t="str">
        <f t="shared" si="25"/>
        <v/>
      </c>
      <c r="N146" s="17" t="str">
        <f t="shared" si="26"/>
        <v/>
      </c>
      <c r="O146" s="17" t="str">
        <f t="shared" si="27"/>
        <v/>
      </c>
      <c r="P146" s="17" t="str">
        <f>IF($A146="","",ROUND(C146*D146*Parámetros!$B$8*0.0417,0))</f>
        <v/>
      </c>
      <c r="Q146" s="17" t="str">
        <f t="shared" si="28"/>
        <v/>
      </c>
      <c r="R146" s="17" t="str">
        <f t="shared" si="29"/>
        <v/>
      </c>
    </row>
    <row r="147" spans="1:18" x14ac:dyDescent="0.25">
      <c r="A147" s="22" t="str">
        <f>IF(Trabajadores!A145="","",Trabajadores!A145)</f>
        <v/>
      </c>
      <c r="B147" s="23" t="str">
        <f>IF(A147="","",Trabajadores!B145)</f>
        <v/>
      </c>
      <c r="C147" s="24" t="str">
        <f>IF(A147="","",Trabajadores!G145)</f>
        <v/>
      </c>
      <c r="D147" s="19" t="str">
        <f>IF($A147="","",SUMIFS('Registro de turnos'!$L$5:$L$504,'Registro de turnos'!$B$5:$B$504,$A147,'Registro de turnos'!$A$5:$A$504,"&gt;="&amp;$B$3,'Registro de turnos'!$A$5:$A$504,"&lt;="&amp;$B$4))</f>
        <v/>
      </c>
      <c r="E147" s="19" t="str">
        <f>IF($A147="","",SUMIFS('Registro de turnos'!$M$5:$M$504,'Registro de turnos'!$B$5:$B$504,$A147,'Registro de turnos'!$A$5:$A$504,"&gt;="&amp;$B$3,'Registro de turnos'!$A$5:$A$504,"&lt;="&amp;$B$4))</f>
        <v/>
      </c>
      <c r="F147" s="19" t="str">
        <f>IF($A147="","",SUMIFS('Registro de turnos'!$N$5:$N$504,'Registro de turnos'!$B$5:$B$504,$A147,'Registro de turnos'!$A$5:$A$504,"&gt;="&amp;$B$3,'Registro de turnos'!$A$5:$A$504,"&lt;="&amp;$B$4))</f>
        <v/>
      </c>
      <c r="G147" s="19" t="str">
        <f>IF($A147="","",SUMIFS('Registro de turnos'!$O$5:$O$504,'Registro de turnos'!$B$5:$B$504,$A147,'Registro de turnos'!$A$5:$A$504,"&gt;="&amp;$B$3,'Registro de turnos'!$A$5:$A$504,"&lt;="&amp;$B$4))</f>
        <v/>
      </c>
      <c r="H147" s="19" t="str">
        <f>IF($A147="","",SUMIFS('Registro de turnos'!$P$5:$P$504,'Registro de turnos'!$B$5:$B$504,$A147,'Registro de turnos'!$A$5:$A$504,"&gt;="&amp;$B$3,'Registro de turnos'!$A$5:$A$504,"&lt;="&amp;$B$4))</f>
        <v/>
      </c>
      <c r="I147" s="19" t="str">
        <f>IF($A147="","",SUMIFS('Registro de turnos'!$Q$5:$Q$504,'Registro de turnos'!$B$5:$B$504,$A147,'Registro de turnos'!$A$5:$A$504,"&gt;="&amp;$B$3,'Registro de turnos'!$A$5:$A$504,"&lt;="&amp;$B$4))</f>
        <v/>
      </c>
      <c r="J147" s="19" t="str">
        <f>IF($A147="","",SUMIFS('Registro de turnos'!$R$5:$R$504,'Registro de turnos'!$B$5:$B$504,$A147,'Registro de turnos'!$A$5:$A$504,"&gt;="&amp;$B$3,'Registro de turnos'!$A$5:$A$504,"&lt;="&amp;$B$4))</f>
        <v/>
      </c>
      <c r="K147" s="19" t="str">
        <f t="shared" si="24"/>
        <v/>
      </c>
      <c r="L147" s="17" t="str">
        <f>IF($A147="","",SUMIFS('Registro de turnos'!$T$5:$T$504,'Registro de turnos'!$B$5:$B$504,$A147,'Registro de turnos'!$A$5:$A$504,"&gt;="&amp;$B$3,'Registro de turnos'!$A$5:$A$504,"&lt;="&amp;$B$4))</f>
        <v/>
      </c>
      <c r="M147" s="17" t="str">
        <f t="shared" si="25"/>
        <v/>
      </c>
      <c r="N147" s="17" t="str">
        <f t="shared" si="26"/>
        <v/>
      </c>
      <c r="O147" s="17" t="str">
        <f t="shared" si="27"/>
        <v/>
      </c>
      <c r="P147" s="17" t="str">
        <f>IF($A147="","",ROUND(C147*D147*Parámetros!$B$8*0.0417,0))</f>
        <v/>
      </c>
      <c r="Q147" s="17" t="str">
        <f t="shared" si="28"/>
        <v/>
      </c>
      <c r="R147" s="17" t="str">
        <f t="shared" si="29"/>
        <v/>
      </c>
    </row>
    <row r="148" spans="1:18" x14ac:dyDescent="0.25">
      <c r="A148" s="22" t="str">
        <f>IF(Trabajadores!A146="","",Trabajadores!A146)</f>
        <v/>
      </c>
      <c r="B148" s="23" t="str">
        <f>IF(A148="","",Trabajadores!B146)</f>
        <v/>
      </c>
      <c r="C148" s="24" t="str">
        <f>IF(A148="","",Trabajadores!G146)</f>
        <v/>
      </c>
      <c r="D148" s="19" t="str">
        <f>IF($A148="","",SUMIFS('Registro de turnos'!$L$5:$L$504,'Registro de turnos'!$B$5:$B$504,$A148,'Registro de turnos'!$A$5:$A$504,"&gt;="&amp;$B$3,'Registro de turnos'!$A$5:$A$504,"&lt;="&amp;$B$4))</f>
        <v/>
      </c>
      <c r="E148" s="19" t="str">
        <f>IF($A148="","",SUMIFS('Registro de turnos'!$M$5:$M$504,'Registro de turnos'!$B$5:$B$504,$A148,'Registro de turnos'!$A$5:$A$504,"&gt;="&amp;$B$3,'Registro de turnos'!$A$5:$A$504,"&lt;="&amp;$B$4))</f>
        <v/>
      </c>
      <c r="F148" s="19" t="str">
        <f>IF($A148="","",SUMIFS('Registro de turnos'!$N$5:$N$504,'Registro de turnos'!$B$5:$B$504,$A148,'Registro de turnos'!$A$5:$A$504,"&gt;="&amp;$B$3,'Registro de turnos'!$A$5:$A$504,"&lt;="&amp;$B$4))</f>
        <v/>
      </c>
      <c r="G148" s="19" t="str">
        <f>IF($A148="","",SUMIFS('Registro de turnos'!$O$5:$O$504,'Registro de turnos'!$B$5:$B$504,$A148,'Registro de turnos'!$A$5:$A$504,"&gt;="&amp;$B$3,'Registro de turnos'!$A$5:$A$504,"&lt;="&amp;$B$4))</f>
        <v/>
      </c>
      <c r="H148" s="19" t="str">
        <f>IF($A148="","",SUMIFS('Registro de turnos'!$P$5:$P$504,'Registro de turnos'!$B$5:$B$504,$A148,'Registro de turnos'!$A$5:$A$504,"&gt;="&amp;$B$3,'Registro de turnos'!$A$5:$A$504,"&lt;="&amp;$B$4))</f>
        <v/>
      </c>
      <c r="I148" s="19" t="str">
        <f>IF($A148="","",SUMIFS('Registro de turnos'!$Q$5:$Q$504,'Registro de turnos'!$B$5:$B$504,$A148,'Registro de turnos'!$A$5:$A$504,"&gt;="&amp;$B$3,'Registro de turnos'!$A$5:$A$504,"&lt;="&amp;$B$4))</f>
        <v/>
      </c>
      <c r="J148" s="19" t="str">
        <f>IF($A148="","",SUMIFS('Registro de turnos'!$R$5:$R$504,'Registro de turnos'!$B$5:$B$504,$A148,'Registro de turnos'!$A$5:$A$504,"&gt;="&amp;$B$3,'Registro de turnos'!$A$5:$A$504,"&lt;="&amp;$B$4))</f>
        <v/>
      </c>
      <c r="K148" s="19" t="str">
        <f t="shared" si="24"/>
        <v/>
      </c>
      <c r="L148" s="17" t="str">
        <f>IF($A148="","",SUMIFS('Registro de turnos'!$T$5:$T$504,'Registro de turnos'!$B$5:$B$504,$A148,'Registro de turnos'!$A$5:$A$504,"&gt;="&amp;$B$3,'Registro de turnos'!$A$5:$A$504,"&lt;="&amp;$B$4))</f>
        <v/>
      </c>
      <c r="M148" s="17" t="str">
        <f t="shared" si="25"/>
        <v/>
      </c>
      <c r="N148" s="17" t="str">
        <f t="shared" si="26"/>
        <v/>
      </c>
      <c r="O148" s="17" t="str">
        <f t="shared" si="27"/>
        <v/>
      </c>
      <c r="P148" s="17" t="str">
        <f>IF($A148="","",ROUND(C148*D148*Parámetros!$B$8*0.0417,0))</f>
        <v/>
      </c>
      <c r="Q148" s="17" t="str">
        <f t="shared" si="28"/>
        <v/>
      </c>
      <c r="R148" s="17" t="str">
        <f t="shared" si="29"/>
        <v/>
      </c>
    </row>
    <row r="149" spans="1:18" x14ac:dyDescent="0.25">
      <c r="A149" s="22" t="str">
        <f>IF(Trabajadores!A147="","",Trabajadores!A147)</f>
        <v/>
      </c>
      <c r="B149" s="23" t="str">
        <f>IF(A149="","",Trabajadores!B147)</f>
        <v/>
      </c>
      <c r="C149" s="24" t="str">
        <f>IF(A149="","",Trabajadores!G147)</f>
        <v/>
      </c>
      <c r="D149" s="19" t="str">
        <f>IF($A149="","",SUMIFS('Registro de turnos'!$L$5:$L$504,'Registro de turnos'!$B$5:$B$504,$A149,'Registro de turnos'!$A$5:$A$504,"&gt;="&amp;$B$3,'Registro de turnos'!$A$5:$A$504,"&lt;="&amp;$B$4))</f>
        <v/>
      </c>
      <c r="E149" s="19" t="str">
        <f>IF($A149="","",SUMIFS('Registro de turnos'!$M$5:$M$504,'Registro de turnos'!$B$5:$B$504,$A149,'Registro de turnos'!$A$5:$A$504,"&gt;="&amp;$B$3,'Registro de turnos'!$A$5:$A$504,"&lt;="&amp;$B$4))</f>
        <v/>
      </c>
      <c r="F149" s="19" t="str">
        <f>IF($A149="","",SUMIFS('Registro de turnos'!$N$5:$N$504,'Registro de turnos'!$B$5:$B$504,$A149,'Registro de turnos'!$A$5:$A$504,"&gt;="&amp;$B$3,'Registro de turnos'!$A$5:$A$504,"&lt;="&amp;$B$4))</f>
        <v/>
      </c>
      <c r="G149" s="19" t="str">
        <f>IF($A149="","",SUMIFS('Registro de turnos'!$O$5:$O$504,'Registro de turnos'!$B$5:$B$504,$A149,'Registro de turnos'!$A$5:$A$504,"&gt;="&amp;$B$3,'Registro de turnos'!$A$5:$A$504,"&lt;="&amp;$B$4))</f>
        <v/>
      </c>
      <c r="H149" s="19" t="str">
        <f>IF($A149="","",SUMIFS('Registro de turnos'!$P$5:$P$504,'Registro de turnos'!$B$5:$B$504,$A149,'Registro de turnos'!$A$5:$A$504,"&gt;="&amp;$B$3,'Registro de turnos'!$A$5:$A$504,"&lt;="&amp;$B$4))</f>
        <v/>
      </c>
      <c r="I149" s="19" t="str">
        <f>IF($A149="","",SUMIFS('Registro de turnos'!$Q$5:$Q$504,'Registro de turnos'!$B$5:$B$504,$A149,'Registro de turnos'!$A$5:$A$504,"&gt;="&amp;$B$3,'Registro de turnos'!$A$5:$A$504,"&lt;="&amp;$B$4))</f>
        <v/>
      </c>
      <c r="J149" s="19" t="str">
        <f>IF($A149="","",SUMIFS('Registro de turnos'!$R$5:$R$504,'Registro de turnos'!$B$5:$B$504,$A149,'Registro de turnos'!$A$5:$A$504,"&gt;="&amp;$B$3,'Registro de turnos'!$A$5:$A$504,"&lt;="&amp;$B$4))</f>
        <v/>
      </c>
      <c r="K149" s="19" t="str">
        <f t="shared" si="24"/>
        <v/>
      </c>
      <c r="L149" s="17" t="str">
        <f>IF($A149="","",SUMIFS('Registro de turnos'!$T$5:$T$504,'Registro de turnos'!$B$5:$B$504,$A149,'Registro de turnos'!$A$5:$A$504,"&gt;="&amp;$B$3,'Registro de turnos'!$A$5:$A$504,"&lt;="&amp;$B$4))</f>
        <v/>
      </c>
      <c r="M149" s="17" t="str">
        <f t="shared" si="25"/>
        <v/>
      </c>
      <c r="N149" s="17" t="str">
        <f t="shared" si="26"/>
        <v/>
      </c>
      <c r="O149" s="17" t="str">
        <f t="shared" si="27"/>
        <v/>
      </c>
      <c r="P149" s="17" t="str">
        <f>IF($A149="","",ROUND(C149*D149*Parámetros!$B$8*0.0417,0))</f>
        <v/>
      </c>
      <c r="Q149" s="17" t="str">
        <f t="shared" si="28"/>
        <v/>
      </c>
      <c r="R149" s="17" t="str">
        <f t="shared" si="29"/>
        <v/>
      </c>
    </row>
    <row r="150" spans="1:18" x14ac:dyDescent="0.25">
      <c r="A150" s="22" t="str">
        <f>IF(Trabajadores!A148="","",Trabajadores!A148)</f>
        <v/>
      </c>
      <c r="B150" s="23" t="str">
        <f>IF(A150="","",Trabajadores!B148)</f>
        <v/>
      </c>
      <c r="C150" s="24" t="str">
        <f>IF(A150="","",Trabajadores!G148)</f>
        <v/>
      </c>
      <c r="D150" s="19" t="str">
        <f>IF($A150="","",SUMIFS('Registro de turnos'!$L$5:$L$504,'Registro de turnos'!$B$5:$B$504,$A150,'Registro de turnos'!$A$5:$A$504,"&gt;="&amp;$B$3,'Registro de turnos'!$A$5:$A$504,"&lt;="&amp;$B$4))</f>
        <v/>
      </c>
      <c r="E150" s="19" t="str">
        <f>IF($A150="","",SUMIFS('Registro de turnos'!$M$5:$M$504,'Registro de turnos'!$B$5:$B$504,$A150,'Registro de turnos'!$A$5:$A$504,"&gt;="&amp;$B$3,'Registro de turnos'!$A$5:$A$504,"&lt;="&amp;$B$4))</f>
        <v/>
      </c>
      <c r="F150" s="19" t="str">
        <f>IF($A150="","",SUMIFS('Registro de turnos'!$N$5:$N$504,'Registro de turnos'!$B$5:$B$504,$A150,'Registro de turnos'!$A$5:$A$504,"&gt;="&amp;$B$3,'Registro de turnos'!$A$5:$A$504,"&lt;="&amp;$B$4))</f>
        <v/>
      </c>
      <c r="G150" s="19" t="str">
        <f>IF($A150="","",SUMIFS('Registro de turnos'!$O$5:$O$504,'Registro de turnos'!$B$5:$B$504,$A150,'Registro de turnos'!$A$5:$A$504,"&gt;="&amp;$B$3,'Registro de turnos'!$A$5:$A$504,"&lt;="&amp;$B$4))</f>
        <v/>
      </c>
      <c r="H150" s="19" t="str">
        <f>IF($A150="","",SUMIFS('Registro de turnos'!$P$5:$P$504,'Registro de turnos'!$B$5:$B$504,$A150,'Registro de turnos'!$A$5:$A$504,"&gt;="&amp;$B$3,'Registro de turnos'!$A$5:$A$504,"&lt;="&amp;$B$4))</f>
        <v/>
      </c>
      <c r="I150" s="19" t="str">
        <f>IF($A150="","",SUMIFS('Registro de turnos'!$Q$5:$Q$504,'Registro de turnos'!$B$5:$B$504,$A150,'Registro de turnos'!$A$5:$A$504,"&gt;="&amp;$B$3,'Registro de turnos'!$A$5:$A$504,"&lt;="&amp;$B$4))</f>
        <v/>
      </c>
      <c r="J150" s="19" t="str">
        <f>IF($A150="","",SUMIFS('Registro de turnos'!$R$5:$R$504,'Registro de turnos'!$B$5:$B$504,$A150,'Registro de turnos'!$A$5:$A$504,"&gt;="&amp;$B$3,'Registro de turnos'!$A$5:$A$504,"&lt;="&amp;$B$4))</f>
        <v/>
      </c>
      <c r="K150" s="19" t="str">
        <f t="shared" si="24"/>
        <v/>
      </c>
      <c r="L150" s="17" t="str">
        <f>IF($A150="","",SUMIFS('Registro de turnos'!$T$5:$T$504,'Registro de turnos'!$B$5:$B$504,$A150,'Registro de turnos'!$A$5:$A$504,"&gt;="&amp;$B$3,'Registro de turnos'!$A$5:$A$504,"&lt;="&amp;$B$4))</f>
        <v/>
      </c>
      <c r="M150" s="17" t="str">
        <f t="shared" si="25"/>
        <v/>
      </c>
      <c r="N150" s="17" t="str">
        <f t="shared" si="26"/>
        <v/>
      </c>
      <c r="O150" s="17" t="str">
        <f t="shared" si="27"/>
        <v/>
      </c>
      <c r="P150" s="17" t="str">
        <f>IF($A150="","",ROUND(C150*D150*Parámetros!$B$8*0.0417,0))</f>
        <v/>
      </c>
      <c r="Q150" s="17" t="str">
        <f t="shared" si="28"/>
        <v/>
      </c>
      <c r="R150" s="17" t="str">
        <f t="shared" si="29"/>
        <v/>
      </c>
    </row>
    <row r="151" spans="1:18" x14ac:dyDescent="0.25">
      <c r="A151" s="22" t="str">
        <f>IF(Trabajadores!A149="","",Trabajadores!A149)</f>
        <v/>
      </c>
      <c r="B151" s="23" t="str">
        <f>IF(A151="","",Trabajadores!B149)</f>
        <v/>
      </c>
      <c r="C151" s="24" t="str">
        <f>IF(A151="","",Trabajadores!G149)</f>
        <v/>
      </c>
      <c r="D151" s="19" t="str">
        <f>IF($A151="","",SUMIFS('Registro de turnos'!$L$5:$L$504,'Registro de turnos'!$B$5:$B$504,$A151,'Registro de turnos'!$A$5:$A$504,"&gt;="&amp;$B$3,'Registro de turnos'!$A$5:$A$504,"&lt;="&amp;$B$4))</f>
        <v/>
      </c>
      <c r="E151" s="19" t="str">
        <f>IF($A151="","",SUMIFS('Registro de turnos'!$M$5:$M$504,'Registro de turnos'!$B$5:$B$504,$A151,'Registro de turnos'!$A$5:$A$504,"&gt;="&amp;$B$3,'Registro de turnos'!$A$5:$A$504,"&lt;="&amp;$B$4))</f>
        <v/>
      </c>
      <c r="F151" s="19" t="str">
        <f>IF($A151="","",SUMIFS('Registro de turnos'!$N$5:$N$504,'Registro de turnos'!$B$5:$B$504,$A151,'Registro de turnos'!$A$5:$A$504,"&gt;="&amp;$B$3,'Registro de turnos'!$A$5:$A$504,"&lt;="&amp;$B$4))</f>
        <v/>
      </c>
      <c r="G151" s="19" t="str">
        <f>IF($A151="","",SUMIFS('Registro de turnos'!$O$5:$O$504,'Registro de turnos'!$B$5:$B$504,$A151,'Registro de turnos'!$A$5:$A$504,"&gt;="&amp;$B$3,'Registro de turnos'!$A$5:$A$504,"&lt;="&amp;$B$4))</f>
        <v/>
      </c>
      <c r="H151" s="19" t="str">
        <f>IF($A151="","",SUMIFS('Registro de turnos'!$P$5:$P$504,'Registro de turnos'!$B$5:$B$504,$A151,'Registro de turnos'!$A$5:$A$504,"&gt;="&amp;$B$3,'Registro de turnos'!$A$5:$A$504,"&lt;="&amp;$B$4))</f>
        <v/>
      </c>
      <c r="I151" s="19" t="str">
        <f>IF($A151="","",SUMIFS('Registro de turnos'!$Q$5:$Q$504,'Registro de turnos'!$B$5:$B$504,$A151,'Registro de turnos'!$A$5:$A$504,"&gt;="&amp;$B$3,'Registro de turnos'!$A$5:$A$504,"&lt;="&amp;$B$4))</f>
        <v/>
      </c>
      <c r="J151" s="19" t="str">
        <f>IF($A151="","",SUMIFS('Registro de turnos'!$R$5:$R$504,'Registro de turnos'!$B$5:$B$504,$A151,'Registro de turnos'!$A$5:$A$504,"&gt;="&amp;$B$3,'Registro de turnos'!$A$5:$A$504,"&lt;="&amp;$B$4))</f>
        <v/>
      </c>
      <c r="K151" s="19" t="str">
        <f t="shared" si="24"/>
        <v/>
      </c>
      <c r="L151" s="17" t="str">
        <f>IF($A151="","",SUMIFS('Registro de turnos'!$T$5:$T$504,'Registro de turnos'!$B$5:$B$504,$A151,'Registro de turnos'!$A$5:$A$504,"&gt;="&amp;$B$3,'Registro de turnos'!$A$5:$A$504,"&lt;="&amp;$B$4))</f>
        <v/>
      </c>
      <c r="M151" s="17" t="str">
        <f t="shared" si="25"/>
        <v/>
      </c>
      <c r="N151" s="17" t="str">
        <f t="shared" si="26"/>
        <v/>
      </c>
      <c r="O151" s="17" t="str">
        <f t="shared" si="27"/>
        <v/>
      </c>
      <c r="P151" s="17" t="str">
        <f>IF($A151="","",ROUND(C151*D151*Parámetros!$B$8*0.0417,0))</f>
        <v/>
      </c>
      <c r="Q151" s="17" t="str">
        <f t="shared" si="28"/>
        <v/>
      </c>
      <c r="R151" s="17" t="str">
        <f t="shared" si="29"/>
        <v/>
      </c>
    </row>
    <row r="152" spans="1:18" x14ac:dyDescent="0.25">
      <c r="A152" s="22" t="str">
        <f>IF(Trabajadores!A150="","",Trabajadores!A150)</f>
        <v/>
      </c>
      <c r="B152" s="23" t="str">
        <f>IF(A152="","",Trabajadores!B150)</f>
        <v/>
      </c>
      <c r="C152" s="24" t="str">
        <f>IF(A152="","",Trabajadores!G150)</f>
        <v/>
      </c>
      <c r="D152" s="19" t="str">
        <f>IF($A152="","",SUMIFS('Registro de turnos'!$L$5:$L$504,'Registro de turnos'!$B$5:$B$504,$A152,'Registro de turnos'!$A$5:$A$504,"&gt;="&amp;$B$3,'Registro de turnos'!$A$5:$A$504,"&lt;="&amp;$B$4))</f>
        <v/>
      </c>
      <c r="E152" s="19" t="str">
        <f>IF($A152="","",SUMIFS('Registro de turnos'!$M$5:$M$504,'Registro de turnos'!$B$5:$B$504,$A152,'Registro de turnos'!$A$5:$A$504,"&gt;="&amp;$B$3,'Registro de turnos'!$A$5:$A$504,"&lt;="&amp;$B$4))</f>
        <v/>
      </c>
      <c r="F152" s="19" t="str">
        <f>IF($A152="","",SUMIFS('Registro de turnos'!$N$5:$N$504,'Registro de turnos'!$B$5:$B$504,$A152,'Registro de turnos'!$A$5:$A$504,"&gt;="&amp;$B$3,'Registro de turnos'!$A$5:$A$504,"&lt;="&amp;$B$4))</f>
        <v/>
      </c>
      <c r="G152" s="19" t="str">
        <f>IF($A152="","",SUMIFS('Registro de turnos'!$O$5:$O$504,'Registro de turnos'!$B$5:$B$504,$A152,'Registro de turnos'!$A$5:$A$504,"&gt;="&amp;$B$3,'Registro de turnos'!$A$5:$A$504,"&lt;="&amp;$B$4))</f>
        <v/>
      </c>
      <c r="H152" s="19" t="str">
        <f>IF($A152="","",SUMIFS('Registro de turnos'!$P$5:$P$504,'Registro de turnos'!$B$5:$B$504,$A152,'Registro de turnos'!$A$5:$A$504,"&gt;="&amp;$B$3,'Registro de turnos'!$A$5:$A$504,"&lt;="&amp;$B$4))</f>
        <v/>
      </c>
      <c r="I152" s="19" t="str">
        <f>IF($A152="","",SUMIFS('Registro de turnos'!$Q$5:$Q$504,'Registro de turnos'!$B$5:$B$504,$A152,'Registro de turnos'!$A$5:$A$504,"&gt;="&amp;$B$3,'Registro de turnos'!$A$5:$A$504,"&lt;="&amp;$B$4))</f>
        <v/>
      </c>
      <c r="J152" s="19" t="str">
        <f>IF($A152="","",SUMIFS('Registro de turnos'!$R$5:$R$504,'Registro de turnos'!$B$5:$B$504,$A152,'Registro de turnos'!$A$5:$A$504,"&gt;="&amp;$B$3,'Registro de turnos'!$A$5:$A$504,"&lt;="&amp;$B$4))</f>
        <v/>
      </c>
      <c r="K152" s="19" t="str">
        <f t="shared" si="24"/>
        <v/>
      </c>
      <c r="L152" s="17" t="str">
        <f>IF($A152="","",SUMIFS('Registro de turnos'!$T$5:$T$504,'Registro de turnos'!$B$5:$B$504,$A152,'Registro de turnos'!$A$5:$A$504,"&gt;="&amp;$B$3,'Registro de turnos'!$A$5:$A$504,"&lt;="&amp;$B$4))</f>
        <v/>
      </c>
      <c r="M152" s="17" t="str">
        <f t="shared" si="25"/>
        <v/>
      </c>
      <c r="N152" s="17" t="str">
        <f t="shared" si="26"/>
        <v/>
      </c>
      <c r="O152" s="17" t="str">
        <f t="shared" si="27"/>
        <v/>
      </c>
      <c r="P152" s="17" t="str">
        <f>IF($A152="","",ROUND(C152*D152*Parámetros!$B$8*0.0417,0))</f>
        <v/>
      </c>
      <c r="Q152" s="17" t="str">
        <f t="shared" si="28"/>
        <v/>
      </c>
      <c r="R152" s="17" t="str">
        <f t="shared" si="29"/>
        <v/>
      </c>
    </row>
    <row r="153" spans="1:18" x14ac:dyDescent="0.25">
      <c r="A153" s="22" t="str">
        <f>IF(Trabajadores!A151="","",Trabajadores!A151)</f>
        <v/>
      </c>
      <c r="B153" s="23" t="str">
        <f>IF(A153="","",Trabajadores!B151)</f>
        <v/>
      </c>
      <c r="C153" s="24" t="str">
        <f>IF(A153="","",Trabajadores!G151)</f>
        <v/>
      </c>
      <c r="D153" s="19" t="str">
        <f>IF($A153="","",SUMIFS('Registro de turnos'!$L$5:$L$504,'Registro de turnos'!$B$5:$B$504,$A153,'Registro de turnos'!$A$5:$A$504,"&gt;="&amp;$B$3,'Registro de turnos'!$A$5:$A$504,"&lt;="&amp;$B$4))</f>
        <v/>
      </c>
      <c r="E153" s="19" t="str">
        <f>IF($A153="","",SUMIFS('Registro de turnos'!$M$5:$M$504,'Registro de turnos'!$B$5:$B$504,$A153,'Registro de turnos'!$A$5:$A$504,"&gt;="&amp;$B$3,'Registro de turnos'!$A$5:$A$504,"&lt;="&amp;$B$4))</f>
        <v/>
      </c>
      <c r="F153" s="19" t="str">
        <f>IF($A153="","",SUMIFS('Registro de turnos'!$N$5:$N$504,'Registro de turnos'!$B$5:$B$504,$A153,'Registro de turnos'!$A$5:$A$504,"&gt;="&amp;$B$3,'Registro de turnos'!$A$5:$A$504,"&lt;="&amp;$B$4))</f>
        <v/>
      </c>
      <c r="G153" s="19" t="str">
        <f>IF($A153="","",SUMIFS('Registro de turnos'!$O$5:$O$504,'Registro de turnos'!$B$5:$B$504,$A153,'Registro de turnos'!$A$5:$A$504,"&gt;="&amp;$B$3,'Registro de turnos'!$A$5:$A$504,"&lt;="&amp;$B$4))</f>
        <v/>
      </c>
      <c r="H153" s="19" t="str">
        <f>IF($A153="","",SUMIFS('Registro de turnos'!$P$5:$P$504,'Registro de turnos'!$B$5:$B$504,$A153,'Registro de turnos'!$A$5:$A$504,"&gt;="&amp;$B$3,'Registro de turnos'!$A$5:$A$504,"&lt;="&amp;$B$4))</f>
        <v/>
      </c>
      <c r="I153" s="19" t="str">
        <f>IF($A153="","",SUMIFS('Registro de turnos'!$Q$5:$Q$504,'Registro de turnos'!$B$5:$B$504,$A153,'Registro de turnos'!$A$5:$A$504,"&gt;="&amp;$B$3,'Registro de turnos'!$A$5:$A$504,"&lt;="&amp;$B$4))</f>
        <v/>
      </c>
      <c r="J153" s="19" t="str">
        <f>IF($A153="","",SUMIFS('Registro de turnos'!$R$5:$R$504,'Registro de turnos'!$B$5:$B$504,$A153,'Registro de turnos'!$A$5:$A$504,"&gt;="&amp;$B$3,'Registro de turnos'!$A$5:$A$504,"&lt;="&amp;$B$4))</f>
        <v/>
      </c>
      <c r="K153" s="19" t="str">
        <f t="shared" si="24"/>
        <v/>
      </c>
      <c r="L153" s="17" t="str">
        <f>IF($A153="","",SUMIFS('Registro de turnos'!$T$5:$T$504,'Registro de turnos'!$B$5:$B$504,$A153,'Registro de turnos'!$A$5:$A$504,"&gt;="&amp;$B$3,'Registro de turnos'!$A$5:$A$504,"&lt;="&amp;$B$4))</f>
        <v/>
      </c>
      <c r="M153" s="17" t="str">
        <f t="shared" si="25"/>
        <v/>
      </c>
      <c r="N153" s="17" t="str">
        <f t="shared" si="26"/>
        <v/>
      </c>
      <c r="O153" s="17" t="str">
        <f t="shared" si="27"/>
        <v/>
      </c>
      <c r="P153" s="17" t="str">
        <f>IF($A153="","",ROUND(C153*D153*Parámetros!$B$8*0.0417,0))</f>
        <v/>
      </c>
      <c r="Q153" s="17" t="str">
        <f t="shared" si="28"/>
        <v/>
      </c>
      <c r="R153" s="17" t="str">
        <f t="shared" si="29"/>
        <v/>
      </c>
    </row>
    <row r="154" spans="1:18" x14ac:dyDescent="0.25">
      <c r="A154" s="22" t="str">
        <f>IF(Trabajadores!A152="","",Trabajadores!A152)</f>
        <v/>
      </c>
      <c r="B154" s="23" t="str">
        <f>IF(A154="","",Trabajadores!B152)</f>
        <v/>
      </c>
      <c r="C154" s="24" t="str">
        <f>IF(A154="","",Trabajadores!G152)</f>
        <v/>
      </c>
      <c r="D154" s="19" t="str">
        <f>IF($A154="","",SUMIFS('Registro de turnos'!$L$5:$L$504,'Registro de turnos'!$B$5:$B$504,$A154,'Registro de turnos'!$A$5:$A$504,"&gt;="&amp;$B$3,'Registro de turnos'!$A$5:$A$504,"&lt;="&amp;$B$4))</f>
        <v/>
      </c>
      <c r="E154" s="19" t="str">
        <f>IF($A154="","",SUMIFS('Registro de turnos'!$M$5:$M$504,'Registro de turnos'!$B$5:$B$504,$A154,'Registro de turnos'!$A$5:$A$504,"&gt;="&amp;$B$3,'Registro de turnos'!$A$5:$A$504,"&lt;="&amp;$B$4))</f>
        <v/>
      </c>
      <c r="F154" s="19" t="str">
        <f>IF($A154="","",SUMIFS('Registro de turnos'!$N$5:$N$504,'Registro de turnos'!$B$5:$B$504,$A154,'Registro de turnos'!$A$5:$A$504,"&gt;="&amp;$B$3,'Registro de turnos'!$A$5:$A$504,"&lt;="&amp;$B$4))</f>
        <v/>
      </c>
      <c r="G154" s="19" t="str">
        <f>IF($A154="","",SUMIFS('Registro de turnos'!$O$5:$O$504,'Registro de turnos'!$B$5:$B$504,$A154,'Registro de turnos'!$A$5:$A$504,"&gt;="&amp;$B$3,'Registro de turnos'!$A$5:$A$504,"&lt;="&amp;$B$4))</f>
        <v/>
      </c>
      <c r="H154" s="19" t="str">
        <f>IF($A154="","",SUMIFS('Registro de turnos'!$P$5:$P$504,'Registro de turnos'!$B$5:$B$504,$A154,'Registro de turnos'!$A$5:$A$504,"&gt;="&amp;$B$3,'Registro de turnos'!$A$5:$A$504,"&lt;="&amp;$B$4))</f>
        <v/>
      </c>
      <c r="I154" s="19" t="str">
        <f>IF($A154="","",SUMIFS('Registro de turnos'!$Q$5:$Q$504,'Registro de turnos'!$B$5:$B$504,$A154,'Registro de turnos'!$A$5:$A$504,"&gt;="&amp;$B$3,'Registro de turnos'!$A$5:$A$504,"&lt;="&amp;$B$4))</f>
        <v/>
      </c>
      <c r="J154" s="19" t="str">
        <f>IF($A154="","",SUMIFS('Registro de turnos'!$R$5:$R$504,'Registro de turnos'!$B$5:$B$504,$A154,'Registro de turnos'!$A$5:$A$504,"&gt;="&amp;$B$3,'Registro de turnos'!$A$5:$A$504,"&lt;="&amp;$B$4))</f>
        <v/>
      </c>
      <c r="K154" s="19" t="str">
        <f t="shared" si="24"/>
        <v/>
      </c>
      <c r="L154" s="17" t="str">
        <f>IF($A154="","",SUMIFS('Registro de turnos'!$T$5:$T$504,'Registro de turnos'!$B$5:$B$504,$A154,'Registro de turnos'!$A$5:$A$504,"&gt;="&amp;$B$3,'Registro de turnos'!$A$5:$A$504,"&lt;="&amp;$B$4))</f>
        <v/>
      </c>
      <c r="M154" s="17" t="str">
        <f t="shared" si="25"/>
        <v/>
      </c>
      <c r="N154" s="17" t="str">
        <f t="shared" si="26"/>
        <v/>
      </c>
      <c r="O154" s="17" t="str">
        <f t="shared" si="27"/>
        <v/>
      </c>
      <c r="P154" s="17" t="str">
        <f>IF($A154="","",ROUND(C154*D154*Parámetros!$B$8*0.0417,0))</f>
        <v/>
      </c>
      <c r="Q154" s="17" t="str">
        <f t="shared" si="28"/>
        <v/>
      </c>
      <c r="R154" s="17" t="str">
        <f t="shared" si="29"/>
        <v/>
      </c>
    </row>
    <row r="155" spans="1:18" x14ac:dyDescent="0.25">
      <c r="A155" s="22" t="str">
        <f>IF(Trabajadores!A153="","",Trabajadores!A153)</f>
        <v/>
      </c>
      <c r="B155" s="23" t="str">
        <f>IF(A155="","",Trabajadores!B153)</f>
        <v/>
      </c>
      <c r="C155" s="24" t="str">
        <f>IF(A155="","",Trabajadores!G153)</f>
        <v/>
      </c>
      <c r="D155" s="19" t="str">
        <f>IF($A155="","",SUMIFS('Registro de turnos'!$L$5:$L$504,'Registro de turnos'!$B$5:$B$504,$A155,'Registro de turnos'!$A$5:$A$504,"&gt;="&amp;$B$3,'Registro de turnos'!$A$5:$A$504,"&lt;="&amp;$B$4))</f>
        <v/>
      </c>
      <c r="E155" s="19" t="str">
        <f>IF($A155="","",SUMIFS('Registro de turnos'!$M$5:$M$504,'Registro de turnos'!$B$5:$B$504,$A155,'Registro de turnos'!$A$5:$A$504,"&gt;="&amp;$B$3,'Registro de turnos'!$A$5:$A$504,"&lt;="&amp;$B$4))</f>
        <v/>
      </c>
      <c r="F155" s="19" t="str">
        <f>IF($A155="","",SUMIFS('Registro de turnos'!$N$5:$N$504,'Registro de turnos'!$B$5:$B$504,$A155,'Registro de turnos'!$A$5:$A$504,"&gt;="&amp;$B$3,'Registro de turnos'!$A$5:$A$504,"&lt;="&amp;$B$4))</f>
        <v/>
      </c>
      <c r="G155" s="19" t="str">
        <f>IF($A155="","",SUMIFS('Registro de turnos'!$O$5:$O$504,'Registro de turnos'!$B$5:$B$504,$A155,'Registro de turnos'!$A$5:$A$504,"&gt;="&amp;$B$3,'Registro de turnos'!$A$5:$A$504,"&lt;="&amp;$B$4))</f>
        <v/>
      </c>
      <c r="H155" s="19" t="str">
        <f>IF($A155="","",SUMIFS('Registro de turnos'!$P$5:$P$504,'Registro de turnos'!$B$5:$B$504,$A155,'Registro de turnos'!$A$5:$A$504,"&gt;="&amp;$B$3,'Registro de turnos'!$A$5:$A$504,"&lt;="&amp;$B$4))</f>
        <v/>
      </c>
      <c r="I155" s="19" t="str">
        <f>IF($A155="","",SUMIFS('Registro de turnos'!$Q$5:$Q$504,'Registro de turnos'!$B$5:$B$504,$A155,'Registro de turnos'!$A$5:$A$504,"&gt;="&amp;$B$3,'Registro de turnos'!$A$5:$A$504,"&lt;="&amp;$B$4))</f>
        <v/>
      </c>
      <c r="J155" s="19" t="str">
        <f>IF($A155="","",SUMIFS('Registro de turnos'!$R$5:$R$504,'Registro de turnos'!$B$5:$B$504,$A155,'Registro de turnos'!$A$5:$A$504,"&gt;="&amp;$B$3,'Registro de turnos'!$A$5:$A$504,"&lt;="&amp;$B$4))</f>
        <v/>
      </c>
      <c r="K155" s="19" t="str">
        <f t="shared" si="24"/>
        <v/>
      </c>
      <c r="L155" s="17" t="str">
        <f>IF($A155="","",SUMIFS('Registro de turnos'!$T$5:$T$504,'Registro de turnos'!$B$5:$B$504,$A155,'Registro de turnos'!$A$5:$A$504,"&gt;="&amp;$B$3,'Registro de turnos'!$A$5:$A$504,"&lt;="&amp;$B$4))</f>
        <v/>
      </c>
      <c r="M155" s="17" t="str">
        <f t="shared" si="25"/>
        <v/>
      </c>
      <c r="N155" s="17" t="str">
        <f t="shared" si="26"/>
        <v/>
      </c>
      <c r="O155" s="17" t="str">
        <f t="shared" si="27"/>
        <v/>
      </c>
      <c r="P155" s="17" t="str">
        <f>IF($A155="","",ROUND(C155*D155*Parámetros!$B$8*0.0417,0))</f>
        <v/>
      </c>
      <c r="Q155" s="17" t="str">
        <f t="shared" si="28"/>
        <v/>
      </c>
      <c r="R155" s="17" t="str">
        <f t="shared" si="29"/>
        <v/>
      </c>
    </row>
    <row r="156" spans="1:18" x14ac:dyDescent="0.25">
      <c r="A156" s="22" t="str">
        <f>IF(Trabajadores!A154="","",Trabajadores!A154)</f>
        <v/>
      </c>
      <c r="B156" s="23" t="str">
        <f>IF(A156="","",Trabajadores!B154)</f>
        <v/>
      </c>
      <c r="C156" s="24" t="str">
        <f>IF(A156="","",Trabajadores!G154)</f>
        <v/>
      </c>
      <c r="D156" s="19" t="str">
        <f>IF($A156="","",SUMIFS('Registro de turnos'!$L$5:$L$504,'Registro de turnos'!$B$5:$B$504,$A156,'Registro de turnos'!$A$5:$A$504,"&gt;="&amp;$B$3,'Registro de turnos'!$A$5:$A$504,"&lt;="&amp;$B$4))</f>
        <v/>
      </c>
      <c r="E156" s="19" t="str">
        <f>IF($A156="","",SUMIFS('Registro de turnos'!$M$5:$M$504,'Registro de turnos'!$B$5:$B$504,$A156,'Registro de turnos'!$A$5:$A$504,"&gt;="&amp;$B$3,'Registro de turnos'!$A$5:$A$504,"&lt;="&amp;$B$4))</f>
        <v/>
      </c>
      <c r="F156" s="19" t="str">
        <f>IF($A156="","",SUMIFS('Registro de turnos'!$N$5:$N$504,'Registro de turnos'!$B$5:$B$504,$A156,'Registro de turnos'!$A$5:$A$504,"&gt;="&amp;$B$3,'Registro de turnos'!$A$5:$A$504,"&lt;="&amp;$B$4))</f>
        <v/>
      </c>
      <c r="G156" s="19" t="str">
        <f>IF($A156="","",SUMIFS('Registro de turnos'!$O$5:$O$504,'Registro de turnos'!$B$5:$B$504,$A156,'Registro de turnos'!$A$5:$A$504,"&gt;="&amp;$B$3,'Registro de turnos'!$A$5:$A$504,"&lt;="&amp;$B$4))</f>
        <v/>
      </c>
      <c r="H156" s="19" t="str">
        <f>IF($A156="","",SUMIFS('Registro de turnos'!$P$5:$P$504,'Registro de turnos'!$B$5:$B$504,$A156,'Registro de turnos'!$A$5:$A$504,"&gt;="&amp;$B$3,'Registro de turnos'!$A$5:$A$504,"&lt;="&amp;$B$4))</f>
        <v/>
      </c>
      <c r="I156" s="19" t="str">
        <f>IF($A156="","",SUMIFS('Registro de turnos'!$Q$5:$Q$504,'Registro de turnos'!$B$5:$B$504,$A156,'Registro de turnos'!$A$5:$A$504,"&gt;="&amp;$B$3,'Registro de turnos'!$A$5:$A$504,"&lt;="&amp;$B$4))</f>
        <v/>
      </c>
      <c r="J156" s="19" t="str">
        <f>IF($A156="","",SUMIFS('Registro de turnos'!$R$5:$R$504,'Registro de turnos'!$B$5:$B$504,$A156,'Registro de turnos'!$A$5:$A$504,"&gt;="&amp;$B$3,'Registro de turnos'!$A$5:$A$504,"&lt;="&amp;$B$4))</f>
        <v/>
      </c>
      <c r="K156" s="19" t="str">
        <f t="shared" si="24"/>
        <v/>
      </c>
      <c r="L156" s="17" t="str">
        <f>IF($A156="","",SUMIFS('Registro de turnos'!$T$5:$T$504,'Registro de turnos'!$B$5:$B$504,$A156,'Registro de turnos'!$A$5:$A$504,"&gt;="&amp;$B$3,'Registro de turnos'!$A$5:$A$504,"&lt;="&amp;$B$4))</f>
        <v/>
      </c>
      <c r="M156" s="17" t="str">
        <f t="shared" si="25"/>
        <v/>
      </c>
      <c r="N156" s="17" t="str">
        <f t="shared" si="26"/>
        <v/>
      </c>
      <c r="O156" s="17" t="str">
        <f t="shared" si="27"/>
        <v/>
      </c>
      <c r="P156" s="17" t="str">
        <f>IF($A156="","",ROUND(C156*D156*Parámetros!$B$8*0.0417,0))</f>
        <v/>
      </c>
      <c r="Q156" s="17" t="str">
        <f t="shared" si="28"/>
        <v/>
      </c>
      <c r="R156" s="17" t="str">
        <f t="shared" si="29"/>
        <v/>
      </c>
    </row>
    <row r="157" spans="1:18" x14ac:dyDescent="0.25">
      <c r="A157" s="22" t="str">
        <f>IF(Trabajadores!A155="","",Trabajadores!A155)</f>
        <v/>
      </c>
      <c r="B157" s="23" t="str">
        <f>IF(A157="","",Trabajadores!B155)</f>
        <v/>
      </c>
      <c r="C157" s="24" t="str">
        <f>IF(A157="","",Trabajadores!G155)</f>
        <v/>
      </c>
      <c r="D157" s="19" t="str">
        <f>IF($A157="","",SUMIFS('Registro de turnos'!$L$5:$L$504,'Registro de turnos'!$B$5:$B$504,$A157,'Registro de turnos'!$A$5:$A$504,"&gt;="&amp;$B$3,'Registro de turnos'!$A$5:$A$504,"&lt;="&amp;$B$4))</f>
        <v/>
      </c>
      <c r="E157" s="19" t="str">
        <f>IF($A157="","",SUMIFS('Registro de turnos'!$M$5:$M$504,'Registro de turnos'!$B$5:$B$504,$A157,'Registro de turnos'!$A$5:$A$504,"&gt;="&amp;$B$3,'Registro de turnos'!$A$5:$A$504,"&lt;="&amp;$B$4))</f>
        <v/>
      </c>
      <c r="F157" s="19" t="str">
        <f>IF($A157="","",SUMIFS('Registro de turnos'!$N$5:$N$504,'Registro de turnos'!$B$5:$B$504,$A157,'Registro de turnos'!$A$5:$A$504,"&gt;="&amp;$B$3,'Registro de turnos'!$A$5:$A$504,"&lt;="&amp;$B$4))</f>
        <v/>
      </c>
      <c r="G157" s="19" t="str">
        <f>IF($A157="","",SUMIFS('Registro de turnos'!$O$5:$O$504,'Registro de turnos'!$B$5:$B$504,$A157,'Registro de turnos'!$A$5:$A$504,"&gt;="&amp;$B$3,'Registro de turnos'!$A$5:$A$504,"&lt;="&amp;$B$4))</f>
        <v/>
      </c>
      <c r="H157" s="19" t="str">
        <f>IF($A157="","",SUMIFS('Registro de turnos'!$P$5:$P$504,'Registro de turnos'!$B$5:$B$504,$A157,'Registro de turnos'!$A$5:$A$504,"&gt;="&amp;$B$3,'Registro de turnos'!$A$5:$A$504,"&lt;="&amp;$B$4))</f>
        <v/>
      </c>
      <c r="I157" s="19" t="str">
        <f>IF($A157="","",SUMIFS('Registro de turnos'!$Q$5:$Q$504,'Registro de turnos'!$B$5:$B$504,$A157,'Registro de turnos'!$A$5:$A$504,"&gt;="&amp;$B$3,'Registro de turnos'!$A$5:$A$504,"&lt;="&amp;$B$4))</f>
        <v/>
      </c>
      <c r="J157" s="19" t="str">
        <f>IF($A157="","",SUMIFS('Registro de turnos'!$R$5:$R$504,'Registro de turnos'!$B$5:$B$504,$A157,'Registro de turnos'!$A$5:$A$504,"&gt;="&amp;$B$3,'Registro de turnos'!$A$5:$A$504,"&lt;="&amp;$B$4))</f>
        <v/>
      </c>
      <c r="K157" s="19" t="str">
        <f t="shared" si="24"/>
        <v/>
      </c>
      <c r="L157" s="17" t="str">
        <f>IF($A157="","",SUMIFS('Registro de turnos'!$T$5:$T$504,'Registro de turnos'!$B$5:$B$504,$A157,'Registro de turnos'!$A$5:$A$504,"&gt;="&amp;$B$3,'Registro de turnos'!$A$5:$A$504,"&lt;="&amp;$B$4))</f>
        <v/>
      </c>
      <c r="M157" s="17" t="str">
        <f t="shared" si="25"/>
        <v/>
      </c>
      <c r="N157" s="17" t="str">
        <f t="shared" si="26"/>
        <v/>
      </c>
      <c r="O157" s="17" t="str">
        <f t="shared" si="27"/>
        <v/>
      </c>
      <c r="P157" s="17" t="str">
        <f>IF($A157="","",ROUND(C157*D157*Parámetros!$B$8*0.0417,0))</f>
        <v/>
      </c>
      <c r="Q157" s="17" t="str">
        <f t="shared" si="28"/>
        <v/>
      </c>
      <c r="R157" s="17" t="str">
        <f t="shared" si="29"/>
        <v/>
      </c>
    </row>
    <row r="158" spans="1:18" x14ac:dyDescent="0.25">
      <c r="A158" s="22" t="str">
        <f>IF(Trabajadores!A156="","",Trabajadores!A156)</f>
        <v/>
      </c>
      <c r="B158" s="23" t="str">
        <f>IF(A158="","",Trabajadores!B156)</f>
        <v/>
      </c>
      <c r="C158" s="24" t="str">
        <f>IF(A158="","",Trabajadores!G156)</f>
        <v/>
      </c>
      <c r="D158" s="19" t="str">
        <f>IF($A158="","",SUMIFS('Registro de turnos'!$L$5:$L$504,'Registro de turnos'!$B$5:$B$504,$A158,'Registro de turnos'!$A$5:$A$504,"&gt;="&amp;$B$3,'Registro de turnos'!$A$5:$A$504,"&lt;="&amp;$B$4))</f>
        <v/>
      </c>
      <c r="E158" s="19" t="str">
        <f>IF($A158="","",SUMIFS('Registro de turnos'!$M$5:$M$504,'Registro de turnos'!$B$5:$B$504,$A158,'Registro de turnos'!$A$5:$A$504,"&gt;="&amp;$B$3,'Registro de turnos'!$A$5:$A$504,"&lt;="&amp;$B$4))</f>
        <v/>
      </c>
      <c r="F158" s="19" t="str">
        <f>IF($A158="","",SUMIFS('Registro de turnos'!$N$5:$N$504,'Registro de turnos'!$B$5:$B$504,$A158,'Registro de turnos'!$A$5:$A$504,"&gt;="&amp;$B$3,'Registro de turnos'!$A$5:$A$504,"&lt;="&amp;$B$4))</f>
        <v/>
      </c>
      <c r="G158" s="19" t="str">
        <f>IF($A158="","",SUMIFS('Registro de turnos'!$O$5:$O$504,'Registro de turnos'!$B$5:$B$504,$A158,'Registro de turnos'!$A$5:$A$504,"&gt;="&amp;$B$3,'Registro de turnos'!$A$5:$A$504,"&lt;="&amp;$B$4))</f>
        <v/>
      </c>
      <c r="H158" s="19" t="str">
        <f>IF($A158="","",SUMIFS('Registro de turnos'!$P$5:$P$504,'Registro de turnos'!$B$5:$B$504,$A158,'Registro de turnos'!$A$5:$A$504,"&gt;="&amp;$B$3,'Registro de turnos'!$A$5:$A$504,"&lt;="&amp;$B$4))</f>
        <v/>
      </c>
      <c r="I158" s="19" t="str">
        <f>IF($A158="","",SUMIFS('Registro de turnos'!$Q$5:$Q$504,'Registro de turnos'!$B$5:$B$504,$A158,'Registro de turnos'!$A$5:$A$504,"&gt;="&amp;$B$3,'Registro de turnos'!$A$5:$A$504,"&lt;="&amp;$B$4))</f>
        <v/>
      </c>
      <c r="J158" s="19" t="str">
        <f>IF($A158="","",SUMIFS('Registro de turnos'!$R$5:$R$504,'Registro de turnos'!$B$5:$B$504,$A158,'Registro de turnos'!$A$5:$A$504,"&gt;="&amp;$B$3,'Registro de turnos'!$A$5:$A$504,"&lt;="&amp;$B$4))</f>
        <v/>
      </c>
      <c r="K158" s="19" t="str">
        <f t="shared" si="24"/>
        <v/>
      </c>
      <c r="L158" s="17" t="str">
        <f>IF($A158="","",SUMIFS('Registro de turnos'!$T$5:$T$504,'Registro de turnos'!$B$5:$B$504,$A158,'Registro de turnos'!$A$5:$A$504,"&gt;="&amp;$B$3,'Registro de turnos'!$A$5:$A$504,"&lt;="&amp;$B$4))</f>
        <v/>
      </c>
      <c r="M158" s="17" t="str">
        <f t="shared" si="25"/>
        <v/>
      </c>
      <c r="N158" s="17" t="str">
        <f t="shared" si="26"/>
        <v/>
      </c>
      <c r="O158" s="17" t="str">
        <f t="shared" si="27"/>
        <v/>
      </c>
      <c r="P158" s="17" t="str">
        <f>IF($A158="","",ROUND(C158*D158*Parámetros!$B$8*0.0417,0))</f>
        <v/>
      </c>
      <c r="Q158" s="17" t="str">
        <f t="shared" si="28"/>
        <v/>
      </c>
      <c r="R158" s="17" t="str">
        <f t="shared" si="29"/>
        <v/>
      </c>
    </row>
    <row r="159" spans="1:18" x14ac:dyDescent="0.25">
      <c r="A159" s="22" t="str">
        <f>IF(Trabajadores!A157="","",Trabajadores!A157)</f>
        <v/>
      </c>
      <c r="B159" s="23" t="str">
        <f>IF(A159="","",Trabajadores!B157)</f>
        <v/>
      </c>
      <c r="C159" s="24" t="str">
        <f>IF(A159="","",Trabajadores!G157)</f>
        <v/>
      </c>
      <c r="D159" s="19" t="str">
        <f>IF($A159="","",SUMIFS('Registro de turnos'!$L$5:$L$504,'Registro de turnos'!$B$5:$B$504,$A159,'Registro de turnos'!$A$5:$A$504,"&gt;="&amp;$B$3,'Registro de turnos'!$A$5:$A$504,"&lt;="&amp;$B$4))</f>
        <v/>
      </c>
      <c r="E159" s="19" t="str">
        <f>IF($A159="","",SUMIFS('Registro de turnos'!$M$5:$M$504,'Registro de turnos'!$B$5:$B$504,$A159,'Registro de turnos'!$A$5:$A$504,"&gt;="&amp;$B$3,'Registro de turnos'!$A$5:$A$504,"&lt;="&amp;$B$4))</f>
        <v/>
      </c>
      <c r="F159" s="19" t="str">
        <f>IF($A159="","",SUMIFS('Registro de turnos'!$N$5:$N$504,'Registro de turnos'!$B$5:$B$504,$A159,'Registro de turnos'!$A$5:$A$504,"&gt;="&amp;$B$3,'Registro de turnos'!$A$5:$A$504,"&lt;="&amp;$B$4))</f>
        <v/>
      </c>
      <c r="G159" s="19" t="str">
        <f>IF($A159="","",SUMIFS('Registro de turnos'!$O$5:$O$504,'Registro de turnos'!$B$5:$B$504,$A159,'Registro de turnos'!$A$5:$A$504,"&gt;="&amp;$B$3,'Registro de turnos'!$A$5:$A$504,"&lt;="&amp;$B$4))</f>
        <v/>
      </c>
      <c r="H159" s="19" t="str">
        <f>IF($A159="","",SUMIFS('Registro de turnos'!$P$5:$P$504,'Registro de turnos'!$B$5:$B$504,$A159,'Registro de turnos'!$A$5:$A$504,"&gt;="&amp;$B$3,'Registro de turnos'!$A$5:$A$504,"&lt;="&amp;$B$4))</f>
        <v/>
      </c>
      <c r="I159" s="19" t="str">
        <f>IF($A159="","",SUMIFS('Registro de turnos'!$Q$5:$Q$504,'Registro de turnos'!$B$5:$B$504,$A159,'Registro de turnos'!$A$5:$A$504,"&gt;="&amp;$B$3,'Registro de turnos'!$A$5:$A$504,"&lt;="&amp;$B$4))</f>
        <v/>
      </c>
      <c r="J159" s="19" t="str">
        <f>IF($A159="","",SUMIFS('Registro de turnos'!$R$5:$R$504,'Registro de turnos'!$B$5:$B$504,$A159,'Registro de turnos'!$A$5:$A$504,"&gt;="&amp;$B$3,'Registro de turnos'!$A$5:$A$504,"&lt;="&amp;$B$4))</f>
        <v/>
      </c>
      <c r="K159" s="19" t="str">
        <f t="shared" si="24"/>
        <v/>
      </c>
      <c r="L159" s="17" t="str">
        <f>IF($A159="","",SUMIFS('Registro de turnos'!$T$5:$T$504,'Registro de turnos'!$B$5:$B$504,$A159,'Registro de turnos'!$A$5:$A$504,"&gt;="&amp;$B$3,'Registro de turnos'!$A$5:$A$504,"&lt;="&amp;$B$4))</f>
        <v/>
      </c>
      <c r="M159" s="17" t="str">
        <f t="shared" si="25"/>
        <v/>
      </c>
      <c r="N159" s="17" t="str">
        <f t="shared" si="26"/>
        <v/>
      </c>
      <c r="O159" s="17" t="str">
        <f t="shared" si="27"/>
        <v/>
      </c>
      <c r="P159" s="17" t="str">
        <f>IF($A159="","",ROUND(C159*D159*Parámetros!$B$8*0.0417,0))</f>
        <v/>
      </c>
      <c r="Q159" s="17" t="str">
        <f t="shared" si="28"/>
        <v/>
      </c>
      <c r="R159" s="17" t="str">
        <f t="shared" si="29"/>
        <v/>
      </c>
    </row>
    <row r="160" spans="1:18" x14ac:dyDescent="0.25">
      <c r="A160" s="22" t="str">
        <f>IF(Trabajadores!A158="","",Trabajadores!A158)</f>
        <v/>
      </c>
      <c r="B160" s="23" t="str">
        <f>IF(A160="","",Trabajadores!B158)</f>
        <v/>
      </c>
      <c r="C160" s="24" t="str">
        <f>IF(A160="","",Trabajadores!G158)</f>
        <v/>
      </c>
      <c r="D160" s="19" t="str">
        <f>IF($A160="","",SUMIFS('Registro de turnos'!$L$5:$L$504,'Registro de turnos'!$B$5:$B$504,$A160,'Registro de turnos'!$A$5:$A$504,"&gt;="&amp;$B$3,'Registro de turnos'!$A$5:$A$504,"&lt;="&amp;$B$4))</f>
        <v/>
      </c>
      <c r="E160" s="19" t="str">
        <f>IF($A160="","",SUMIFS('Registro de turnos'!$M$5:$M$504,'Registro de turnos'!$B$5:$B$504,$A160,'Registro de turnos'!$A$5:$A$504,"&gt;="&amp;$B$3,'Registro de turnos'!$A$5:$A$504,"&lt;="&amp;$B$4))</f>
        <v/>
      </c>
      <c r="F160" s="19" t="str">
        <f>IF($A160="","",SUMIFS('Registro de turnos'!$N$5:$N$504,'Registro de turnos'!$B$5:$B$504,$A160,'Registro de turnos'!$A$5:$A$504,"&gt;="&amp;$B$3,'Registro de turnos'!$A$5:$A$504,"&lt;="&amp;$B$4))</f>
        <v/>
      </c>
      <c r="G160" s="19" t="str">
        <f>IF($A160="","",SUMIFS('Registro de turnos'!$O$5:$O$504,'Registro de turnos'!$B$5:$B$504,$A160,'Registro de turnos'!$A$5:$A$504,"&gt;="&amp;$B$3,'Registro de turnos'!$A$5:$A$504,"&lt;="&amp;$B$4))</f>
        <v/>
      </c>
      <c r="H160" s="19" t="str">
        <f>IF($A160="","",SUMIFS('Registro de turnos'!$P$5:$P$504,'Registro de turnos'!$B$5:$B$504,$A160,'Registro de turnos'!$A$5:$A$504,"&gt;="&amp;$B$3,'Registro de turnos'!$A$5:$A$504,"&lt;="&amp;$B$4))</f>
        <v/>
      </c>
      <c r="I160" s="19" t="str">
        <f>IF($A160="","",SUMIFS('Registro de turnos'!$Q$5:$Q$504,'Registro de turnos'!$B$5:$B$504,$A160,'Registro de turnos'!$A$5:$A$504,"&gt;="&amp;$B$3,'Registro de turnos'!$A$5:$A$504,"&lt;="&amp;$B$4))</f>
        <v/>
      </c>
      <c r="J160" s="19" t="str">
        <f>IF($A160="","",SUMIFS('Registro de turnos'!$R$5:$R$504,'Registro de turnos'!$B$5:$B$504,$A160,'Registro de turnos'!$A$5:$A$504,"&gt;="&amp;$B$3,'Registro de turnos'!$A$5:$A$504,"&lt;="&amp;$B$4))</f>
        <v/>
      </c>
      <c r="K160" s="19" t="str">
        <f t="shared" si="24"/>
        <v/>
      </c>
      <c r="L160" s="17" t="str">
        <f>IF($A160="","",SUMIFS('Registro de turnos'!$T$5:$T$504,'Registro de turnos'!$B$5:$B$504,$A160,'Registro de turnos'!$A$5:$A$504,"&gt;="&amp;$B$3,'Registro de turnos'!$A$5:$A$504,"&lt;="&amp;$B$4))</f>
        <v/>
      </c>
      <c r="M160" s="17" t="str">
        <f t="shared" si="25"/>
        <v/>
      </c>
      <c r="N160" s="17" t="str">
        <f t="shared" si="26"/>
        <v/>
      </c>
      <c r="O160" s="17" t="str">
        <f t="shared" si="27"/>
        <v/>
      </c>
      <c r="P160" s="17" t="str">
        <f>IF($A160="","",ROUND(C160*D160*Parámetros!$B$8*0.0417,0))</f>
        <v/>
      </c>
      <c r="Q160" s="17" t="str">
        <f t="shared" si="28"/>
        <v/>
      </c>
      <c r="R160" s="17" t="str">
        <f t="shared" si="29"/>
        <v/>
      </c>
    </row>
    <row r="161" spans="1:18" x14ac:dyDescent="0.25">
      <c r="A161" s="22" t="str">
        <f>IF(Trabajadores!A159="","",Trabajadores!A159)</f>
        <v/>
      </c>
      <c r="B161" s="23" t="str">
        <f>IF(A161="","",Trabajadores!B159)</f>
        <v/>
      </c>
      <c r="C161" s="24" t="str">
        <f>IF(A161="","",Trabajadores!G159)</f>
        <v/>
      </c>
      <c r="D161" s="19" t="str">
        <f>IF($A161="","",SUMIFS('Registro de turnos'!$L$5:$L$504,'Registro de turnos'!$B$5:$B$504,$A161,'Registro de turnos'!$A$5:$A$504,"&gt;="&amp;$B$3,'Registro de turnos'!$A$5:$A$504,"&lt;="&amp;$B$4))</f>
        <v/>
      </c>
      <c r="E161" s="19" t="str">
        <f>IF($A161="","",SUMIFS('Registro de turnos'!$M$5:$M$504,'Registro de turnos'!$B$5:$B$504,$A161,'Registro de turnos'!$A$5:$A$504,"&gt;="&amp;$B$3,'Registro de turnos'!$A$5:$A$504,"&lt;="&amp;$B$4))</f>
        <v/>
      </c>
      <c r="F161" s="19" t="str">
        <f>IF($A161="","",SUMIFS('Registro de turnos'!$N$5:$N$504,'Registro de turnos'!$B$5:$B$504,$A161,'Registro de turnos'!$A$5:$A$504,"&gt;="&amp;$B$3,'Registro de turnos'!$A$5:$A$504,"&lt;="&amp;$B$4))</f>
        <v/>
      </c>
      <c r="G161" s="19" t="str">
        <f>IF($A161="","",SUMIFS('Registro de turnos'!$O$5:$O$504,'Registro de turnos'!$B$5:$B$504,$A161,'Registro de turnos'!$A$5:$A$504,"&gt;="&amp;$B$3,'Registro de turnos'!$A$5:$A$504,"&lt;="&amp;$B$4))</f>
        <v/>
      </c>
      <c r="H161" s="19" t="str">
        <f>IF($A161="","",SUMIFS('Registro de turnos'!$P$5:$P$504,'Registro de turnos'!$B$5:$B$504,$A161,'Registro de turnos'!$A$5:$A$504,"&gt;="&amp;$B$3,'Registro de turnos'!$A$5:$A$504,"&lt;="&amp;$B$4))</f>
        <v/>
      </c>
      <c r="I161" s="19" t="str">
        <f>IF($A161="","",SUMIFS('Registro de turnos'!$Q$5:$Q$504,'Registro de turnos'!$B$5:$B$504,$A161,'Registro de turnos'!$A$5:$A$504,"&gt;="&amp;$B$3,'Registro de turnos'!$A$5:$A$504,"&lt;="&amp;$B$4))</f>
        <v/>
      </c>
      <c r="J161" s="19" t="str">
        <f>IF($A161="","",SUMIFS('Registro de turnos'!$R$5:$R$504,'Registro de turnos'!$B$5:$B$504,$A161,'Registro de turnos'!$A$5:$A$504,"&gt;="&amp;$B$3,'Registro de turnos'!$A$5:$A$504,"&lt;="&amp;$B$4))</f>
        <v/>
      </c>
      <c r="K161" s="19" t="str">
        <f t="shared" si="24"/>
        <v/>
      </c>
      <c r="L161" s="17" t="str">
        <f>IF($A161="","",SUMIFS('Registro de turnos'!$T$5:$T$504,'Registro de turnos'!$B$5:$B$504,$A161,'Registro de turnos'!$A$5:$A$504,"&gt;="&amp;$B$3,'Registro de turnos'!$A$5:$A$504,"&lt;="&amp;$B$4))</f>
        <v/>
      </c>
      <c r="M161" s="17" t="str">
        <f t="shared" si="25"/>
        <v/>
      </c>
      <c r="N161" s="17" t="str">
        <f t="shared" si="26"/>
        <v/>
      </c>
      <c r="O161" s="17" t="str">
        <f t="shared" si="27"/>
        <v/>
      </c>
      <c r="P161" s="17" t="str">
        <f>IF($A161="","",ROUND(C161*D161*Parámetros!$B$8*0.0417,0))</f>
        <v/>
      </c>
      <c r="Q161" s="17" t="str">
        <f t="shared" si="28"/>
        <v/>
      </c>
      <c r="R161" s="17" t="str">
        <f t="shared" si="29"/>
        <v/>
      </c>
    </row>
    <row r="162" spans="1:18" x14ac:dyDescent="0.25">
      <c r="A162" s="22" t="str">
        <f>IF(Trabajadores!A160="","",Trabajadores!A160)</f>
        <v/>
      </c>
      <c r="B162" s="23" t="str">
        <f>IF(A162="","",Trabajadores!B160)</f>
        <v/>
      </c>
      <c r="C162" s="24" t="str">
        <f>IF(A162="","",Trabajadores!G160)</f>
        <v/>
      </c>
      <c r="D162" s="19" t="str">
        <f>IF($A162="","",SUMIFS('Registro de turnos'!$L$5:$L$504,'Registro de turnos'!$B$5:$B$504,$A162,'Registro de turnos'!$A$5:$A$504,"&gt;="&amp;$B$3,'Registro de turnos'!$A$5:$A$504,"&lt;="&amp;$B$4))</f>
        <v/>
      </c>
      <c r="E162" s="19" t="str">
        <f>IF($A162="","",SUMIFS('Registro de turnos'!$M$5:$M$504,'Registro de turnos'!$B$5:$B$504,$A162,'Registro de turnos'!$A$5:$A$504,"&gt;="&amp;$B$3,'Registro de turnos'!$A$5:$A$504,"&lt;="&amp;$B$4))</f>
        <v/>
      </c>
      <c r="F162" s="19" t="str">
        <f>IF($A162="","",SUMIFS('Registro de turnos'!$N$5:$N$504,'Registro de turnos'!$B$5:$B$504,$A162,'Registro de turnos'!$A$5:$A$504,"&gt;="&amp;$B$3,'Registro de turnos'!$A$5:$A$504,"&lt;="&amp;$B$4))</f>
        <v/>
      </c>
      <c r="G162" s="19" t="str">
        <f>IF($A162="","",SUMIFS('Registro de turnos'!$O$5:$O$504,'Registro de turnos'!$B$5:$B$504,$A162,'Registro de turnos'!$A$5:$A$504,"&gt;="&amp;$B$3,'Registro de turnos'!$A$5:$A$504,"&lt;="&amp;$B$4))</f>
        <v/>
      </c>
      <c r="H162" s="19" t="str">
        <f>IF($A162="","",SUMIFS('Registro de turnos'!$P$5:$P$504,'Registro de turnos'!$B$5:$B$504,$A162,'Registro de turnos'!$A$5:$A$504,"&gt;="&amp;$B$3,'Registro de turnos'!$A$5:$A$504,"&lt;="&amp;$B$4))</f>
        <v/>
      </c>
      <c r="I162" s="19" t="str">
        <f>IF($A162="","",SUMIFS('Registro de turnos'!$Q$5:$Q$504,'Registro de turnos'!$B$5:$B$504,$A162,'Registro de turnos'!$A$5:$A$504,"&gt;="&amp;$B$3,'Registro de turnos'!$A$5:$A$504,"&lt;="&amp;$B$4))</f>
        <v/>
      </c>
      <c r="J162" s="19" t="str">
        <f>IF($A162="","",SUMIFS('Registro de turnos'!$R$5:$R$504,'Registro de turnos'!$B$5:$B$504,$A162,'Registro de turnos'!$A$5:$A$504,"&gt;="&amp;$B$3,'Registro de turnos'!$A$5:$A$504,"&lt;="&amp;$B$4))</f>
        <v/>
      </c>
      <c r="K162" s="19" t="str">
        <f t="shared" si="24"/>
        <v/>
      </c>
      <c r="L162" s="17" t="str">
        <f>IF($A162="","",SUMIFS('Registro de turnos'!$T$5:$T$504,'Registro de turnos'!$B$5:$B$504,$A162,'Registro de turnos'!$A$5:$A$504,"&gt;="&amp;$B$3,'Registro de turnos'!$A$5:$A$504,"&lt;="&amp;$B$4))</f>
        <v/>
      </c>
      <c r="M162" s="17" t="str">
        <f t="shared" si="25"/>
        <v/>
      </c>
      <c r="N162" s="17" t="str">
        <f t="shared" si="26"/>
        <v/>
      </c>
      <c r="O162" s="17" t="str">
        <f t="shared" si="27"/>
        <v/>
      </c>
      <c r="P162" s="17" t="str">
        <f>IF($A162="","",ROUND(C162*D162*Parámetros!$B$8*0.0417,0))</f>
        <v/>
      </c>
      <c r="Q162" s="17" t="str">
        <f t="shared" si="28"/>
        <v/>
      </c>
      <c r="R162" s="17" t="str">
        <f t="shared" si="29"/>
        <v/>
      </c>
    </row>
    <row r="163" spans="1:18" x14ac:dyDescent="0.25">
      <c r="A163" s="22" t="str">
        <f>IF(Trabajadores!A161="","",Trabajadores!A161)</f>
        <v/>
      </c>
      <c r="B163" s="23" t="str">
        <f>IF(A163="","",Trabajadores!B161)</f>
        <v/>
      </c>
      <c r="C163" s="24" t="str">
        <f>IF(A163="","",Trabajadores!G161)</f>
        <v/>
      </c>
      <c r="D163" s="19" t="str">
        <f>IF($A163="","",SUMIFS('Registro de turnos'!$L$5:$L$504,'Registro de turnos'!$B$5:$B$504,$A163,'Registro de turnos'!$A$5:$A$504,"&gt;="&amp;$B$3,'Registro de turnos'!$A$5:$A$504,"&lt;="&amp;$B$4))</f>
        <v/>
      </c>
      <c r="E163" s="19" t="str">
        <f>IF($A163="","",SUMIFS('Registro de turnos'!$M$5:$M$504,'Registro de turnos'!$B$5:$B$504,$A163,'Registro de turnos'!$A$5:$A$504,"&gt;="&amp;$B$3,'Registro de turnos'!$A$5:$A$504,"&lt;="&amp;$B$4))</f>
        <v/>
      </c>
      <c r="F163" s="19" t="str">
        <f>IF($A163="","",SUMIFS('Registro de turnos'!$N$5:$N$504,'Registro de turnos'!$B$5:$B$504,$A163,'Registro de turnos'!$A$5:$A$504,"&gt;="&amp;$B$3,'Registro de turnos'!$A$5:$A$504,"&lt;="&amp;$B$4))</f>
        <v/>
      </c>
      <c r="G163" s="19" t="str">
        <f>IF($A163="","",SUMIFS('Registro de turnos'!$O$5:$O$504,'Registro de turnos'!$B$5:$B$504,$A163,'Registro de turnos'!$A$5:$A$504,"&gt;="&amp;$B$3,'Registro de turnos'!$A$5:$A$504,"&lt;="&amp;$B$4))</f>
        <v/>
      </c>
      <c r="H163" s="19" t="str">
        <f>IF($A163="","",SUMIFS('Registro de turnos'!$P$5:$P$504,'Registro de turnos'!$B$5:$B$504,$A163,'Registro de turnos'!$A$5:$A$504,"&gt;="&amp;$B$3,'Registro de turnos'!$A$5:$A$504,"&lt;="&amp;$B$4))</f>
        <v/>
      </c>
      <c r="I163" s="19" t="str">
        <f>IF($A163="","",SUMIFS('Registro de turnos'!$Q$5:$Q$504,'Registro de turnos'!$B$5:$B$504,$A163,'Registro de turnos'!$A$5:$A$504,"&gt;="&amp;$B$3,'Registro de turnos'!$A$5:$A$504,"&lt;="&amp;$B$4))</f>
        <v/>
      </c>
      <c r="J163" s="19" t="str">
        <f>IF($A163="","",SUMIFS('Registro de turnos'!$R$5:$R$504,'Registro de turnos'!$B$5:$B$504,$A163,'Registro de turnos'!$A$5:$A$504,"&gt;="&amp;$B$3,'Registro de turnos'!$A$5:$A$504,"&lt;="&amp;$B$4))</f>
        <v/>
      </c>
      <c r="K163" s="19" t="str">
        <f t="shared" si="24"/>
        <v/>
      </c>
      <c r="L163" s="17" t="str">
        <f>IF($A163="","",SUMIFS('Registro de turnos'!$T$5:$T$504,'Registro de turnos'!$B$5:$B$504,$A163,'Registro de turnos'!$A$5:$A$504,"&gt;="&amp;$B$3,'Registro de turnos'!$A$5:$A$504,"&lt;="&amp;$B$4))</f>
        <v/>
      </c>
      <c r="M163" s="17" t="str">
        <f t="shared" si="25"/>
        <v/>
      </c>
      <c r="N163" s="17" t="str">
        <f t="shared" si="26"/>
        <v/>
      </c>
      <c r="O163" s="17" t="str">
        <f t="shared" si="27"/>
        <v/>
      </c>
      <c r="P163" s="17" t="str">
        <f>IF($A163="","",ROUND(C163*D163*Parámetros!$B$8*0.0417,0))</f>
        <v/>
      </c>
      <c r="Q163" s="17" t="str">
        <f t="shared" si="28"/>
        <v/>
      </c>
      <c r="R163" s="17" t="str">
        <f t="shared" si="29"/>
        <v/>
      </c>
    </row>
    <row r="164" spans="1:18" x14ac:dyDescent="0.25">
      <c r="A164" s="22" t="str">
        <f>IF(Trabajadores!A162="","",Trabajadores!A162)</f>
        <v/>
      </c>
      <c r="B164" s="23" t="str">
        <f>IF(A164="","",Trabajadores!B162)</f>
        <v/>
      </c>
      <c r="C164" s="24" t="str">
        <f>IF(A164="","",Trabajadores!G162)</f>
        <v/>
      </c>
      <c r="D164" s="19" t="str">
        <f>IF($A164="","",SUMIFS('Registro de turnos'!$L$5:$L$504,'Registro de turnos'!$B$5:$B$504,$A164,'Registro de turnos'!$A$5:$A$504,"&gt;="&amp;$B$3,'Registro de turnos'!$A$5:$A$504,"&lt;="&amp;$B$4))</f>
        <v/>
      </c>
      <c r="E164" s="19" t="str">
        <f>IF($A164="","",SUMIFS('Registro de turnos'!$M$5:$M$504,'Registro de turnos'!$B$5:$B$504,$A164,'Registro de turnos'!$A$5:$A$504,"&gt;="&amp;$B$3,'Registro de turnos'!$A$5:$A$504,"&lt;="&amp;$B$4))</f>
        <v/>
      </c>
      <c r="F164" s="19" t="str">
        <f>IF($A164="","",SUMIFS('Registro de turnos'!$N$5:$N$504,'Registro de turnos'!$B$5:$B$504,$A164,'Registro de turnos'!$A$5:$A$504,"&gt;="&amp;$B$3,'Registro de turnos'!$A$5:$A$504,"&lt;="&amp;$B$4))</f>
        <v/>
      </c>
      <c r="G164" s="19" t="str">
        <f>IF($A164="","",SUMIFS('Registro de turnos'!$O$5:$O$504,'Registro de turnos'!$B$5:$B$504,$A164,'Registro de turnos'!$A$5:$A$504,"&gt;="&amp;$B$3,'Registro de turnos'!$A$5:$A$504,"&lt;="&amp;$B$4))</f>
        <v/>
      </c>
      <c r="H164" s="19" t="str">
        <f>IF($A164="","",SUMIFS('Registro de turnos'!$P$5:$P$504,'Registro de turnos'!$B$5:$B$504,$A164,'Registro de turnos'!$A$5:$A$504,"&gt;="&amp;$B$3,'Registro de turnos'!$A$5:$A$504,"&lt;="&amp;$B$4))</f>
        <v/>
      </c>
      <c r="I164" s="19" t="str">
        <f>IF($A164="","",SUMIFS('Registro de turnos'!$Q$5:$Q$504,'Registro de turnos'!$B$5:$B$504,$A164,'Registro de turnos'!$A$5:$A$504,"&gt;="&amp;$B$3,'Registro de turnos'!$A$5:$A$504,"&lt;="&amp;$B$4))</f>
        <v/>
      </c>
      <c r="J164" s="19" t="str">
        <f>IF($A164="","",SUMIFS('Registro de turnos'!$R$5:$R$504,'Registro de turnos'!$B$5:$B$504,$A164,'Registro de turnos'!$A$5:$A$504,"&gt;="&amp;$B$3,'Registro de turnos'!$A$5:$A$504,"&lt;="&amp;$B$4))</f>
        <v/>
      </c>
      <c r="K164" s="19" t="str">
        <f t="shared" si="24"/>
        <v/>
      </c>
      <c r="L164" s="17" t="str">
        <f>IF($A164="","",SUMIFS('Registro de turnos'!$T$5:$T$504,'Registro de turnos'!$B$5:$B$504,$A164,'Registro de turnos'!$A$5:$A$504,"&gt;="&amp;$B$3,'Registro de turnos'!$A$5:$A$504,"&lt;="&amp;$B$4))</f>
        <v/>
      </c>
      <c r="M164" s="17" t="str">
        <f t="shared" si="25"/>
        <v/>
      </c>
      <c r="N164" s="17" t="str">
        <f t="shared" si="26"/>
        <v/>
      </c>
      <c r="O164" s="17" t="str">
        <f t="shared" si="27"/>
        <v/>
      </c>
      <c r="P164" s="17" t="str">
        <f>IF($A164="","",ROUND(C164*D164*Parámetros!$B$8*0.0417,0))</f>
        <v/>
      </c>
      <c r="Q164" s="17" t="str">
        <f t="shared" si="28"/>
        <v/>
      </c>
      <c r="R164" s="17" t="str">
        <f t="shared" si="29"/>
        <v/>
      </c>
    </row>
    <row r="165" spans="1:18" x14ac:dyDescent="0.25">
      <c r="A165" s="22" t="str">
        <f>IF(Trabajadores!A163="","",Trabajadores!A163)</f>
        <v/>
      </c>
      <c r="B165" s="23" t="str">
        <f>IF(A165="","",Trabajadores!B163)</f>
        <v/>
      </c>
      <c r="C165" s="24" t="str">
        <f>IF(A165="","",Trabajadores!G163)</f>
        <v/>
      </c>
      <c r="D165" s="19" t="str">
        <f>IF($A165="","",SUMIFS('Registro de turnos'!$L$5:$L$504,'Registro de turnos'!$B$5:$B$504,$A165,'Registro de turnos'!$A$5:$A$504,"&gt;="&amp;$B$3,'Registro de turnos'!$A$5:$A$504,"&lt;="&amp;$B$4))</f>
        <v/>
      </c>
      <c r="E165" s="19" t="str">
        <f>IF($A165="","",SUMIFS('Registro de turnos'!$M$5:$M$504,'Registro de turnos'!$B$5:$B$504,$A165,'Registro de turnos'!$A$5:$A$504,"&gt;="&amp;$B$3,'Registro de turnos'!$A$5:$A$504,"&lt;="&amp;$B$4))</f>
        <v/>
      </c>
      <c r="F165" s="19" t="str">
        <f>IF($A165="","",SUMIFS('Registro de turnos'!$N$5:$N$504,'Registro de turnos'!$B$5:$B$504,$A165,'Registro de turnos'!$A$5:$A$504,"&gt;="&amp;$B$3,'Registro de turnos'!$A$5:$A$504,"&lt;="&amp;$B$4))</f>
        <v/>
      </c>
      <c r="G165" s="19" t="str">
        <f>IF($A165="","",SUMIFS('Registro de turnos'!$O$5:$O$504,'Registro de turnos'!$B$5:$B$504,$A165,'Registro de turnos'!$A$5:$A$504,"&gt;="&amp;$B$3,'Registro de turnos'!$A$5:$A$504,"&lt;="&amp;$B$4))</f>
        <v/>
      </c>
      <c r="H165" s="19" t="str">
        <f>IF($A165="","",SUMIFS('Registro de turnos'!$P$5:$P$504,'Registro de turnos'!$B$5:$B$504,$A165,'Registro de turnos'!$A$5:$A$504,"&gt;="&amp;$B$3,'Registro de turnos'!$A$5:$A$504,"&lt;="&amp;$B$4))</f>
        <v/>
      </c>
      <c r="I165" s="19" t="str">
        <f>IF($A165="","",SUMIFS('Registro de turnos'!$Q$5:$Q$504,'Registro de turnos'!$B$5:$B$504,$A165,'Registro de turnos'!$A$5:$A$504,"&gt;="&amp;$B$3,'Registro de turnos'!$A$5:$A$504,"&lt;="&amp;$B$4))</f>
        <v/>
      </c>
      <c r="J165" s="19" t="str">
        <f>IF($A165="","",SUMIFS('Registro de turnos'!$R$5:$R$504,'Registro de turnos'!$B$5:$B$504,$A165,'Registro de turnos'!$A$5:$A$504,"&gt;="&amp;$B$3,'Registro de turnos'!$A$5:$A$504,"&lt;="&amp;$B$4))</f>
        <v/>
      </c>
      <c r="K165" s="19" t="str">
        <f t="shared" si="24"/>
        <v/>
      </c>
      <c r="L165" s="17" t="str">
        <f>IF($A165="","",SUMIFS('Registro de turnos'!$T$5:$T$504,'Registro de turnos'!$B$5:$B$504,$A165,'Registro de turnos'!$A$5:$A$504,"&gt;="&amp;$B$3,'Registro de turnos'!$A$5:$A$504,"&lt;="&amp;$B$4))</f>
        <v/>
      </c>
      <c r="M165" s="17" t="str">
        <f t="shared" si="25"/>
        <v/>
      </c>
      <c r="N165" s="17" t="str">
        <f t="shared" si="26"/>
        <v/>
      </c>
      <c r="O165" s="17" t="str">
        <f t="shared" si="27"/>
        <v/>
      </c>
      <c r="P165" s="17" t="str">
        <f>IF($A165="","",ROUND(C165*D165*Parámetros!$B$8*0.0417,0))</f>
        <v/>
      </c>
      <c r="Q165" s="17" t="str">
        <f t="shared" si="28"/>
        <v/>
      </c>
      <c r="R165" s="17" t="str">
        <f t="shared" si="29"/>
        <v/>
      </c>
    </row>
    <row r="166" spans="1:18" x14ac:dyDescent="0.25">
      <c r="A166" s="22" t="str">
        <f>IF(Trabajadores!A164="","",Trabajadores!A164)</f>
        <v/>
      </c>
      <c r="B166" s="23" t="str">
        <f>IF(A166="","",Trabajadores!B164)</f>
        <v/>
      </c>
      <c r="C166" s="24" t="str">
        <f>IF(A166="","",Trabajadores!G164)</f>
        <v/>
      </c>
      <c r="D166" s="19" t="str">
        <f>IF($A166="","",SUMIFS('Registro de turnos'!$L$5:$L$504,'Registro de turnos'!$B$5:$B$504,$A166,'Registro de turnos'!$A$5:$A$504,"&gt;="&amp;$B$3,'Registro de turnos'!$A$5:$A$504,"&lt;="&amp;$B$4))</f>
        <v/>
      </c>
      <c r="E166" s="19" t="str">
        <f>IF($A166="","",SUMIFS('Registro de turnos'!$M$5:$M$504,'Registro de turnos'!$B$5:$B$504,$A166,'Registro de turnos'!$A$5:$A$504,"&gt;="&amp;$B$3,'Registro de turnos'!$A$5:$A$504,"&lt;="&amp;$B$4))</f>
        <v/>
      </c>
      <c r="F166" s="19" t="str">
        <f>IF($A166="","",SUMIFS('Registro de turnos'!$N$5:$N$504,'Registro de turnos'!$B$5:$B$504,$A166,'Registro de turnos'!$A$5:$A$504,"&gt;="&amp;$B$3,'Registro de turnos'!$A$5:$A$504,"&lt;="&amp;$B$4))</f>
        <v/>
      </c>
      <c r="G166" s="19" t="str">
        <f>IF($A166="","",SUMIFS('Registro de turnos'!$O$5:$O$504,'Registro de turnos'!$B$5:$B$504,$A166,'Registro de turnos'!$A$5:$A$504,"&gt;="&amp;$B$3,'Registro de turnos'!$A$5:$A$504,"&lt;="&amp;$B$4))</f>
        <v/>
      </c>
      <c r="H166" s="19" t="str">
        <f>IF($A166="","",SUMIFS('Registro de turnos'!$P$5:$P$504,'Registro de turnos'!$B$5:$B$504,$A166,'Registro de turnos'!$A$5:$A$504,"&gt;="&amp;$B$3,'Registro de turnos'!$A$5:$A$504,"&lt;="&amp;$B$4))</f>
        <v/>
      </c>
      <c r="I166" s="19" t="str">
        <f>IF($A166="","",SUMIFS('Registro de turnos'!$Q$5:$Q$504,'Registro de turnos'!$B$5:$B$504,$A166,'Registro de turnos'!$A$5:$A$504,"&gt;="&amp;$B$3,'Registro de turnos'!$A$5:$A$504,"&lt;="&amp;$B$4))</f>
        <v/>
      </c>
      <c r="J166" s="19" t="str">
        <f>IF($A166="","",SUMIFS('Registro de turnos'!$R$5:$R$504,'Registro de turnos'!$B$5:$B$504,$A166,'Registro de turnos'!$A$5:$A$504,"&gt;="&amp;$B$3,'Registro de turnos'!$A$5:$A$504,"&lt;="&amp;$B$4))</f>
        <v/>
      </c>
      <c r="K166" s="19" t="str">
        <f t="shared" si="24"/>
        <v/>
      </c>
      <c r="L166" s="17" t="str">
        <f>IF($A166="","",SUMIFS('Registro de turnos'!$T$5:$T$504,'Registro de turnos'!$B$5:$B$504,$A166,'Registro de turnos'!$A$5:$A$504,"&gt;="&amp;$B$3,'Registro de turnos'!$A$5:$A$504,"&lt;="&amp;$B$4))</f>
        <v/>
      </c>
      <c r="M166" s="17" t="str">
        <f t="shared" si="25"/>
        <v/>
      </c>
      <c r="N166" s="17" t="str">
        <f t="shared" si="26"/>
        <v/>
      </c>
      <c r="O166" s="17" t="str">
        <f t="shared" si="27"/>
        <v/>
      </c>
      <c r="P166" s="17" t="str">
        <f>IF($A166="","",ROUND(C166*D166*Parámetros!$B$8*0.0417,0))</f>
        <v/>
      </c>
      <c r="Q166" s="17" t="str">
        <f t="shared" si="28"/>
        <v/>
      </c>
      <c r="R166" s="17" t="str">
        <f t="shared" si="29"/>
        <v/>
      </c>
    </row>
    <row r="167" spans="1:18" x14ac:dyDescent="0.25">
      <c r="A167" s="22" t="str">
        <f>IF(Trabajadores!A165="","",Trabajadores!A165)</f>
        <v/>
      </c>
      <c r="B167" s="23" t="str">
        <f>IF(A167="","",Trabajadores!B165)</f>
        <v/>
      </c>
      <c r="C167" s="24" t="str">
        <f>IF(A167="","",Trabajadores!G165)</f>
        <v/>
      </c>
      <c r="D167" s="19" t="str">
        <f>IF($A167="","",SUMIFS('Registro de turnos'!$L$5:$L$504,'Registro de turnos'!$B$5:$B$504,$A167,'Registro de turnos'!$A$5:$A$504,"&gt;="&amp;$B$3,'Registro de turnos'!$A$5:$A$504,"&lt;="&amp;$B$4))</f>
        <v/>
      </c>
      <c r="E167" s="19" t="str">
        <f>IF($A167="","",SUMIFS('Registro de turnos'!$M$5:$M$504,'Registro de turnos'!$B$5:$B$504,$A167,'Registro de turnos'!$A$5:$A$504,"&gt;="&amp;$B$3,'Registro de turnos'!$A$5:$A$504,"&lt;="&amp;$B$4))</f>
        <v/>
      </c>
      <c r="F167" s="19" t="str">
        <f>IF($A167="","",SUMIFS('Registro de turnos'!$N$5:$N$504,'Registro de turnos'!$B$5:$B$504,$A167,'Registro de turnos'!$A$5:$A$504,"&gt;="&amp;$B$3,'Registro de turnos'!$A$5:$A$504,"&lt;="&amp;$B$4))</f>
        <v/>
      </c>
      <c r="G167" s="19" t="str">
        <f>IF($A167="","",SUMIFS('Registro de turnos'!$O$5:$O$504,'Registro de turnos'!$B$5:$B$504,$A167,'Registro de turnos'!$A$5:$A$504,"&gt;="&amp;$B$3,'Registro de turnos'!$A$5:$A$504,"&lt;="&amp;$B$4))</f>
        <v/>
      </c>
      <c r="H167" s="19" t="str">
        <f>IF($A167="","",SUMIFS('Registro de turnos'!$P$5:$P$504,'Registro de turnos'!$B$5:$B$504,$A167,'Registro de turnos'!$A$5:$A$504,"&gt;="&amp;$B$3,'Registro de turnos'!$A$5:$A$504,"&lt;="&amp;$B$4))</f>
        <v/>
      </c>
      <c r="I167" s="19" t="str">
        <f>IF($A167="","",SUMIFS('Registro de turnos'!$Q$5:$Q$504,'Registro de turnos'!$B$5:$B$504,$A167,'Registro de turnos'!$A$5:$A$504,"&gt;="&amp;$B$3,'Registro de turnos'!$A$5:$A$504,"&lt;="&amp;$B$4))</f>
        <v/>
      </c>
      <c r="J167" s="19" t="str">
        <f>IF($A167="","",SUMIFS('Registro de turnos'!$R$5:$R$504,'Registro de turnos'!$B$5:$B$504,$A167,'Registro de turnos'!$A$5:$A$504,"&gt;="&amp;$B$3,'Registro de turnos'!$A$5:$A$504,"&lt;="&amp;$B$4))</f>
        <v/>
      </c>
      <c r="K167" s="19" t="str">
        <f t="shared" ref="K167:K198" si="30">IF($A167="","",E167+F167+I167+J167)</f>
        <v/>
      </c>
      <c r="L167" s="17" t="str">
        <f>IF($A167="","",SUMIFS('Registro de turnos'!$T$5:$T$504,'Registro de turnos'!$B$5:$B$504,$A167,'Registro de turnos'!$A$5:$A$504,"&gt;="&amp;$B$3,'Registro de turnos'!$A$5:$A$504,"&lt;="&amp;$B$4))</f>
        <v/>
      </c>
      <c r="M167" s="17" t="str">
        <f t="shared" ref="M167:M198" si="31">IF($A167="","",ROUND(L167*0.0833,0))</f>
        <v/>
      </c>
      <c r="N167" s="17" t="str">
        <f t="shared" ref="N167:N198" si="32">IF($A167="","",ROUND(L167*0.0833,0))</f>
        <v/>
      </c>
      <c r="O167" s="17" t="str">
        <f t="shared" ref="O167:O198" si="33">IF($A167="","",ROUND(L167*0.01,0))</f>
        <v/>
      </c>
      <c r="P167" s="17" t="str">
        <f>IF($A167="","",ROUND(C167*D167*Parámetros!$B$8*0.0417,0))</f>
        <v/>
      </c>
      <c r="Q167" s="17" t="str">
        <f t="shared" ref="Q167:Q198" si="34">IF($A167="","",ROUND(L167*0.08,0))</f>
        <v/>
      </c>
      <c r="R167" s="17" t="str">
        <f t="shared" ref="R167:R198" si="35">IF($A167="","",L167-Q167)</f>
        <v/>
      </c>
    </row>
    <row r="168" spans="1:18" x14ac:dyDescent="0.25">
      <c r="A168" s="22" t="str">
        <f>IF(Trabajadores!A166="","",Trabajadores!A166)</f>
        <v/>
      </c>
      <c r="B168" s="23" t="str">
        <f>IF(A168="","",Trabajadores!B166)</f>
        <v/>
      </c>
      <c r="C168" s="24" t="str">
        <f>IF(A168="","",Trabajadores!G166)</f>
        <v/>
      </c>
      <c r="D168" s="19" t="str">
        <f>IF($A168="","",SUMIFS('Registro de turnos'!$L$5:$L$504,'Registro de turnos'!$B$5:$B$504,$A168,'Registro de turnos'!$A$5:$A$504,"&gt;="&amp;$B$3,'Registro de turnos'!$A$5:$A$504,"&lt;="&amp;$B$4))</f>
        <v/>
      </c>
      <c r="E168" s="19" t="str">
        <f>IF($A168="","",SUMIFS('Registro de turnos'!$M$5:$M$504,'Registro de turnos'!$B$5:$B$504,$A168,'Registro de turnos'!$A$5:$A$504,"&gt;="&amp;$B$3,'Registro de turnos'!$A$5:$A$504,"&lt;="&amp;$B$4))</f>
        <v/>
      </c>
      <c r="F168" s="19" t="str">
        <f>IF($A168="","",SUMIFS('Registro de turnos'!$N$5:$N$504,'Registro de turnos'!$B$5:$B$504,$A168,'Registro de turnos'!$A$5:$A$504,"&gt;="&amp;$B$3,'Registro de turnos'!$A$5:$A$504,"&lt;="&amp;$B$4))</f>
        <v/>
      </c>
      <c r="G168" s="19" t="str">
        <f>IF($A168="","",SUMIFS('Registro de turnos'!$O$5:$O$504,'Registro de turnos'!$B$5:$B$504,$A168,'Registro de turnos'!$A$5:$A$504,"&gt;="&amp;$B$3,'Registro de turnos'!$A$5:$A$504,"&lt;="&amp;$B$4))</f>
        <v/>
      </c>
      <c r="H168" s="19" t="str">
        <f>IF($A168="","",SUMIFS('Registro de turnos'!$P$5:$P$504,'Registro de turnos'!$B$5:$B$504,$A168,'Registro de turnos'!$A$5:$A$504,"&gt;="&amp;$B$3,'Registro de turnos'!$A$5:$A$504,"&lt;="&amp;$B$4))</f>
        <v/>
      </c>
      <c r="I168" s="19" t="str">
        <f>IF($A168="","",SUMIFS('Registro de turnos'!$Q$5:$Q$504,'Registro de turnos'!$B$5:$B$504,$A168,'Registro de turnos'!$A$5:$A$504,"&gt;="&amp;$B$3,'Registro de turnos'!$A$5:$A$504,"&lt;="&amp;$B$4))</f>
        <v/>
      </c>
      <c r="J168" s="19" t="str">
        <f>IF($A168="","",SUMIFS('Registro de turnos'!$R$5:$R$504,'Registro de turnos'!$B$5:$B$504,$A168,'Registro de turnos'!$A$5:$A$504,"&gt;="&amp;$B$3,'Registro de turnos'!$A$5:$A$504,"&lt;="&amp;$B$4))</f>
        <v/>
      </c>
      <c r="K168" s="19" t="str">
        <f t="shared" si="30"/>
        <v/>
      </c>
      <c r="L168" s="17" t="str">
        <f>IF($A168="","",SUMIFS('Registro de turnos'!$T$5:$T$504,'Registro de turnos'!$B$5:$B$504,$A168,'Registro de turnos'!$A$5:$A$504,"&gt;="&amp;$B$3,'Registro de turnos'!$A$5:$A$504,"&lt;="&amp;$B$4))</f>
        <v/>
      </c>
      <c r="M168" s="17" t="str">
        <f t="shared" si="31"/>
        <v/>
      </c>
      <c r="N168" s="17" t="str">
        <f t="shared" si="32"/>
        <v/>
      </c>
      <c r="O168" s="17" t="str">
        <f t="shared" si="33"/>
        <v/>
      </c>
      <c r="P168" s="17" t="str">
        <f>IF($A168="","",ROUND(C168*D168*Parámetros!$B$8*0.0417,0))</f>
        <v/>
      </c>
      <c r="Q168" s="17" t="str">
        <f t="shared" si="34"/>
        <v/>
      </c>
      <c r="R168" s="17" t="str">
        <f t="shared" si="35"/>
        <v/>
      </c>
    </row>
    <row r="169" spans="1:18" x14ac:dyDescent="0.25">
      <c r="A169" s="22" t="str">
        <f>IF(Trabajadores!A167="","",Trabajadores!A167)</f>
        <v/>
      </c>
      <c r="B169" s="23" t="str">
        <f>IF(A169="","",Trabajadores!B167)</f>
        <v/>
      </c>
      <c r="C169" s="24" t="str">
        <f>IF(A169="","",Trabajadores!G167)</f>
        <v/>
      </c>
      <c r="D169" s="19" t="str">
        <f>IF($A169="","",SUMIFS('Registro de turnos'!$L$5:$L$504,'Registro de turnos'!$B$5:$B$504,$A169,'Registro de turnos'!$A$5:$A$504,"&gt;="&amp;$B$3,'Registro de turnos'!$A$5:$A$504,"&lt;="&amp;$B$4))</f>
        <v/>
      </c>
      <c r="E169" s="19" t="str">
        <f>IF($A169="","",SUMIFS('Registro de turnos'!$M$5:$M$504,'Registro de turnos'!$B$5:$B$504,$A169,'Registro de turnos'!$A$5:$A$504,"&gt;="&amp;$B$3,'Registro de turnos'!$A$5:$A$504,"&lt;="&amp;$B$4))</f>
        <v/>
      </c>
      <c r="F169" s="19" t="str">
        <f>IF($A169="","",SUMIFS('Registro de turnos'!$N$5:$N$504,'Registro de turnos'!$B$5:$B$504,$A169,'Registro de turnos'!$A$5:$A$504,"&gt;="&amp;$B$3,'Registro de turnos'!$A$5:$A$504,"&lt;="&amp;$B$4))</f>
        <v/>
      </c>
      <c r="G169" s="19" t="str">
        <f>IF($A169="","",SUMIFS('Registro de turnos'!$O$5:$O$504,'Registro de turnos'!$B$5:$B$504,$A169,'Registro de turnos'!$A$5:$A$504,"&gt;="&amp;$B$3,'Registro de turnos'!$A$5:$A$504,"&lt;="&amp;$B$4))</f>
        <v/>
      </c>
      <c r="H169" s="19" t="str">
        <f>IF($A169="","",SUMIFS('Registro de turnos'!$P$5:$P$504,'Registro de turnos'!$B$5:$B$504,$A169,'Registro de turnos'!$A$5:$A$504,"&gt;="&amp;$B$3,'Registro de turnos'!$A$5:$A$504,"&lt;="&amp;$B$4))</f>
        <v/>
      </c>
      <c r="I169" s="19" t="str">
        <f>IF($A169="","",SUMIFS('Registro de turnos'!$Q$5:$Q$504,'Registro de turnos'!$B$5:$B$504,$A169,'Registro de turnos'!$A$5:$A$504,"&gt;="&amp;$B$3,'Registro de turnos'!$A$5:$A$504,"&lt;="&amp;$B$4))</f>
        <v/>
      </c>
      <c r="J169" s="19" t="str">
        <f>IF($A169="","",SUMIFS('Registro de turnos'!$R$5:$R$504,'Registro de turnos'!$B$5:$B$504,$A169,'Registro de turnos'!$A$5:$A$504,"&gt;="&amp;$B$3,'Registro de turnos'!$A$5:$A$504,"&lt;="&amp;$B$4))</f>
        <v/>
      </c>
      <c r="K169" s="19" t="str">
        <f t="shared" si="30"/>
        <v/>
      </c>
      <c r="L169" s="17" t="str">
        <f>IF($A169="","",SUMIFS('Registro de turnos'!$T$5:$T$504,'Registro de turnos'!$B$5:$B$504,$A169,'Registro de turnos'!$A$5:$A$504,"&gt;="&amp;$B$3,'Registro de turnos'!$A$5:$A$504,"&lt;="&amp;$B$4))</f>
        <v/>
      </c>
      <c r="M169" s="17" t="str">
        <f t="shared" si="31"/>
        <v/>
      </c>
      <c r="N169" s="17" t="str">
        <f t="shared" si="32"/>
        <v/>
      </c>
      <c r="O169" s="17" t="str">
        <f t="shared" si="33"/>
        <v/>
      </c>
      <c r="P169" s="17" t="str">
        <f>IF($A169="","",ROUND(C169*D169*Parámetros!$B$8*0.0417,0))</f>
        <v/>
      </c>
      <c r="Q169" s="17" t="str">
        <f t="shared" si="34"/>
        <v/>
      </c>
      <c r="R169" s="17" t="str">
        <f t="shared" si="35"/>
        <v/>
      </c>
    </row>
    <row r="170" spans="1:18" x14ac:dyDescent="0.25">
      <c r="A170" s="22" t="str">
        <f>IF(Trabajadores!A168="","",Trabajadores!A168)</f>
        <v/>
      </c>
      <c r="B170" s="23" t="str">
        <f>IF(A170="","",Trabajadores!B168)</f>
        <v/>
      </c>
      <c r="C170" s="24" t="str">
        <f>IF(A170="","",Trabajadores!G168)</f>
        <v/>
      </c>
      <c r="D170" s="19" t="str">
        <f>IF($A170="","",SUMIFS('Registro de turnos'!$L$5:$L$504,'Registro de turnos'!$B$5:$B$504,$A170,'Registro de turnos'!$A$5:$A$504,"&gt;="&amp;$B$3,'Registro de turnos'!$A$5:$A$504,"&lt;="&amp;$B$4))</f>
        <v/>
      </c>
      <c r="E170" s="19" t="str">
        <f>IF($A170="","",SUMIFS('Registro de turnos'!$M$5:$M$504,'Registro de turnos'!$B$5:$B$504,$A170,'Registro de turnos'!$A$5:$A$504,"&gt;="&amp;$B$3,'Registro de turnos'!$A$5:$A$504,"&lt;="&amp;$B$4))</f>
        <v/>
      </c>
      <c r="F170" s="19" t="str">
        <f>IF($A170="","",SUMIFS('Registro de turnos'!$N$5:$N$504,'Registro de turnos'!$B$5:$B$504,$A170,'Registro de turnos'!$A$5:$A$504,"&gt;="&amp;$B$3,'Registro de turnos'!$A$5:$A$504,"&lt;="&amp;$B$4))</f>
        <v/>
      </c>
      <c r="G170" s="19" t="str">
        <f>IF($A170="","",SUMIFS('Registro de turnos'!$O$5:$O$504,'Registro de turnos'!$B$5:$B$504,$A170,'Registro de turnos'!$A$5:$A$504,"&gt;="&amp;$B$3,'Registro de turnos'!$A$5:$A$504,"&lt;="&amp;$B$4))</f>
        <v/>
      </c>
      <c r="H170" s="19" t="str">
        <f>IF($A170="","",SUMIFS('Registro de turnos'!$P$5:$P$504,'Registro de turnos'!$B$5:$B$504,$A170,'Registro de turnos'!$A$5:$A$504,"&gt;="&amp;$B$3,'Registro de turnos'!$A$5:$A$504,"&lt;="&amp;$B$4))</f>
        <v/>
      </c>
      <c r="I170" s="19" t="str">
        <f>IF($A170="","",SUMIFS('Registro de turnos'!$Q$5:$Q$504,'Registro de turnos'!$B$5:$B$504,$A170,'Registro de turnos'!$A$5:$A$504,"&gt;="&amp;$B$3,'Registro de turnos'!$A$5:$A$504,"&lt;="&amp;$B$4))</f>
        <v/>
      </c>
      <c r="J170" s="19" t="str">
        <f>IF($A170="","",SUMIFS('Registro de turnos'!$R$5:$R$504,'Registro de turnos'!$B$5:$B$504,$A170,'Registro de turnos'!$A$5:$A$504,"&gt;="&amp;$B$3,'Registro de turnos'!$A$5:$A$504,"&lt;="&amp;$B$4))</f>
        <v/>
      </c>
      <c r="K170" s="19" t="str">
        <f t="shared" si="30"/>
        <v/>
      </c>
      <c r="L170" s="17" t="str">
        <f>IF($A170="","",SUMIFS('Registro de turnos'!$T$5:$T$504,'Registro de turnos'!$B$5:$B$504,$A170,'Registro de turnos'!$A$5:$A$504,"&gt;="&amp;$B$3,'Registro de turnos'!$A$5:$A$504,"&lt;="&amp;$B$4))</f>
        <v/>
      </c>
      <c r="M170" s="17" t="str">
        <f t="shared" si="31"/>
        <v/>
      </c>
      <c r="N170" s="17" t="str">
        <f t="shared" si="32"/>
        <v/>
      </c>
      <c r="O170" s="17" t="str">
        <f t="shared" si="33"/>
        <v/>
      </c>
      <c r="P170" s="17" t="str">
        <f>IF($A170="","",ROUND(C170*D170*Parámetros!$B$8*0.0417,0))</f>
        <v/>
      </c>
      <c r="Q170" s="17" t="str">
        <f t="shared" si="34"/>
        <v/>
      </c>
      <c r="R170" s="17" t="str">
        <f t="shared" si="35"/>
        <v/>
      </c>
    </row>
    <row r="171" spans="1:18" x14ac:dyDescent="0.25">
      <c r="A171" s="22" t="str">
        <f>IF(Trabajadores!A169="","",Trabajadores!A169)</f>
        <v/>
      </c>
      <c r="B171" s="23" t="str">
        <f>IF(A171="","",Trabajadores!B169)</f>
        <v/>
      </c>
      <c r="C171" s="24" t="str">
        <f>IF(A171="","",Trabajadores!G169)</f>
        <v/>
      </c>
      <c r="D171" s="19" t="str">
        <f>IF($A171="","",SUMIFS('Registro de turnos'!$L$5:$L$504,'Registro de turnos'!$B$5:$B$504,$A171,'Registro de turnos'!$A$5:$A$504,"&gt;="&amp;$B$3,'Registro de turnos'!$A$5:$A$504,"&lt;="&amp;$B$4))</f>
        <v/>
      </c>
      <c r="E171" s="19" t="str">
        <f>IF($A171="","",SUMIFS('Registro de turnos'!$M$5:$M$504,'Registro de turnos'!$B$5:$B$504,$A171,'Registro de turnos'!$A$5:$A$504,"&gt;="&amp;$B$3,'Registro de turnos'!$A$5:$A$504,"&lt;="&amp;$B$4))</f>
        <v/>
      </c>
      <c r="F171" s="19" t="str">
        <f>IF($A171="","",SUMIFS('Registro de turnos'!$N$5:$N$504,'Registro de turnos'!$B$5:$B$504,$A171,'Registro de turnos'!$A$5:$A$504,"&gt;="&amp;$B$3,'Registro de turnos'!$A$5:$A$504,"&lt;="&amp;$B$4))</f>
        <v/>
      </c>
      <c r="G171" s="19" t="str">
        <f>IF($A171="","",SUMIFS('Registro de turnos'!$O$5:$O$504,'Registro de turnos'!$B$5:$B$504,$A171,'Registro de turnos'!$A$5:$A$504,"&gt;="&amp;$B$3,'Registro de turnos'!$A$5:$A$504,"&lt;="&amp;$B$4))</f>
        <v/>
      </c>
      <c r="H171" s="19" t="str">
        <f>IF($A171="","",SUMIFS('Registro de turnos'!$P$5:$P$504,'Registro de turnos'!$B$5:$B$504,$A171,'Registro de turnos'!$A$5:$A$504,"&gt;="&amp;$B$3,'Registro de turnos'!$A$5:$A$504,"&lt;="&amp;$B$4))</f>
        <v/>
      </c>
      <c r="I171" s="19" t="str">
        <f>IF($A171="","",SUMIFS('Registro de turnos'!$Q$5:$Q$504,'Registro de turnos'!$B$5:$B$504,$A171,'Registro de turnos'!$A$5:$A$504,"&gt;="&amp;$B$3,'Registro de turnos'!$A$5:$A$504,"&lt;="&amp;$B$4))</f>
        <v/>
      </c>
      <c r="J171" s="19" t="str">
        <f>IF($A171="","",SUMIFS('Registro de turnos'!$R$5:$R$504,'Registro de turnos'!$B$5:$B$504,$A171,'Registro de turnos'!$A$5:$A$504,"&gt;="&amp;$B$3,'Registro de turnos'!$A$5:$A$504,"&lt;="&amp;$B$4))</f>
        <v/>
      </c>
      <c r="K171" s="19" t="str">
        <f t="shared" si="30"/>
        <v/>
      </c>
      <c r="L171" s="17" t="str">
        <f>IF($A171="","",SUMIFS('Registro de turnos'!$T$5:$T$504,'Registro de turnos'!$B$5:$B$504,$A171,'Registro de turnos'!$A$5:$A$504,"&gt;="&amp;$B$3,'Registro de turnos'!$A$5:$A$504,"&lt;="&amp;$B$4))</f>
        <v/>
      </c>
      <c r="M171" s="17" t="str">
        <f t="shared" si="31"/>
        <v/>
      </c>
      <c r="N171" s="17" t="str">
        <f t="shared" si="32"/>
        <v/>
      </c>
      <c r="O171" s="17" t="str">
        <f t="shared" si="33"/>
        <v/>
      </c>
      <c r="P171" s="17" t="str">
        <f>IF($A171="","",ROUND(C171*D171*Parámetros!$B$8*0.0417,0))</f>
        <v/>
      </c>
      <c r="Q171" s="17" t="str">
        <f t="shared" si="34"/>
        <v/>
      </c>
      <c r="R171" s="17" t="str">
        <f t="shared" si="35"/>
        <v/>
      </c>
    </row>
    <row r="172" spans="1:18" x14ac:dyDescent="0.25">
      <c r="A172" s="22" t="str">
        <f>IF(Trabajadores!A170="","",Trabajadores!A170)</f>
        <v/>
      </c>
      <c r="B172" s="23" t="str">
        <f>IF(A172="","",Trabajadores!B170)</f>
        <v/>
      </c>
      <c r="C172" s="24" t="str">
        <f>IF(A172="","",Trabajadores!G170)</f>
        <v/>
      </c>
      <c r="D172" s="19" t="str">
        <f>IF($A172="","",SUMIFS('Registro de turnos'!$L$5:$L$504,'Registro de turnos'!$B$5:$B$504,$A172,'Registro de turnos'!$A$5:$A$504,"&gt;="&amp;$B$3,'Registro de turnos'!$A$5:$A$504,"&lt;="&amp;$B$4))</f>
        <v/>
      </c>
      <c r="E172" s="19" t="str">
        <f>IF($A172="","",SUMIFS('Registro de turnos'!$M$5:$M$504,'Registro de turnos'!$B$5:$B$504,$A172,'Registro de turnos'!$A$5:$A$504,"&gt;="&amp;$B$3,'Registro de turnos'!$A$5:$A$504,"&lt;="&amp;$B$4))</f>
        <v/>
      </c>
      <c r="F172" s="19" t="str">
        <f>IF($A172="","",SUMIFS('Registro de turnos'!$N$5:$N$504,'Registro de turnos'!$B$5:$B$504,$A172,'Registro de turnos'!$A$5:$A$504,"&gt;="&amp;$B$3,'Registro de turnos'!$A$5:$A$504,"&lt;="&amp;$B$4))</f>
        <v/>
      </c>
      <c r="G172" s="19" t="str">
        <f>IF($A172="","",SUMIFS('Registro de turnos'!$O$5:$O$504,'Registro de turnos'!$B$5:$B$504,$A172,'Registro de turnos'!$A$5:$A$504,"&gt;="&amp;$B$3,'Registro de turnos'!$A$5:$A$504,"&lt;="&amp;$B$4))</f>
        <v/>
      </c>
      <c r="H172" s="19" t="str">
        <f>IF($A172="","",SUMIFS('Registro de turnos'!$P$5:$P$504,'Registro de turnos'!$B$5:$B$504,$A172,'Registro de turnos'!$A$5:$A$504,"&gt;="&amp;$B$3,'Registro de turnos'!$A$5:$A$504,"&lt;="&amp;$B$4))</f>
        <v/>
      </c>
      <c r="I172" s="19" t="str">
        <f>IF($A172="","",SUMIFS('Registro de turnos'!$Q$5:$Q$504,'Registro de turnos'!$B$5:$B$504,$A172,'Registro de turnos'!$A$5:$A$504,"&gt;="&amp;$B$3,'Registro de turnos'!$A$5:$A$504,"&lt;="&amp;$B$4))</f>
        <v/>
      </c>
      <c r="J172" s="19" t="str">
        <f>IF($A172="","",SUMIFS('Registro de turnos'!$R$5:$R$504,'Registro de turnos'!$B$5:$B$504,$A172,'Registro de turnos'!$A$5:$A$504,"&gt;="&amp;$B$3,'Registro de turnos'!$A$5:$A$504,"&lt;="&amp;$B$4))</f>
        <v/>
      </c>
      <c r="K172" s="19" t="str">
        <f t="shared" si="30"/>
        <v/>
      </c>
      <c r="L172" s="17" t="str">
        <f>IF($A172="","",SUMIFS('Registro de turnos'!$T$5:$T$504,'Registro de turnos'!$B$5:$B$504,$A172,'Registro de turnos'!$A$5:$A$504,"&gt;="&amp;$B$3,'Registro de turnos'!$A$5:$A$504,"&lt;="&amp;$B$4))</f>
        <v/>
      </c>
      <c r="M172" s="17" t="str">
        <f t="shared" si="31"/>
        <v/>
      </c>
      <c r="N172" s="17" t="str">
        <f t="shared" si="32"/>
        <v/>
      </c>
      <c r="O172" s="17" t="str">
        <f t="shared" si="33"/>
        <v/>
      </c>
      <c r="P172" s="17" t="str">
        <f>IF($A172="","",ROUND(C172*D172*Parámetros!$B$8*0.0417,0))</f>
        <v/>
      </c>
      <c r="Q172" s="17" t="str">
        <f t="shared" si="34"/>
        <v/>
      </c>
      <c r="R172" s="17" t="str">
        <f t="shared" si="35"/>
        <v/>
      </c>
    </row>
    <row r="173" spans="1:18" x14ac:dyDescent="0.25">
      <c r="A173" s="22" t="str">
        <f>IF(Trabajadores!A171="","",Trabajadores!A171)</f>
        <v/>
      </c>
      <c r="B173" s="23" t="str">
        <f>IF(A173="","",Trabajadores!B171)</f>
        <v/>
      </c>
      <c r="C173" s="24" t="str">
        <f>IF(A173="","",Trabajadores!G171)</f>
        <v/>
      </c>
      <c r="D173" s="19" t="str">
        <f>IF($A173="","",SUMIFS('Registro de turnos'!$L$5:$L$504,'Registro de turnos'!$B$5:$B$504,$A173,'Registro de turnos'!$A$5:$A$504,"&gt;="&amp;$B$3,'Registro de turnos'!$A$5:$A$504,"&lt;="&amp;$B$4))</f>
        <v/>
      </c>
      <c r="E173" s="19" t="str">
        <f>IF($A173="","",SUMIFS('Registro de turnos'!$M$5:$M$504,'Registro de turnos'!$B$5:$B$504,$A173,'Registro de turnos'!$A$5:$A$504,"&gt;="&amp;$B$3,'Registro de turnos'!$A$5:$A$504,"&lt;="&amp;$B$4))</f>
        <v/>
      </c>
      <c r="F173" s="19" t="str">
        <f>IF($A173="","",SUMIFS('Registro de turnos'!$N$5:$N$504,'Registro de turnos'!$B$5:$B$504,$A173,'Registro de turnos'!$A$5:$A$504,"&gt;="&amp;$B$3,'Registro de turnos'!$A$5:$A$504,"&lt;="&amp;$B$4))</f>
        <v/>
      </c>
      <c r="G173" s="19" t="str">
        <f>IF($A173="","",SUMIFS('Registro de turnos'!$O$5:$O$504,'Registro de turnos'!$B$5:$B$504,$A173,'Registro de turnos'!$A$5:$A$504,"&gt;="&amp;$B$3,'Registro de turnos'!$A$5:$A$504,"&lt;="&amp;$B$4))</f>
        <v/>
      </c>
      <c r="H173" s="19" t="str">
        <f>IF($A173="","",SUMIFS('Registro de turnos'!$P$5:$P$504,'Registro de turnos'!$B$5:$B$504,$A173,'Registro de turnos'!$A$5:$A$504,"&gt;="&amp;$B$3,'Registro de turnos'!$A$5:$A$504,"&lt;="&amp;$B$4))</f>
        <v/>
      </c>
      <c r="I173" s="19" t="str">
        <f>IF($A173="","",SUMIFS('Registro de turnos'!$Q$5:$Q$504,'Registro de turnos'!$B$5:$B$504,$A173,'Registro de turnos'!$A$5:$A$504,"&gt;="&amp;$B$3,'Registro de turnos'!$A$5:$A$504,"&lt;="&amp;$B$4))</f>
        <v/>
      </c>
      <c r="J173" s="19" t="str">
        <f>IF($A173="","",SUMIFS('Registro de turnos'!$R$5:$R$504,'Registro de turnos'!$B$5:$B$504,$A173,'Registro de turnos'!$A$5:$A$504,"&gt;="&amp;$B$3,'Registro de turnos'!$A$5:$A$504,"&lt;="&amp;$B$4))</f>
        <v/>
      </c>
      <c r="K173" s="19" t="str">
        <f t="shared" si="30"/>
        <v/>
      </c>
      <c r="L173" s="17" t="str">
        <f>IF($A173="","",SUMIFS('Registro de turnos'!$T$5:$T$504,'Registro de turnos'!$B$5:$B$504,$A173,'Registro de turnos'!$A$5:$A$504,"&gt;="&amp;$B$3,'Registro de turnos'!$A$5:$A$504,"&lt;="&amp;$B$4))</f>
        <v/>
      </c>
      <c r="M173" s="17" t="str">
        <f t="shared" si="31"/>
        <v/>
      </c>
      <c r="N173" s="17" t="str">
        <f t="shared" si="32"/>
        <v/>
      </c>
      <c r="O173" s="17" t="str">
        <f t="shared" si="33"/>
        <v/>
      </c>
      <c r="P173" s="17" t="str">
        <f>IF($A173="","",ROUND(C173*D173*Parámetros!$B$8*0.0417,0))</f>
        <v/>
      </c>
      <c r="Q173" s="17" t="str">
        <f t="shared" si="34"/>
        <v/>
      </c>
      <c r="R173" s="17" t="str">
        <f t="shared" si="35"/>
        <v/>
      </c>
    </row>
    <row r="174" spans="1:18" x14ac:dyDescent="0.25">
      <c r="A174" s="22" t="str">
        <f>IF(Trabajadores!A172="","",Trabajadores!A172)</f>
        <v/>
      </c>
      <c r="B174" s="23" t="str">
        <f>IF(A174="","",Trabajadores!B172)</f>
        <v/>
      </c>
      <c r="C174" s="24" t="str">
        <f>IF(A174="","",Trabajadores!G172)</f>
        <v/>
      </c>
      <c r="D174" s="19" t="str">
        <f>IF($A174="","",SUMIFS('Registro de turnos'!$L$5:$L$504,'Registro de turnos'!$B$5:$B$504,$A174,'Registro de turnos'!$A$5:$A$504,"&gt;="&amp;$B$3,'Registro de turnos'!$A$5:$A$504,"&lt;="&amp;$B$4))</f>
        <v/>
      </c>
      <c r="E174" s="19" t="str">
        <f>IF($A174="","",SUMIFS('Registro de turnos'!$M$5:$M$504,'Registro de turnos'!$B$5:$B$504,$A174,'Registro de turnos'!$A$5:$A$504,"&gt;="&amp;$B$3,'Registro de turnos'!$A$5:$A$504,"&lt;="&amp;$B$4))</f>
        <v/>
      </c>
      <c r="F174" s="19" t="str">
        <f>IF($A174="","",SUMIFS('Registro de turnos'!$N$5:$N$504,'Registro de turnos'!$B$5:$B$504,$A174,'Registro de turnos'!$A$5:$A$504,"&gt;="&amp;$B$3,'Registro de turnos'!$A$5:$A$504,"&lt;="&amp;$B$4))</f>
        <v/>
      </c>
      <c r="G174" s="19" t="str">
        <f>IF($A174="","",SUMIFS('Registro de turnos'!$O$5:$O$504,'Registro de turnos'!$B$5:$B$504,$A174,'Registro de turnos'!$A$5:$A$504,"&gt;="&amp;$B$3,'Registro de turnos'!$A$5:$A$504,"&lt;="&amp;$B$4))</f>
        <v/>
      </c>
      <c r="H174" s="19" t="str">
        <f>IF($A174="","",SUMIFS('Registro de turnos'!$P$5:$P$504,'Registro de turnos'!$B$5:$B$504,$A174,'Registro de turnos'!$A$5:$A$504,"&gt;="&amp;$B$3,'Registro de turnos'!$A$5:$A$504,"&lt;="&amp;$B$4))</f>
        <v/>
      </c>
      <c r="I174" s="19" t="str">
        <f>IF($A174="","",SUMIFS('Registro de turnos'!$Q$5:$Q$504,'Registro de turnos'!$B$5:$B$504,$A174,'Registro de turnos'!$A$5:$A$504,"&gt;="&amp;$B$3,'Registro de turnos'!$A$5:$A$504,"&lt;="&amp;$B$4))</f>
        <v/>
      </c>
      <c r="J174" s="19" t="str">
        <f>IF($A174="","",SUMIFS('Registro de turnos'!$R$5:$R$504,'Registro de turnos'!$B$5:$B$504,$A174,'Registro de turnos'!$A$5:$A$504,"&gt;="&amp;$B$3,'Registro de turnos'!$A$5:$A$504,"&lt;="&amp;$B$4))</f>
        <v/>
      </c>
      <c r="K174" s="19" t="str">
        <f t="shared" si="30"/>
        <v/>
      </c>
      <c r="L174" s="17" t="str">
        <f>IF($A174="","",SUMIFS('Registro de turnos'!$T$5:$T$504,'Registro de turnos'!$B$5:$B$504,$A174,'Registro de turnos'!$A$5:$A$504,"&gt;="&amp;$B$3,'Registro de turnos'!$A$5:$A$504,"&lt;="&amp;$B$4))</f>
        <v/>
      </c>
      <c r="M174" s="17" t="str">
        <f t="shared" si="31"/>
        <v/>
      </c>
      <c r="N174" s="17" t="str">
        <f t="shared" si="32"/>
        <v/>
      </c>
      <c r="O174" s="17" t="str">
        <f t="shared" si="33"/>
        <v/>
      </c>
      <c r="P174" s="17" t="str">
        <f>IF($A174="","",ROUND(C174*D174*Parámetros!$B$8*0.0417,0))</f>
        <v/>
      </c>
      <c r="Q174" s="17" t="str">
        <f t="shared" si="34"/>
        <v/>
      </c>
      <c r="R174" s="17" t="str">
        <f t="shared" si="35"/>
        <v/>
      </c>
    </row>
    <row r="175" spans="1:18" x14ac:dyDescent="0.25">
      <c r="A175" s="22" t="str">
        <f>IF(Trabajadores!A173="","",Trabajadores!A173)</f>
        <v/>
      </c>
      <c r="B175" s="23" t="str">
        <f>IF(A175="","",Trabajadores!B173)</f>
        <v/>
      </c>
      <c r="C175" s="24" t="str">
        <f>IF(A175="","",Trabajadores!G173)</f>
        <v/>
      </c>
      <c r="D175" s="19" t="str">
        <f>IF($A175="","",SUMIFS('Registro de turnos'!$L$5:$L$504,'Registro de turnos'!$B$5:$B$504,$A175,'Registro de turnos'!$A$5:$A$504,"&gt;="&amp;$B$3,'Registro de turnos'!$A$5:$A$504,"&lt;="&amp;$B$4))</f>
        <v/>
      </c>
      <c r="E175" s="19" t="str">
        <f>IF($A175="","",SUMIFS('Registro de turnos'!$M$5:$M$504,'Registro de turnos'!$B$5:$B$504,$A175,'Registro de turnos'!$A$5:$A$504,"&gt;="&amp;$B$3,'Registro de turnos'!$A$5:$A$504,"&lt;="&amp;$B$4))</f>
        <v/>
      </c>
      <c r="F175" s="19" t="str">
        <f>IF($A175="","",SUMIFS('Registro de turnos'!$N$5:$N$504,'Registro de turnos'!$B$5:$B$504,$A175,'Registro de turnos'!$A$5:$A$504,"&gt;="&amp;$B$3,'Registro de turnos'!$A$5:$A$504,"&lt;="&amp;$B$4))</f>
        <v/>
      </c>
      <c r="G175" s="19" t="str">
        <f>IF($A175="","",SUMIFS('Registro de turnos'!$O$5:$O$504,'Registro de turnos'!$B$5:$B$504,$A175,'Registro de turnos'!$A$5:$A$504,"&gt;="&amp;$B$3,'Registro de turnos'!$A$5:$A$504,"&lt;="&amp;$B$4))</f>
        <v/>
      </c>
      <c r="H175" s="19" t="str">
        <f>IF($A175="","",SUMIFS('Registro de turnos'!$P$5:$P$504,'Registro de turnos'!$B$5:$B$504,$A175,'Registro de turnos'!$A$5:$A$504,"&gt;="&amp;$B$3,'Registro de turnos'!$A$5:$A$504,"&lt;="&amp;$B$4))</f>
        <v/>
      </c>
      <c r="I175" s="19" t="str">
        <f>IF($A175="","",SUMIFS('Registro de turnos'!$Q$5:$Q$504,'Registro de turnos'!$B$5:$B$504,$A175,'Registro de turnos'!$A$5:$A$504,"&gt;="&amp;$B$3,'Registro de turnos'!$A$5:$A$504,"&lt;="&amp;$B$4))</f>
        <v/>
      </c>
      <c r="J175" s="19" t="str">
        <f>IF($A175="","",SUMIFS('Registro de turnos'!$R$5:$R$504,'Registro de turnos'!$B$5:$B$504,$A175,'Registro de turnos'!$A$5:$A$504,"&gt;="&amp;$B$3,'Registro de turnos'!$A$5:$A$504,"&lt;="&amp;$B$4))</f>
        <v/>
      </c>
      <c r="K175" s="19" t="str">
        <f t="shared" si="30"/>
        <v/>
      </c>
      <c r="L175" s="17" t="str">
        <f>IF($A175="","",SUMIFS('Registro de turnos'!$T$5:$T$504,'Registro de turnos'!$B$5:$B$504,$A175,'Registro de turnos'!$A$5:$A$504,"&gt;="&amp;$B$3,'Registro de turnos'!$A$5:$A$504,"&lt;="&amp;$B$4))</f>
        <v/>
      </c>
      <c r="M175" s="17" t="str">
        <f t="shared" si="31"/>
        <v/>
      </c>
      <c r="N175" s="17" t="str">
        <f t="shared" si="32"/>
        <v/>
      </c>
      <c r="O175" s="17" t="str">
        <f t="shared" si="33"/>
        <v/>
      </c>
      <c r="P175" s="17" t="str">
        <f>IF($A175="","",ROUND(C175*D175*Parámetros!$B$8*0.0417,0))</f>
        <v/>
      </c>
      <c r="Q175" s="17" t="str">
        <f t="shared" si="34"/>
        <v/>
      </c>
      <c r="R175" s="17" t="str">
        <f t="shared" si="35"/>
        <v/>
      </c>
    </row>
    <row r="176" spans="1:18" x14ac:dyDescent="0.25">
      <c r="A176" s="22" t="str">
        <f>IF(Trabajadores!A174="","",Trabajadores!A174)</f>
        <v/>
      </c>
      <c r="B176" s="23" t="str">
        <f>IF(A176="","",Trabajadores!B174)</f>
        <v/>
      </c>
      <c r="C176" s="24" t="str">
        <f>IF(A176="","",Trabajadores!G174)</f>
        <v/>
      </c>
      <c r="D176" s="19" t="str">
        <f>IF($A176="","",SUMIFS('Registro de turnos'!$L$5:$L$504,'Registro de turnos'!$B$5:$B$504,$A176,'Registro de turnos'!$A$5:$A$504,"&gt;="&amp;$B$3,'Registro de turnos'!$A$5:$A$504,"&lt;="&amp;$B$4))</f>
        <v/>
      </c>
      <c r="E176" s="19" t="str">
        <f>IF($A176="","",SUMIFS('Registro de turnos'!$M$5:$M$504,'Registro de turnos'!$B$5:$B$504,$A176,'Registro de turnos'!$A$5:$A$504,"&gt;="&amp;$B$3,'Registro de turnos'!$A$5:$A$504,"&lt;="&amp;$B$4))</f>
        <v/>
      </c>
      <c r="F176" s="19" t="str">
        <f>IF($A176="","",SUMIFS('Registro de turnos'!$N$5:$N$504,'Registro de turnos'!$B$5:$B$504,$A176,'Registro de turnos'!$A$5:$A$504,"&gt;="&amp;$B$3,'Registro de turnos'!$A$5:$A$504,"&lt;="&amp;$B$4))</f>
        <v/>
      </c>
      <c r="G176" s="19" t="str">
        <f>IF($A176="","",SUMIFS('Registro de turnos'!$O$5:$O$504,'Registro de turnos'!$B$5:$B$504,$A176,'Registro de turnos'!$A$5:$A$504,"&gt;="&amp;$B$3,'Registro de turnos'!$A$5:$A$504,"&lt;="&amp;$B$4))</f>
        <v/>
      </c>
      <c r="H176" s="19" t="str">
        <f>IF($A176="","",SUMIFS('Registro de turnos'!$P$5:$P$504,'Registro de turnos'!$B$5:$B$504,$A176,'Registro de turnos'!$A$5:$A$504,"&gt;="&amp;$B$3,'Registro de turnos'!$A$5:$A$504,"&lt;="&amp;$B$4))</f>
        <v/>
      </c>
      <c r="I176" s="19" t="str">
        <f>IF($A176="","",SUMIFS('Registro de turnos'!$Q$5:$Q$504,'Registro de turnos'!$B$5:$B$504,$A176,'Registro de turnos'!$A$5:$A$504,"&gt;="&amp;$B$3,'Registro de turnos'!$A$5:$A$504,"&lt;="&amp;$B$4))</f>
        <v/>
      </c>
      <c r="J176" s="19" t="str">
        <f>IF($A176="","",SUMIFS('Registro de turnos'!$R$5:$R$504,'Registro de turnos'!$B$5:$B$504,$A176,'Registro de turnos'!$A$5:$A$504,"&gt;="&amp;$B$3,'Registro de turnos'!$A$5:$A$504,"&lt;="&amp;$B$4))</f>
        <v/>
      </c>
      <c r="K176" s="19" t="str">
        <f t="shared" si="30"/>
        <v/>
      </c>
      <c r="L176" s="17" t="str">
        <f>IF($A176="","",SUMIFS('Registro de turnos'!$T$5:$T$504,'Registro de turnos'!$B$5:$B$504,$A176,'Registro de turnos'!$A$5:$A$504,"&gt;="&amp;$B$3,'Registro de turnos'!$A$5:$A$504,"&lt;="&amp;$B$4))</f>
        <v/>
      </c>
      <c r="M176" s="17" t="str">
        <f t="shared" si="31"/>
        <v/>
      </c>
      <c r="N176" s="17" t="str">
        <f t="shared" si="32"/>
        <v/>
      </c>
      <c r="O176" s="17" t="str">
        <f t="shared" si="33"/>
        <v/>
      </c>
      <c r="P176" s="17" t="str">
        <f>IF($A176="","",ROUND(C176*D176*Parámetros!$B$8*0.0417,0))</f>
        <v/>
      </c>
      <c r="Q176" s="17" t="str">
        <f t="shared" si="34"/>
        <v/>
      </c>
      <c r="R176" s="17" t="str">
        <f t="shared" si="35"/>
        <v/>
      </c>
    </row>
    <row r="177" spans="1:18" x14ac:dyDescent="0.25">
      <c r="A177" s="22" t="str">
        <f>IF(Trabajadores!A175="","",Trabajadores!A175)</f>
        <v/>
      </c>
      <c r="B177" s="23" t="str">
        <f>IF(A177="","",Trabajadores!B175)</f>
        <v/>
      </c>
      <c r="C177" s="24" t="str">
        <f>IF(A177="","",Trabajadores!G175)</f>
        <v/>
      </c>
      <c r="D177" s="19" t="str">
        <f>IF($A177="","",SUMIFS('Registro de turnos'!$L$5:$L$504,'Registro de turnos'!$B$5:$B$504,$A177,'Registro de turnos'!$A$5:$A$504,"&gt;="&amp;$B$3,'Registro de turnos'!$A$5:$A$504,"&lt;="&amp;$B$4))</f>
        <v/>
      </c>
      <c r="E177" s="19" t="str">
        <f>IF($A177="","",SUMIFS('Registro de turnos'!$M$5:$M$504,'Registro de turnos'!$B$5:$B$504,$A177,'Registro de turnos'!$A$5:$A$504,"&gt;="&amp;$B$3,'Registro de turnos'!$A$5:$A$504,"&lt;="&amp;$B$4))</f>
        <v/>
      </c>
      <c r="F177" s="19" t="str">
        <f>IF($A177="","",SUMIFS('Registro de turnos'!$N$5:$N$504,'Registro de turnos'!$B$5:$B$504,$A177,'Registro de turnos'!$A$5:$A$504,"&gt;="&amp;$B$3,'Registro de turnos'!$A$5:$A$504,"&lt;="&amp;$B$4))</f>
        <v/>
      </c>
      <c r="G177" s="19" t="str">
        <f>IF($A177="","",SUMIFS('Registro de turnos'!$O$5:$O$504,'Registro de turnos'!$B$5:$B$504,$A177,'Registro de turnos'!$A$5:$A$504,"&gt;="&amp;$B$3,'Registro de turnos'!$A$5:$A$504,"&lt;="&amp;$B$4))</f>
        <v/>
      </c>
      <c r="H177" s="19" t="str">
        <f>IF($A177="","",SUMIFS('Registro de turnos'!$P$5:$P$504,'Registro de turnos'!$B$5:$B$504,$A177,'Registro de turnos'!$A$5:$A$504,"&gt;="&amp;$B$3,'Registro de turnos'!$A$5:$A$504,"&lt;="&amp;$B$4))</f>
        <v/>
      </c>
      <c r="I177" s="19" t="str">
        <f>IF($A177="","",SUMIFS('Registro de turnos'!$Q$5:$Q$504,'Registro de turnos'!$B$5:$B$504,$A177,'Registro de turnos'!$A$5:$A$504,"&gt;="&amp;$B$3,'Registro de turnos'!$A$5:$A$504,"&lt;="&amp;$B$4))</f>
        <v/>
      </c>
      <c r="J177" s="19" t="str">
        <f>IF($A177="","",SUMIFS('Registro de turnos'!$R$5:$R$504,'Registro de turnos'!$B$5:$B$504,$A177,'Registro de turnos'!$A$5:$A$504,"&gt;="&amp;$B$3,'Registro de turnos'!$A$5:$A$504,"&lt;="&amp;$B$4))</f>
        <v/>
      </c>
      <c r="K177" s="19" t="str">
        <f t="shared" si="30"/>
        <v/>
      </c>
      <c r="L177" s="17" t="str">
        <f>IF($A177="","",SUMIFS('Registro de turnos'!$T$5:$T$504,'Registro de turnos'!$B$5:$B$504,$A177,'Registro de turnos'!$A$5:$A$504,"&gt;="&amp;$B$3,'Registro de turnos'!$A$5:$A$504,"&lt;="&amp;$B$4))</f>
        <v/>
      </c>
      <c r="M177" s="17" t="str">
        <f t="shared" si="31"/>
        <v/>
      </c>
      <c r="N177" s="17" t="str">
        <f t="shared" si="32"/>
        <v/>
      </c>
      <c r="O177" s="17" t="str">
        <f t="shared" si="33"/>
        <v/>
      </c>
      <c r="P177" s="17" t="str">
        <f>IF($A177="","",ROUND(C177*D177*Parámetros!$B$8*0.0417,0))</f>
        <v/>
      </c>
      <c r="Q177" s="17" t="str">
        <f t="shared" si="34"/>
        <v/>
      </c>
      <c r="R177" s="17" t="str">
        <f t="shared" si="35"/>
        <v/>
      </c>
    </row>
    <row r="178" spans="1:18" x14ac:dyDescent="0.25">
      <c r="A178" s="22" t="str">
        <f>IF(Trabajadores!A176="","",Trabajadores!A176)</f>
        <v/>
      </c>
      <c r="B178" s="23" t="str">
        <f>IF(A178="","",Trabajadores!B176)</f>
        <v/>
      </c>
      <c r="C178" s="24" t="str">
        <f>IF(A178="","",Trabajadores!G176)</f>
        <v/>
      </c>
      <c r="D178" s="19" t="str">
        <f>IF($A178="","",SUMIFS('Registro de turnos'!$L$5:$L$504,'Registro de turnos'!$B$5:$B$504,$A178,'Registro de turnos'!$A$5:$A$504,"&gt;="&amp;$B$3,'Registro de turnos'!$A$5:$A$504,"&lt;="&amp;$B$4))</f>
        <v/>
      </c>
      <c r="E178" s="19" t="str">
        <f>IF($A178="","",SUMIFS('Registro de turnos'!$M$5:$M$504,'Registro de turnos'!$B$5:$B$504,$A178,'Registro de turnos'!$A$5:$A$504,"&gt;="&amp;$B$3,'Registro de turnos'!$A$5:$A$504,"&lt;="&amp;$B$4))</f>
        <v/>
      </c>
      <c r="F178" s="19" t="str">
        <f>IF($A178="","",SUMIFS('Registro de turnos'!$N$5:$N$504,'Registro de turnos'!$B$5:$B$504,$A178,'Registro de turnos'!$A$5:$A$504,"&gt;="&amp;$B$3,'Registro de turnos'!$A$5:$A$504,"&lt;="&amp;$B$4))</f>
        <v/>
      </c>
      <c r="G178" s="19" t="str">
        <f>IF($A178="","",SUMIFS('Registro de turnos'!$O$5:$O$504,'Registro de turnos'!$B$5:$B$504,$A178,'Registro de turnos'!$A$5:$A$504,"&gt;="&amp;$B$3,'Registro de turnos'!$A$5:$A$504,"&lt;="&amp;$B$4))</f>
        <v/>
      </c>
      <c r="H178" s="19" t="str">
        <f>IF($A178="","",SUMIFS('Registro de turnos'!$P$5:$P$504,'Registro de turnos'!$B$5:$B$504,$A178,'Registro de turnos'!$A$5:$A$504,"&gt;="&amp;$B$3,'Registro de turnos'!$A$5:$A$504,"&lt;="&amp;$B$4))</f>
        <v/>
      </c>
      <c r="I178" s="19" t="str">
        <f>IF($A178="","",SUMIFS('Registro de turnos'!$Q$5:$Q$504,'Registro de turnos'!$B$5:$B$504,$A178,'Registro de turnos'!$A$5:$A$504,"&gt;="&amp;$B$3,'Registro de turnos'!$A$5:$A$504,"&lt;="&amp;$B$4))</f>
        <v/>
      </c>
      <c r="J178" s="19" t="str">
        <f>IF($A178="","",SUMIFS('Registro de turnos'!$R$5:$R$504,'Registro de turnos'!$B$5:$B$504,$A178,'Registro de turnos'!$A$5:$A$504,"&gt;="&amp;$B$3,'Registro de turnos'!$A$5:$A$504,"&lt;="&amp;$B$4))</f>
        <v/>
      </c>
      <c r="K178" s="19" t="str">
        <f t="shared" si="30"/>
        <v/>
      </c>
      <c r="L178" s="17" t="str">
        <f>IF($A178="","",SUMIFS('Registro de turnos'!$T$5:$T$504,'Registro de turnos'!$B$5:$B$504,$A178,'Registro de turnos'!$A$5:$A$504,"&gt;="&amp;$B$3,'Registro de turnos'!$A$5:$A$504,"&lt;="&amp;$B$4))</f>
        <v/>
      </c>
      <c r="M178" s="17" t="str">
        <f t="shared" si="31"/>
        <v/>
      </c>
      <c r="N178" s="17" t="str">
        <f t="shared" si="32"/>
        <v/>
      </c>
      <c r="O178" s="17" t="str">
        <f t="shared" si="33"/>
        <v/>
      </c>
      <c r="P178" s="17" t="str">
        <f>IF($A178="","",ROUND(C178*D178*Parámetros!$B$8*0.0417,0))</f>
        <v/>
      </c>
      <c r="Q178" s="17" t="str">
        <f t="shared" si="34"/>
        <v/>
      </c>
      <c r="R178" s="17" t="str">
        <f t="shared" si="35"/>
        <v/>
      </c>
    </row>
    <row r="179" spans="1:18" x14ac:dyDescent="0.25">
      <c r="A179" s="22" t="str">
        <f>IF(Trabajadores!A177="","",Trabajadores!A177)</f>
        <v/>
      </c>
      <c r="B179" s="23" t="str">
        <f>IF(A179="","",Trabajadores!B177)</f>
        <v/>
      </c>
      <c r="C179" s="24" t="str">
        <f>IF(A179="","",Trabajadores!G177)</f>
        <v/>
      </c>
      <c r="D179" s="19" t="str">
        <f>IF($A179="","",SUMIFS('Registro de turnos'!$L$5:$L$504,'Registro de turnos'!$B$5:$B$504,$A179,'Registro de turnos'!$A$5:$A$504,"&gt;="&amp;$B$3,'Registro de turnos'!$A$5:$A$504,"&lt;="&amp;$B$4))</f>
        <v/>
      </c>
      <c r="E179" s="19" t="str">
        <f>IF($A179="","",SUMIFS('Registro de turnos'!$M$5:$M$504,'Registro de turnos'!$B$5:$B$504,$A179,'Registro de turnos'!$A$5:$A$504,"&gt;="&amp;$B$3,'Registro de turnos'!$A$5:$A$504,"&lt;="&amp;$B$4))</f>
        <v/>
      </c>
      <c r="F179" s="19" t="str">
        <f>IF($A179="","",SUMIFS('Registro de turnos'!$N$5:$N$504,'Registro de turnos'!$B$5:$B$504,$A179,'Registro de turnos'!$A$5:$A$504,"&gt;="&amp;$B$3,'Registro de turnos'!$A$5:$A$504,"&lt;="&amp;$B$4))</f>
        <v/>
      </c>
      <c r="G179" s="19" t="str">
        <f>IF($A179="","",SUMIFS('Registro de turnos'!$O$5:$O$504,'Registro de turnos'!$B$5:$B$504,$A179,'Registro de turnos'!$A$5:$A$504,"&gt;="&amp;$B$3,'Registro de turnos'!$A$5:$A$504,"&lt;="&amp;$B$4))</f>
        <v/>
      </c>
      <c r="H179" s="19" t="str">
        <f>IF($A179="","",SUMIFS('Registro de turnos'!$P$5:$P$504,'Registro de turnos'!$B$5:$B$504,$A179,'Registro de turnos'!$A$5:$A$504,"&gt;="&amp;$B$3,'Registro de turnos'!$A$5:$A$504,"&lt;="&amp;$B$4))</f>
        <v/>
      </c>
      <c r="I179" s="19" t="str">
        <f>IF($A179="","",SUMIFS('Registro de turnos'!$Q$5:$Q$504,'Registro de turnos'!$B$5:$B$504,$A179,'Registro de turnos'!$A$5:$A$504,"&gt;="&amp;$B$3,'Registro de turnos'!$A$5:$A$504,"&lt;="&amp;$B$4))</f>
        <v/>
      </c>
      <c r="J179" s="19" t="str">
        <f>IF($A179="","",SUMIFS('Registro de turnos'!$R$5:$R$504,'Registro de turnos'!$B$5:$B$504,$A179,'Registro de turnos'!$A$5:$A$504,"&gt;="&amp;$B$3,'Registro de turnos'!$A$5:$A$504,"&lt;="&amp;$B$4))</f>
        <v/>
      </c>
      <c r="K179" s="19" t="str">
        <f t="shared" si="30"/>
        <v/>
      </c>
      <c r="L179" s="17" t="str">
        <f>IF($A179="","",SUMIFS('Registro de turnos'!$T$5:$T$504,'Registro de turnos'!$B$5:$B$504,$A179,'Registro de turnos'!$A$5:$A$504,"&gt;="&amp;$B$3,'Registro de turnos'!$A$5:$A$504,"&lt;="&amp;$B$4))</f>
        <v/>
      </c>
      <c r="M179" s="17" t="str">
        <f t="shared" si="31"/>
        <v/>
      </c>
      <c r="N179" s="17" t="str">
        <f t="shared" si="32"/>
        <v/>
      </c>
      <c r="O179" s="17" t="str">
        <f t="shared" si="33"/>
        <v/>
      </c>
      <c r="P179" s="17" t="str">
        <f>IF($A179="","",ROUND(C179*D179*Parámetros!$B$8*0.0417,0))</f>
        <v/>
      </c>
      <c r="Q179" s="17" t="str">
        <f t="shared" si="34"/>
        <v/>
      </c>
      <c r="R179" s="17" t="str">
        <f t="shared" si="35"/>
        <v/>
      </c>
    </row>
    <row r="180" spans="1:18" x14ac:dyDescent="0.25">
      <c r="A180" s="22" t="str">
        <f>IF(Trabajadores!A178="","",Trabajadores!A178)</f>
        <v/>
      </c>
      <c r="B180" s="23" t="str">
        <f>IF(A180="","",Trabajadores!B178)</f>
        <v/>
      </c>
      <c r="C180" s="24" t="str">
        <f>IF(A180="","",Trabajadores!G178)</f>
        <v/>
      </c>
      <c r="D180" s="19" t="str">
        <f>IF($A180="","",SUMIFS('Registro de turnos'!$L$5:$L$504,'Registro de turnos'!$B$5:$B$504,$A180,'Registro de turnos'!$A$5:$A$504,"&gt;="&amp;$B$3,'Registro de turnos'!$A$5:$A$504,"&lt;="&amp;$B$4))</f>
        <v/>
      </c>
      <c r="E180" s="19" t="str">
        <f>IF($A180="","",SUMIFS('Registro de turnos'!$M$5:$M$504,'Registro de turnos'!$B$5:$B$504,$A180,'Registro de turnos'!$A$5:$A$504,"&gt;="&amp;$B$3,'Registro de turnos'!$A$5:$A$504,"&lt;="&amp;$B$4))</f>
        <v/>
      </c>
      <c r="F180" s="19" t="str">
        <f>IF($A180="","",SUMIFS('Registro de turnos'!$N$5:$N$504,'Registro de turnos'!$B$5:$B$504,$A180,'Registro de turnos'!$A$5:$A$504,"&gt;="&amp;$B$3,'Registro de turnos'!$A$5:$A$504,"&lt;="&amp;$B$4))</f>
        <v/>
      </c>
      <c r="G180" s="19" t="str">
        <f>IF($A180="","",SUMIFS('Registro de turnos'!$O$5:$O$504,'Registro de turnos'!$B$5:$B$504,$A180,'Registro de turnos'!$A$5:$A$504,"&gt;="&amp;$B$3,'Registro de turnos'!$A$5:$A$504,"&lt;="&amp;$B$4))</f>
        <v/>
      </c>
      <c r="H180" s="19" t="str">
        <f>IF($A180="","",SUMIFS('Registro de turnos'!$P$5:$P$504,'Registro de turnos'!$B$5:$B$504,$A180,'Registro de turnos'!$A$5:$A$504,"&gt;="&amp;$B$3,'Registro de turnos'!$A$5:$A$504,"&lt;="&amp;$B$4))</f>
        <v/>
      </c>
      <c r="I180" s="19" t="str">
        <f>IF($A180="","",SUMIFS('Registro de turnos'!$Q$5:$Q$504,'Registro de turnos'!$B$5:$B$504,$A180,'Registro de turnos'!$A$5:$A$504,"&gt;="&amp;$B$3,'Registro de turnos'!$A$5:$A$504,"&lt;="&amp;$B$4))</f>
        <v/>
      </c>
      <c r="J180" s="19" t="str">
        <f>IF($A180="","",SUMIFS('Registro de turnos'!$R$5:$R$504,'Registro de turnos'!$B$5:$B$504,$A180,'Registro de turnos'!$A$5:$A$504,"&gt;="&amp;$B$3,'Registro de turnos'!$A$5:$A$504,"&lt;="&amp;$B$4))</f>
        <v/>
      </c>
      <c r="K180" s="19" t="str">
        <f t="shared" si="30"/>
        <v/>
      </c>
      <c r="L180" s="17" t="str">
        <f>IF($A180="","",SUMIFS('Registro de turnos'!$T$5:$T$504,'Registro de turnos'!$B$5:$B$504,$A180,'Registro de turnos'!$A$5:$A$504,"&gt;="&amp;$B$3,'Registro de turnos'!$A$5:$A$504,"&lt;="&amp;$B$4))</f>
        <v/>
      </c>
      <c r="M180" s="17" t="str">
        <f t="shared" si="31"/>
        <v/>
      </c>
      <c r="N180" s="17" t="str">
        <f t="shared" si="32"/>
        <v/>
      </c>
      <c r="O180" s="17" t="str">
        <f t="shared" si="33"/>
        <v/>
      </c>
      <c r="P180" s="17" t="str">
        <f>IF($A180="","",ROUND(C180*D180*Parámetros!$B$8*0.0417,0))</f>
        <v/>
      </c>
      <c r="Q180" s="17" t="str">
        <f t="shared" si="34"/>
        <v/>
      </c>
      <c r="R180" s="17" t="str">
        <f t="shared" si="35"/>
        <v/>
      </c>
    </row>
    <row r="181" spans="1:18" x14ac:dyDescent="0.25">
      <c r="A181" s="22" t="str">
        <f>IF(Trabajadores!A179="","",Trabajadores!A179)</f>
        <v/>
      </c>
      <c r="B181" s="23" t="str">
        <f>IF(A181="","",Trabajadores!B179)</f>
        <v/>
      </c>
      <c r="C181" s="24" t="str">
        <f>IF(A181="","",Trabajadores!G179)</f>
        <v/>
      </c>
      <c r="D181" s="19" t="str">
        <f>IF($A181="","",SUMIFS('Registro de turnos'!$L$5:$L$504,'Registro de turnos'!$B$5:$B$504,$A181,'Registro de turnos'!$A$5:$A$504,"&gt;="&amp;$B$3,'Registro de turnos'!$A$5:$A$504,"&lt;="&amp;$B$4))</f>
        <v/>
      </c>
      <c r="E181" s="19" t="str">
        <f>IF($A181="","",SUMIFS('Registro de turnos'!$M$5:$M$504,'Registro de turnos'!$B$5:$B$504,$A181,'Registro de turnos'!$A$5:$A$504,"&gt;="&amp;$B$3,'Registro de turnos'!$A$5:$A$504,"&lt;="&amp;$B$4))</f>
        <v/>
      </c>
      <c r="F181" s="19" t="str">
        <f>IF($A181="","",SUMIFS('Registro de turnos'!$N$5:$N$504,'Registro de turnos'!$B$5:$B$504,$A181,'Registro de turnos'!$A$5:$A$504,"&gt;="&amp;$B$3,'Registro de turnos'!$A$5:$A$504,"&lt;="&amp;$B$4))</f>
        <v/>
      </c>
      <c r="G181" s="19" t="str">
        <f>IF($A181="","",SUMIFS('Registro de turnos'!$O$5:$O$504,'Registro de turnos'!$B$5:$B$504,$A181,'Registro de turnos'!$A$5:$A$504,"&gt;="&amp;$B$3,'Registro de turnos'!$A$5:$A$504,"&lt;="&amp;$B$4))</f>
        <v/>
      </c>
      <c r="H181" s="19" t="str">
        <f>IF($A181="","",SUMIFS('Registro de turnos'!$P$5:$P$504,'Registro de turnos'!$B$5:$B$504,$A181,'Registro de turnos'!$A$5:$A$504,"&gt;="&amp;$B$3,'Registro de turnos'!$A$5:$A$504,"&lt;="&amp;$B$4))</f>
        <v/>
      </c>
      <c r="I181" s="19" t="str">
        <f>IF($A181="","",SUMIFS('Registro de turnos'!$Q$5:$Q$504,'Registro de turnos'!$B$5:$B$504,$A181,'Registro de turnos'!$A$5:$A$504,"&gt;="&amp;$B$3,'Registro de turnos'!$A$5:$A$504,"&lt;="&amp;$B$4))</f>
        <v/>
      </c>
      <c r="J181" s="19" t="str">
        <f>IF($A181="","",SUMIFS('Registro de turnos'!$R$5:$R$504,'Registro de turnos'!$B$5:$B$504,$A181,'Registro de turnos'!$A$5:$A$504,"&gt;="&amp;$B$3,'Registro de turnos'!$A$5:$A$504,"&lt;="&amp;$B$4))</f>
        <v/>
      </c>
      <c r="K181" s="19" t="str">
        <f t="shared" si="30"/>
        <v/>
      </c>
      <c r="L181" s="17" t="str">
        <f>IF($A181="","",SUMIFS('Registro de turnos'!$T$5:$T$504,'Registro de turnos'!$B$5:$B$504,$A181,'Registro de turnos'!$A$5:$A$504,"&gt;="&amp;$B$3,'Registro de turnos'!$A$5:$A$504,"&lt;="&amp;$B$4))</f>
        <v/>
      </c>
      <c r="M181" s="17" t="str">
        <f t="shared" si="31"/>
        <v/>
      </c>
      <c r="N181" s="17" t="str">
        <f t="shared" si="32"/>
        <v/>
      </c>
      <c r="O181" s="17" t="str">
        <f t="shared" si="33"/>
        <v/>
      </c>
      <c r="P181" s="17" t="str">
        <f>IF($A181="","",ROUND(C181*D181*Parámetros!$B$8*0.0417,0))</f>
        <v/>
      </c>
      <c r="Q181" s="17" t="str">
        <f t="shared" si="34"/>
        <v/>
      </c>
      <c r="R181" s="17" t="str">
        <f t="shared" si="35"/>
        <v/>
      </c>
    </row>
    <row r="182" spans="1:18" x14ac:dyDescent="0.25">
      <c r="A182" s="22" t="str">
        <f>IF(Trabajadores!A180="","",Trabajadores!A180)</f>
        <v/>
      </c>
      <c r="B182" s="23" t="str">
        <f>IF(A182="","",Trabajadores!B180)</f>
        <v/>
      </c>
      <c r="C182" s="24" t="str">
        <f>IF(A182="","",Trabajadores!G180)</f>
        <v/>
      </c>
      <c r="D182" s="19" t="str">
        <f>IF($A182="","",SUMIFS('Registro de turnos'!$L$5:$L$504,'Registro de turnos'!$B$5:$B$504,$A182,'Registro de turnos'!$A$5:$A$504,"&gt;="&amp;$B$3,'Registro de turnos'!$A$5:$A$504,"&lt;="&amp;$B$4))</f>
        <v/>
      </c>
      <c r="E182" s="19" t="str">
        <f>IF($A182="","",SUMIFS('Registro de turnos'!$M$5:$M$504,'Registro de turnos'!$B$5:$B$504,$A182,'Registro de turnos'!$A$5:$A$504,"&gt;="&amp;$B$3,'Registro de turnos'!$A$5:$A$504,"&lt;="&amp;$B$4))</f>
        <v/>
      </c>
      <c r="F182" s="19" t="str">
        <f>IF($A182="","",SUMIFS('Registro de turnos'!$N$5:$N$504,'Registro de turnos'!$B$5:$B$504,$A182,'Registro de turnos'!$A$5:$A$504,"&gt;="&amp;$B$3,'Registro de turnos'!$A$5:$A$504,"&lt;="&amp;$B$4))</f>
        <v/>
      </c>
      <c r="G182" s="19" t="str">
        <f>IF($A182="","",SUMIFS('Registro de turnos'!$O$5:$O$504,'Registro de turnos'!$B$5:$B$504,$A182,'Registro de turnos'!$A$5:$A$504,"&gt;="&amp;$B$3,'Registro de turnos'!$A$5:$A$504,"&lt;="&amp;$B$4))</f>
        <v/>
      </c>
      <c r="H182" s="19" t="str">
        <f>IF($A182="","",SUMIFS('Registro de turnos'!$P$5:$P$504,'Registro de turnos'!$B$5:$B$504,$A182,'Registro de turnos'!$A$5:$A$504,"&gt;="&amp;$B$3,'Registro de turnos'!$A$5:$A$504,"&lt;="&amp;$B$4))</f>
        <v/>
      </c>
      <c r="I182" s="19" t="str">
        <f>IF($A182="","",SUMIFS('Registro de turnos'!$Q$5:$Q$504,'Registro de turnos'!$B$5:$B$504,$A182,'Registro de turnos'!$A$5:$A$504,"&gt;="&amp;$B$3,'Registro de turnos'!$A$5:$A$504,"&lt;="&amp;$B$4))</f>
        <v/>
      </c>
      <c r="J182" s="19" t="str">
        <f>IF($A182="","",SUMIFS('Registro de turnos'!$R$5:$R$504,'Registro de turnos'!$B$5:$B$504,$A182,'Registro de turnos'!$A$5:$A$504,"&gt;="&amp;$B$3,'Registro de turnos'!$A$5:$A$504,"&lt;="&amp;$B$4))</f>
        <v/>
      </c>
      <c r="K182" s="19" t="str">
        <f t="shared" si="30"/>
        <v/>
      </c>
      <c r="L182" s="17" t="str">
        <f>IF($A182="","",SUMIFS('Registro de turnos'!$T$5:$T$504,'Registro de turnos'!$B$5:$B$504,$A182,'Registro de turnos'!$A$5:$A$504,"&gt;="&amp;$B$3,'Registro de turnos'!$A$5:$A$504,"&lt;="&amp;$B$4))</f>
        <v/>
      </c>
      <c r="M182" s="17" t="str">
        <f t="shared" si="31"/>
        <v/>
      </c>
      <c r="N182" s="17" t="str">
        <f t="shared" si="32"/>
        <v/>
      </c>
      <c r="O182" s="17" t="str">
        <f t="shared" si="33"/>
        <v/>
      </c>
      <c r="P182" s="17" t="str">
        <f>IF($A182="","",ROUND(C182*D182*Parámetros!$B$8*0.0417,0))</f>
        <v/>
      </c>
      <c r="Q182" s="17" t="str">
        <f t="shared" si="34"/>
        <v/>
      </c>
      <c r="R182" s="17" t="str">
        <f t="shared" si="35"/>
        <v/>
      </c>
    </row>
    <row r="183" spans="1:18" x14ac:dyDescent="0.25">
      <c r="A183" s="22" t="str">
        <f>IF(Trabajadores!A181="","",Trabajadores!A181)</f>
        <v/>
      </c>
      <c r="B183" s="23" t="str">
        <f>IF(A183="","",Trabajadores!B181)</f>
        <v/>
      </c>
      <c r="C183" s="24" t="str">
        <f>IF(A183="","",Trabajadores!G181)</f>
        <v/>
      </c>
      <c r="D183" s="19" t="str">
        <f>IF($A183="","",SUMIFS('Registro de turnos'!$L$5:$L$504,'Registro de turnos'!$B$5:$B$504,$A183,'Registro de turnos'!$A$5:$A$504,"&gt;="&amp;$B$3,'Registro de turnos'!$A$5:$A$504,"&lt;="&amp;$B$4))</f>
        <v/>
      </c>
      <c r="E183" s="19" t="str">
        <f>IF($A183="","",SUMIFS('Registro de turnos'!$M$5:$M$504,'Registro de turnos'!$B$5:$B$504,$A183,'Registro de turnos'!$A$5:$A$504,"&gt;="&amp;$B$3,'Registro de turnos'!$A$5:$A$504,"&lt;="&amp;$B$4))</f>
        <v/>
      </c>
      <c r="F183" s="19" t="str">
        <f>IF($A183="","",SUMIFS('Registro de turnos'!$N$5:$N$504,'Registro de turnos'!$B$5:$B$504,$A183,'Registro de turnos'!$A$5:$A$504,"&gt;="&amp;$B$3,'Registro de turnos'!$A$5:$A$504,"&lt;="&amp;$B$4))</f>
        <v/>
      </c>
      <c r="G183" s="19" t="str">
        <f>IF($A183="","",SUMIFS('Registro de turnos'!$O$5:$O$504,'Registro de turnos'!$B$5:$B$504,$A183,'Registro de turnos'!$A$5:$A$504,"&gt;="&amp;$B$3,'Registro de turnos'!$A$5:$A$504,"&lt;="&amp;$B$4))</f>
        <v/>
      </c>
      <c r="H183" s="19" t="str">
        <f>IF($A183="","",SUMIFS('Registro de turnos'!$P$5:$P$504,'Registro de turnos'!$B$5:$B$504,$A183,'Registro de turnos'!$A$5:$A$504,"&gt;="&amp;$B$3,'Registro de turnos'!$A$5:$A$504,"&lt;="&amp;$B$4))</f>
        <v/>
      </c>
      <c r="I183" s="19" t="str">
        <f>IF($A183="","",SUMIFS('Registro de turnos'!$Q$5:$Q$504,'Registro de turnos'!$B$5:$B$504,$A183,'Registro de turnos'!$A$5:$A$504,"&gt;="&amp;$B$3,'Registro de turnos'!$A$5:$A$504,"&lt;="&amp;$B$4))</f>
        <v/>
      </c>
      <c r="J183" s="19" t="str">
        <f>IF($A183="","",SUMIFS('Registro de turnos'!$R$5:$R$504,'Registro de turnos'!$B$5:$B$504,$A183,'Registro de turnos'!$A$5:$A$504,"&gt;="&amp;$B$3,'Registro de turnos'!$A$5:$A$504,"&lt;="&amp;$B$4))</f>
        <v/>
      </c>
      <c r="K183" s="19" t="str">
        <f t="shared" si="30"/>
        <v/>
      </c>
      <c r="L183" s="17" t="str">
        <f>IF($A183="","",SUMIFS('Registro de turnos'!$T$5:$T$504,'Registro de turnos'!$B$5:$B$504,$A183,'Registro de turnos'!$A$5:$A$504,"&gt;="&amp;$B$3,'Registro de turnos'!$A$5:$A$504,"&lt;="&amp;$B$4))</f>
        <v/>
      </c>
      <c r="M183" s="17" t="str">
        <f t="shared" si="31"/>
        <v/>
      </c>
      <c r="N183" s="17" t="str">
        <f t="shared" si="32"/>
        <v/>
      </c>
      <c r="O183" s="17" t="str">
        <f t="shared" si="33"/>
        <v/>
      </c>
      <c r="P183" s="17" t="str">
        <f>IF($A183="","",ROUND(C183*D183*Parámetros!$B$8*0.0417,0))</f>
        <v/>
      </c>
      <c r="Q183" s="17" t="str">
        <f t="shared" si="34"/>
        <v/>
      </c>
      <c r="R183" s="17" t="str">
        <f t="shared" si="35"/>
        <v/>
      </c>
    </row>
    <row r="184" spans="1:18" x14ac:dyDescent="0.25">
      <c r="A184" s="22" t="str">
        <f>IF(Trabajadores!A182="","",Trabajadores!A182)</f>
        <v/>
      </c>
      <c r="B184" s="23" t="str">
        <f>IF(A184="","",Trabajadores!B182)</f>
        <v/>
      </c>
      <c r="C184" s="24" t="str">
        <f>IF(A184="","",Trabajadores!G182)</f>
        <v/>
      </c>
      <c r="D184" s="19" t="str">
        <f>IF($A184="","",SUMIFS('Registro de turnos'!$L$5:$L$504,'Registro de turnos'!$B$5:$B$504,$A184,'Registro de turnos'!$A$5:$A$504,"&gt;="&amp;$B$3,'Registro de turnos'!$A$5:$A$504,"&lt;="&amp;$B$4))</f>
        <v/>
      </c>
      <c r="E184" s="19" t="str">
        <f>IF($A184="","",SUMIFS('Registro de turnos'!$M$5:$M$504,'Registro de turnos'!$B$5:$B$504,$A184,'Registro de turnos'!$A$5:$A$504,"&gt;="&amp;$B$3,'Registro de turnos'!$A$5:$A$504,"&lt;="&amp;$B$4))</f>
        <v/>
      </c>
      <c r="F184" s="19" t="str">
        <f>IF($A184="","",SUMIFS('Registro de turnos'!$N$5:$N$504,'Registro de turnos'!$B$5:$B$504,$A184,'Registro de turnos'!$A$5:$A$504,"&gt;="&amp;$B$3,'Registro de turnos'!$A$5:$A$504,"&lt;="&amp;$B$4))</f>
        <v/>
      </c>
      <c r="G184" s="19" t="str">
        <f>IF($A184="","",SUMIFS('Registro de turnos'!$O$5:$O$504,'Registro de turnos'!$B$5:$B$504,$A184,'Registro de turnos'!$A$5:$A$504,"&gt;="&amp;$B$3,'Registro de turnos'!$A$5:$A$504,"&lt;="&amp;$B$4))</f>
        <v/>
      </c>
      <c r="H184" s="19" t="str">
        <f>IF($A184="","",SUMIFS('Registro de turnos'!$P$5:$P$504,'Registro de turnos'!$B$5:$B$504,$A184,'Registro de turnos'!$A$5:$A$504,"&gt;="&amp;$B$3,'Registro de turnos'!$A$5:$A$504,"&lt;="&amp;$B$4))</f>
        <v/>
      </c>
      <c r="I184" s="19" t="str">
        <f>IF($A184="","",SUMIFS('Registro de turnos'!$Q$5:$Q$504,'Registro de turnos'!$B$5:$B$504,$A184,'Registro de turnos'!$A$5:$A$504,"&gt;="&amp;$B$3,'Registro de turnos'!$A$5:$A$504,"&lt;="&amp;$B$4))</f>
        <v/>
      </c>
      <c r="J184" s="19" t="str">
        <f>IF($A184="","",SUMIFS('Registro de turnos'!$R$5:$R$504,'Registro de turnos'!$B$5:$B$504,$A184,'Registro de turnos'!$A$5:$A$504,"&gt;="&amp;$B$3,'Registro de turnos'!$A$5:$A$504,"&lt;="&amp;$B$4))</f>
        <v/>
      </c>
      <c r="K184" s="19" t="str">
        <f t="shared" si="30"/>
        <v/>
      </c>
      <c r="L184" s="17" t="str">
        <f>IF($A184="","",SUMIFS('Registro de turnos'!$T$5:$T$504,'Registro de turnos'!$B$5:$B$504,$A184,'Registro de turnos'!$A$5:$A$504,"&gt;="&amp;$B$3,'Registro de turnos'!$A$5:$A$504,"&lt;="&amp;$B$4))</f>
        <v/>
      </c>
      <c r="M184" s="17" t="str">
        <f t="shared" si="31"/>
        <v/>
      </c>
      <c r="N184" s="17" t="str">
        <f t="shared" si="32"/>
        <v/>
      </c>
      <c r="O184" s="17" t="str">
        <f t="shared" si="33"/>
        <v/>
      </c>
      <c r="P184" s="17" t="str">
        <f>IF($A184="","",ROUND(C184*D184*Parámetros!$B$8*0.0417,0))</f>
        <v/>
      </c>
      <c r="Q184" s="17" t="str">
        <f t="shared" si="34"/>
        <v/>
      </c>
      <c r="R184" s="17" t="str">
        <f t="shared" si="35"/>
        <v/>
      </c>
    </row>
    <row r="185" spans="1:18" x14ac:dyDescent="0.25">
      <c r="A185" s="22" t="str">
        <f>IF(Trabajadores!A183="","",Trabajadores!A183)</f>
        <v/>
      </c>
      <c r="B185" s="23" t="str">
        <f>IF(A185="","",Trabajadores!B183)</f>
        <v/>
      </c>
      <c r="C185" s="24" t="str">
        <f>IF(A185="","",Trabajadores!G183)</f>
        <v/>
      </c>
      <c r="D185" s="19" t="str">
        <f>IF($A185="","",SUMIFS('Registro de turnos'!$L$5:$L$504,'Registro de turnos'!$B$5:$B$504,$A185,'Registro de turnos'!$A$5:$A$504,"&gt;="&amp;$B$3,'Registro de turnos'!$A$5:$A$504,"&lt;="&amp;$B$4))</f>
        <v/>
      </c>
      <c r="E185" s="19" t="str">
        <f>IF($A185="","",SUMIFS('Registro de turnos'!$M$5:$M$504,'Registro de turnos'!$B$5:$B$504,$A185,'Registro de turnos'!$A$5:$A$504,"&gt;="&amp;$B$3,'Registro de turnos'!$A$5:$A$504,"&lt;="&amp;$B$4))</f>
        <v/>
      </c>
      <c r="F185" s="19" t="str">
        <f>IF($A185="","",SUMIFS('Registro de turnos'!$N$5:$N$504,'Registro de turnos'!$B$5:$B$504,$A185,'Registro de turnos'!$A$5:$A$504,"&gt;="&amp;$B$3,'Registro de turnos'!$A$5:$A$504,"&lt;="&amp;$B$4))</f>
        <v/>
      </c>
      <c r="G185" s="19" t="str">
        <f>IF($A185="","",SUMIFS('Registro de turnos'!$O$5:$O$504,'Registro de turnos'!$B$5:$B$504,$A185,'Registro de turnos'!$A$5:$A$504,"&gt;="&amp;$B$3,'Registro de turnos'!$A$5:$A$504,"&lt;="&amp;$B$4))</f>
        <v/>
      </c>
      <c r="H185" s="19" t="str">
        <f>IF($A185="","",SUMIFS('Registro de turnos'!$P$5:$P$504,'Registro de turnos'!$B$5:$B$504,$A185,'Registro de turnos'!$A$5:$A$504,"&gt;="&amp;$B$3,'Registro de turnos'!$A$5:$A$504,"&lt;="&amp;$B$4))</f>
        <v/>
      </c>
      <c r="I185" s="19" t="str">
        <f>IF($A185="","",SUMIFS('Registro de turnos'!$Q$5:$Q$504,'Registro de turnos'!$B$5:$B$504,$A185,'Registro de turnos'!$A$5:$A$504,"&gt;="&amp;$B$3,'Registro de turnos'!$A$5:$A$504,"&lt;="&amp;$B$4))</f>
        <v/>
      </c>
      <c r="J185" s="19" t="str">
        <f>IF($A185="","",SUMIFS('Registro de turnos'!$R$5:$R$504,'Registro de turnos'!$B$5:$B$504,$A185,'Registro de turnos'!$A$5:$A$504,"&gt;="&amp;$B$3,'Registro de turnos'!$A$5:$A$504,"&lt;="&amp;$B$4))</f>
        <v/>
      </c>
      <c r="K185" s="19" t="str">
        <f t="shared" si="30"/>
        <v/>
      </c>
      <c r="L185" s="17" t="str">
        <f>IF($A185="","",SUMIFS('Registro de turnos'!$T$5:$T$504,'Registro de turnos'!$B$5:$B$504,$A185,'Registro de turnos'!$A$5:$A$504,"&gt;="&amp;$B$3,'Registro de turnos'!$A$5:$A$504,"&lt;="&amp;$B$4))</f>
        <v/>
      </c>
      <c r="M185" s="17" t="str">
        <f t="shared" si="31"/>
        <v/>
      </c>
      <c r="N185" s="17" t="str">
        <f t="shared" si="32"/>
        <v/>
      </c>
      <c r="O185" s="17" t="str">
        <f t="shared" si="33"/>
        <v/>
      </c>
      <c r="P185" s="17" t="str">
        <f>IF($A185="","",ROUND(C185*D185*Parámetros!$B$8*0.0417,0))</f>
        <v/>
      </c>
      <c r="Q185" s="17" t="str">
        <f t="shared" si="34"/>
        <v/>
      </c>
      <c r="R185" s="17" t="str">
        <f t="shared" si="35"/>
        <v/>
      </c>
    </row>
    <row r="186" spans="1:18" x14ac:dyDescent="0.25">
      <c r="A186" s="22" t="str">
        <f>IF(Trabajadores!A184="","",Trabajadores!A184)</f>
        <v/>
      </c>
      <c r="B186" s="23" t="str">
        <f>IF(A186="","",Trabajadores!B184)</f>
        <v/>
      </c>
      <c r="C186" s="24" t="str">
        <f>IF(A186="","",Trabajadores!G184)</f>
        <v/>
      </c>
      <c r="D186" s="19" t="str">
        <f>IF($A186="","",SUMIFS('Registro de turnos'!$L$5:$L$504,'Registro de turnos'!$B$5:$B$504,$A186,'Registro de turnos'!$A$5:$A$504,"&gt;="&amp;$B$3,'Registro de turnos'!$A$5:$A$504,"&lt;="&amp;$B$4))</f>
        <v/>
      </c>
      <c r="E186" s="19" t="str">
        <f>IF($A186="","",SUMIFS('Registro de turnos'!$M$5:$M$504,'Registro de turnos'!$B$5:$B$504,$A186,'Registro de turnos'!$A$5:$A$504,"&gt;="&amp;$B$3,'Registro de turnos'!$A$5:$A$504,"&lt;="&amp;$B$4))</f>
        <v/>
      </c>
      <c r="F186" s="19" t="str">
        <f>IF($A186="","",SUMIFS('Registro de turnos'!$N$5:$N$504,'Registro de turnos'!$B$5:$B$504,$A186,'Registro de turnos'!$A$5:$A$504,"&gt;="&amp;$B$3,'Registro de turnos'!$A$5:$A$504,"&lt;="&amp;$B$4))</f>
        <v/>
      </c>
      <c r="G186" s="19" t="str">
        <f>IF($A186="","",SUMIFS('Registro de turnos'!$O$5:$O$504,'Registro de turnos'!$B$5:$B$504,$A186,'Registro de turnos'!$A$5:$A$504,"&gt;="&amp;$B$3,'Registro de turnos'!$A$5:$A$504,"&lt;="&amp;$B$4))</f>
        <v/>
      </c>
      <c r="H186" s="19" t="str">
        <f>IF($A186="","",SUMIFS('Registro de turnos'!$P$5:$P$504,'Registro de turnos'!$B$5:$B$504,$A186,'Registro de turnos'!$A$5:$A$504,"&gt;="&amp;$B$3,'Registro de turnos'!$A$5:$A$504,"&lt;="&amp;$B$4))</f>
        <v/>
      </c>
      <c r="I186" s="19" t="str">
        <f>IF($A186="","",SUMIFS('Registro de turnos'!$Q$5:$Q$504,'Registro de turnos'!$B$5:$B$504,$A186,'Registro de turnos'!$A$5:$A$504,"&gt;="&amp;$B$3,'Registro de turnos'!$A$5:$A$504,"&lt;="&amp;$B$4))</f>
        <v/>
      </c>
      <c r="J186" s="19" t="str">
        <f>IF($A186="","",SUMIFS('Registro de turnos'!$R$5:$R$504,'Registro de turnos'!$B$5:$B$504,$A186,'Registro de turnos'!$A$5:$A$504,"&gt;="&amp;$B$3,'Registro de turnos'!$A$5:$A$504,"&lt;="&amp;$B$4))</f>
        <v/>
      </c>
      <c r="K186" s="19" t="str">
        <f t="shared" si="30"/>
        <v/>
      </c>
      <c r="L186" s="17" t="str">
        <f>IF($A186="","",SUMIFS('Registro de turnos'!$T$5:$T$504,'Registro de turnos'!$B$5:$B$504,$A186,'Registro de turnos'!$A$5:$A$504,"&gt;="&amp;$B$3,'Registro de turnos'!$A$5:$A$504,"&lt;="&amp;$B$4))</f>
        <v/>
      </c>
      <c r="M186" s="17" t="str">
        <f t="shared" si="31"/>
        <v/>
      </c>
      <c r="N186" s="17" t="str">
        <f t="shared" si="32"/>
        <v/>
      </c>
      <c r="O186" s="17" t="str">
        <f t="shared" si="33"/>
        <v/>
      </c>
      <c r="P186" s="17" t="str">
        <f>IF($A186="","",ROUND(C186*D186*Parámetros!$B$8*0.0417,0))</f>
        <v/>
      </c>
      <c r="Q186" s="17" t="str">
        <f t="shared" si="34"/>
        <v/>
      </c>
      <c r="R186" s="17" t="str">
        <f t="shared" si="35"/>
        <v/>
      </c>
    </row>
    <row r="187" spans="1:18" x14ac:dyDescent="0.25">
      <c r="A187" s="22" t="str">
        <f>IF(Trabajadores!A185="","",Trabajadores!A185)</f>
        <v/>
      </c>
      <c r="B187" s="23" t="str">
        <f>IF(A187="","",Trabajadores!B185)</f>
        <v/>
      </c>
      <c r="C187" s="24" t="str">
        <f>IF(A187="","",Trabajadores!G185)</f>
        <v/>
      </c>
      <c r="D187" s="19" t="str">
        <f>IF($A187="","",SUMIFS('Registro de turnos'!$L$5:$L$504,'Registro de turnos'!$B$5:$B$504,$A187,'Registro de turnos'!$A$5:$A$504,"&gt;="&amp;$B$3,'Registro de turnos'!$A$5:$A$504,"&lt;="&amp;$B$4))</f>
        <v/>
      </c>
      <c r="E187" s="19" t="str">
        <f>IF($A187="","",SUMIFS('Registro de turnos'!$M$5:$M$504,'Registro de turnos'!$B$5:$B$504,$A187,'Registro de turnos'!$A$5:$A$504,"&gt;="&amp;$B$3,'Registro de turnos'!$A$5:$A$504,"&lt;="&amp;$B$4))</f>
        <v/>
      </c>
      <c r="F187" s="19" t="str">
        <f>IF($A187="","",SUMIFS('Registro de turnos'!$N$5:$N$504,'Registro de turnos'!$B$5:$B$504,$A187,'Registro de turnos'!$A$5:$A$504,"&gt;="&amp;$B$3,'Registro de turnos'!$A$5:$A$504,"&lt;="&amp;$B$4))</f>
        <v/>
      </c>
      <c r="G187" s="19" t="str">
        <f>IF($A187="","",SUMIFS('Registro de turnos'!$O$5:$O$504,'Registro de turnos'!$B$5:$B$504,$A187,'Registro de turnos'!$A$5:$A$504,"&gt;="&amp;$B$3,'Registro de turnos'!$A$5:$A$504,"&lt;="&amp;$B$4))</f>
        <v/>
      </c>
      <c r="H187" s="19" t="str">
        <f>IF($A187="","",SUMIFS('Registro de turnos'!$P$5:$P$504,'Registro de turnos'!$B$5:$B$504,$A187,'Registro de turnos'!$A$5:$A$504,"&gt;="&amp;$B$3,'Registro de turnos'!$A$5:$A$504,"&lt;="&amp;$B$4))</f>
        <v/>
      </c>
      <c r="I187" s="19" t="str">
        <f>IF($A187="","",SUMIFS('Registro de turnos'!$Q$5:$Q$504,'Registro de turnos'!$B$5:$B$504,$A187,'Registro de turnos'!$A$5:$A$504,"&gt;="&amp;$B$3,'Registro de turnos'!$A$5:$A$504,"&lt;="&amp;$B$4))</f>
        <v/>
      </c>
      <c r="J187" s="19" t="str">
        <f>IF($A187="","",SUMIFS('Registro de turnos'!$R$5:$R$504,'Registro de turnos'!$B$5:$B$504,$A187,'Registro de turnos'!$A$5:$A$504,"&gt;="&amp;$B$3,'Registro de turnos'!$A$5:$A$504,"&lt;="&amp;$B$4))</f>
        <v/>
      </c>
      <c r="K187" s="19" t="str">
        <f t="shared" si="30"/>
        <v/>
      </c>
      <c r="L187" s="17" t="str">
        <f>IF($A187="","",SUMIFS('Registro de turnos'!$T$5:$T$504,'Registro de turnos'!$B$5:$B$504,$A187,'Registro de turnos'!$A$5:$A$504,"&gt;="&amp;$B$3,'Registro de turnos'!$A$5:$A$504,"&lt;="&amp;$B$4))</f>
        <v/>
      </c>
      <c r="M187" s="17" t="str">
        <f t="shared" si="31"/>
        <v/>
      </c>
      <c r="N187" s="17" t="str">
        <f t="shared" si="32"/>
        <v/>
      </c>
      <c r="O187" s="17" t="str">
        <f t="shared" si="33"/>
        <v/>
      </c>
      <c r="P187" s="17" t="str">
        <f>IF($A187="","",ROUND(C187*D187*Parámetros!$B$8*0.0417,0))</f>
        <v/>
      </c>
      <c r="Q187" s="17" t="str">
        <f t="shared" si="34"/>
        <v/>
      </c>
      <c r="R187" s="17" t="str">
        <f t="shared" si="35"/>
        <v/>
      </c>
    </row>
    <row r="188" spans="1:18" x14ac:dyDescent="0.25">
      <c r="A188" s="22" t="str">
        <f>IF(Trabajadores!A186="","",Trabajadores!A186)</f>
        <v/>
      </c>
      <c r="B188" s="23" t="str">
        <f>IF(A188="","",Trabajadores!B186)</f>
        <v/>
      </c>
      <c r="C188" s="24" t="str">
        <f>IF(A188="","",Trabajadores!G186)</f>
        <v/>
      </c>
      <c r="D188" s="19" t="str">
        <f>IF($A188="","",SUMIFS('Registro de turnos'!$L$5:$L$504,'Registro de turnos'!$B$5:$B$504,$A188,'Registro de turnos'!$A$5:$A$504,"&gt;="&amp;$B$3,'Registro de turnos'!$A$5:$A$504,"&lt;="&amp;$B$4))</f>
        <v/>
      </c>
      <c r="E188" s="19" t="str">
        <f>IF($A188="","",SUMIFS('Registro de turnos'!$M$5:$M$504,'Registro de turnos'!$B$5:$B$504,$A188,'Registro de turnos'!$A$5:$A$504,"&gt;="&amp;$B$3,'Registro de turnos'!$A$5:$A$504,"&lt;="&amp;$B$4))</f>
        <v/>
      </c>
      <c r="F188" s="19" t="str">
        <f>IF($A188="","",SUMIFS('Registro de turnos'!$N$5:$N$504,'Registro de turnos'!$B$5:$B$504,$A188,'Registro de turnos'!$A$5:$A$504,"&gt;="&amp;$B$3,'Registro de turnos'!$A$5:$A$504,"&lt;="&amp;$B$4))</f>
        <v/>
      </c>
      <c r="G188" s="19" t="str">
        <f>IF($A188="","",SUMIFS('Registro de turnos'!$O$5:$O$504,'Registro de turnos'!$B$5:$B$504,$A188,'Registro de turnos'!$A$5:$A$504,"&gt;="&amp;$B$3,'Registro de turnos'!$A$5:$A$504,"&lt;="&amp;$B$4))</f>
        <v/>
      </c>
      <c r="H188" s="19" t="str">
        <f>IF($A188="","",SUMIFS('Registro de turnos'!$P$5:$P$504,'Registro de turnos'!$B$5:$B$504,$A188,'Registro de turnos'!$A$5:$A$504,"&gt;="&amp;$B$3,'Registro de turnos'!$A$5:$A$504,"&lt;="&amp;$B$4))</f>
        <v/>
      </c>
      <c r="I188" s="19" t="str">
        <f>IF($A188="","",SUMIFS('Registro de turnos'!$Q$5:$Q$504,'Registro de turnos'!$B$5:$B$504,$A188,'Registro de turnos'!$A$5:$A$504,"&gt;="&amp;$B$3,'Registro de turnos'!$A$5:$A$504,"&lt;="&amp;$B$4))</f>
        <v/>
      </c>
      <c r="J188" s="19" t="str">
        <f>IF($A188="","",SUMIFS('Registro de turnos'!$R$5:$R$504,'Registro de turnos'!$B$5:$B$504,$A188,'Registro de turnos'!$A$5:$A$504,"&gt;="&amp;$B$3,'Registro de turnos'!$A$5:$A$504,"&lt;="&amp;$B$4))</f>
        <v/>
      </c>
      <c r="K188" s="19" t="str">
        <f t="shared" si="30"/>
        <v/>
      </c>
      <c r="L188" s="17" t="str">
        <f>IF($A188="","",SUMIFS('Registro de turnos'!$T$5:$T$504,'Registro de turnos'!$B$5:$B$504,$A188,'Registro de turnos'!$A$5:$A$504,"&gt;="&amp;$B$3,'Registro de turnos'!$A$5:$A$504,"&lt;="&amp;$B$4))</f>
        <v/>
      </c>
      <c r="M188" s="17" t="str">
        <f t="shared" si="31"/>
        <v/>
      </c>
      <c r="N188" s="17" t="str">
        <f t="shared" si="32"/>
        <v/>
      </c>
      <c r="O188" s="17" t="str">
        <f t="shared" si="33"/>
        <v/>
      </c>
      <c r="P188" s="17" t="str">
        <f>IF($A188="","",ROUND(C188*D188*Parámetros!$B$8*0.0417,0))</f>
        <v/>
      </c>
      <c r="Q188" s="17" t="str">
        <f t="shared" si="34"/>
        <v/>
      </c>
      <c r="R188" s="17" t="str">
        <f t="shared" si="35"/>
        <v/>
      </c>
    </row>
    <row r="189" spans="1:18" x14ac:dyDescent="0.25">
      <c r="A189" s="22" t="str">
        <f>IF(Trabajadores!A187="","",Trabajadores!A187)</f>
        <v/>
      </c>
      <c r="B189" s="23" t="str">
        <f>IF(A189="","",Trabajadores!B187)</f>
        <v/>
      </c>
      <c r="C189" s="24" t="str">
        <f>IF(A189="","",Trabajadores!G187)</f>
        <v/>
      </c>
      <c r="D189" s="19" t="str">
        <f>IF($A189="","",SUMIFS('Registro de turnos'!$L$5:$L$504,'Registro de turnos'!$B$5:$B$504,$A189,'Registro de turnos'!$A$5:$A$504,"&gt;="&amp;$B$3,'Registro de turnos'!$A$5:$A$504,"&lt;="&amp;$B$4))</f>
        <v/>
      </c>
      <c r="E189" s="19" t="str">
        <f>IF($A189="","",SUMIFS('Registro de turnos'!$M$5:$M$504,'Registro de turnos'!$B$5:$B$504,$A189,'Registro de turnos'!$A$5:$A$504,"&gt;="&amp;$B$3,'Registro de turnos'!$A$5:$A$504,"&lt;="&amp;$B$4))</f>
        <v/>
      </c>
      <c r="F189" s="19" t="str">
        <f>IF($A189="","",SUMIFS('Registro de turnos'!$N$5:$N$504,'Registro de turnos'!$B$5:$B$504,$A189,'Registro de turnos'!$A$5:$A$504,"&gt;="&amp;$B$3,'Registro de turnos'!$A$5:$A$504,"&lt;="&amp;$B$4))</f>
        <v/>
      </c>
      <c r="G189" s="19" t="str">
        <f>IF($A189="","",SUMIFS('Registro de turnos'!$O$5:$O$504,'Registro de turnos'!$B$5:$B$504,$A189,'Registro de turnos'!$A$5:$A$504,"&gt;="&amp;$B$3,'Registro de turnos'!$A$5:$A$504,"&lt;="&amp;$B$4))</f>
        <v/>
      </c>
      <c r="H189" s="19" t="str">
        <f>IF($A189="","",SUMIFS('Registro de turnos'!$P$5:$P$504,'Registro de turnos'!$B$5:$B$504,$A189,'Registro de turnos'!$A$5:$A$504,"&gt;="&amp;$B$3,'Registro de turnos'!$A$5:$A$504,"&lt;="&amp;$B$4))</f>
        <v/>
      </c>
      <c r="I189" s="19" t="str">
        <f>IF($A189="","",SUMIFS('Registro de turnos'!$Q$5:$Q$504,'Registro de turnos'!$B$5:$B$504,$A189,'Registro de turnos'!$A$5:$A$504,"&gt;="&amp;$B$3,'Registro de turnos'!$A$5:$A$504,"&lt;="&amp;$B$4))</f>
        <v/>
      </c>
      <c r="J189" s="19" t="str">
        <f>IF($A189="","",SUMIFS('Registro de turnos'!$R$5:$R$504,'Registro de turnos'!$B$5:$B$504,$A189,'Registro de turnos'!$A$5:$A$504,"&gt;="&amp;$B$3,'Registro de turnos'!$A$5:$A$504,"&lt;="&amp;$B$4))</f>
        <v/>
      </c>
      <c r="K189" s="19" t="str">
        <f t="shared" si="30"/>
        <v/>
      </c>
      <c r="L189" s="17" t="str">
        <f>IF($A189="","",SUMIFS('Registro de turnos'!$T$5:$T$504,'Registro de turnos'!$B$5:$B$504,$A189,'Registro de turnos'!$A$5:$A$504,"&gt;="&amp;$B$3,'Registro de turnos'!$A$5:$A$504,"&lt;="&amp;$B$4))</f>
        <v/>
      </c>
      <c r="M189" s="17" t="str">
        <f t="shared" si="31"/>
        <v/>
      </c>
      <c r="N189" s="17" t="str">
        <f t="shared" si="32"/>
        <v/>
      </c>
      <c r="O189" s="17" t="str">
        <f t="shared" si="33"/>
        <v/>
      </c>
      <c r="P189" s="17" t="str">
        <f>IF($A189="","",ROUND(C189*D189*Parámetros!$B$8*0.0417,0))</f>
        <v/>
      </c>
      <c r="Q189" s="17" t="str">
        <f t="shared" si="34"/>
        <v/>
      </c>
      <c r="R189" s="17" t="str">
        <f t="shared" si="35"/>
        <v/>
      </c>
    </row>
    <row r="190" spans="1:18" x14ac:dyDescent="0.25">
      <c r="A190" s="22" t="str">
        <f>IF(Trabajadores!A188="","",Trabajadores!A188)</f>
        <v/>
      </c>
      <c r="B190" s="23" t="str">
        <f>IF(A190="","",Trabajadores!B188)</f>
        <v/>
      </c>
      <c r="C190" s="24" t="str">
        <f>IF(A190="","",Trabajadores!G188)</f>
        <v/>
      </c>
      <c r="D190" s="19" t="str">
        <f>IF($A190="","",SUMIFS('Registro de turnos'!$L$5:$L$504,'Registro de turnos'!$B$5:$B$504,$A190,'Registro de turnos'!$A$5:$A$504,"&gt;="&amp;$B$3,'Registro de turnos'!$A$5:$A$504,"&lt;="&amp;$B$4))</f>
        <v/>
      </c>
      <c r="E190" s="19" t="str">
        <f>IF($A190="","",SUMIFS('Registro de turnos'!$M$5:$M$504,'Registro de turnos'!$B$5:$B$504,$A190,'Registro de turnos'!$A$5:$A$504,"&gt;="&amp;$B$3,'Registro de turnos'!$A$5:$A$504,"&lt;="&amp;$B$4))</f>
        <v/>
      </c>
      <c r="F190" s="19" t="str">
        <f>IF($A190="","",SUMIFS('Registro de turnos'!$N$5:$N$504,'Registro de turnos'!$B$5:$B$504,$A190,'Registro de turnos'!$A$5:$A$504,"&gt;="&amp;$B$3,'Registro de turnos'!$A$5:$A$504,"&lt;="&amp;$B$4))</f>
        <v/>
      </c>
      <c r="G190" s="19" t="str">
        <f>IF($A190="","",SUMIFS('Registro de turnos'!$O$5:$O$504,'Registro de turnos'!$B$5:$B$504,$A190,'Registro de turnos'!$A$5:$A$504,"&gt;="&amp;$B$3,'Registro de turnos'!$A$5:$A$504,"&lt;="&amp;$B$4))</f>
        <v/>
      </c>
      <c r="H190" s="19" t="str">
        <f>IF($A190="","",SUMIFS('Registro de turnos'!$P$5:$P$504,'Registro de turnos'!$B$5:$B$504,$A190,'Registro de turnos'!$A$5:$A$504,"&gt;="&amp;$B$3,'Registro de turnos'!$A$5:$A$504,"&lt;="&amp;$B$4))</f>
        <v/>
      </c>
      <c r="I190" s="19" t="str">
        <f>IF($A190="","",SUMIFS('Registro de turnos'!$Q$5:$Q$504,'Registro de turnos'!$B$5:$B$504,$A190,'Registro de turnos'!$A$5:$A$504,"&gt;="&amp;$B$3,'Registro de turnos'!$A$5:$A$504,"&lt;="&amp;$B$4))</f>
        <v/>
      </c>
      <c r="J190" s="19" t="str">
        <f>IF($A190="","",SUMIFS('Registro de turnos'!$R$5:$R$504,'Registro de turnos'!$B$5:$B$504,$A190,'Registro de turnos'!$A$5:$A$504,"&gt;="&amp;$B$3,'Registro de turnos'!$A$5:$A$504,"&lt;="&amp;$B$4))</f>
        <v/>
      </c>
      <c r="K190" s="19" t="str">
        <f t="shared" si="30"/>
        <v/>
      </c>
      <c r="L190" s="17" t="str">
        <f>IF($A190="","",SUMIFS('Registro de turnos'!$T$5:$T$504,'Registro de turnos'!$B$5:$B$504,$A190,'Registro de turnos'!$A$5:$A$504,"&gt;="&amp;$B$3,'Registro de turnos'!$A$5:$A$504,"&lt;="&amp;$B$4))</f>
        <v/>
      </c>
      <c r="M190" s="17" t="str">
        <f t="shared" si="31"/>
        <v/>
      </c>
      <c r="N190" s="17" t="str">
        <f t="shared" si="32"/>
        <v/>
      </c>
      <c r="O190" s="17" t="str">
        <f t="shared" si="33"/>
        <v/>
      </c>
      <c r="P190" s="17" t="str">
        <f>IF($A190="","",ROUND(C190*D190*Parámetros!$B$8*0.0417,0))</f>
        <v/>
      </c>
      <c r="Q190" s="17" t="str">
        <f t="shared" si="34"/>
        <v/>
      </c>
      <c r="R190" s="17" t="str">
        <f t="shared" si="35"/>
        <v/>
      </c>
    </row>
    <row r="191" spans="1:18" x14ac:dyDescent="0.25">
      <c r="A191" s="22" t="str">
        <f>IF(Trabajadores!A189="","",Trabajadores!A189)</f>
        <v/>
      </c>
      <c r="B191" s="23" t="str">
        <f>IF(A191="","",Trabajadores!B189)</f>
        <v/>
      </c>
      <c r="C191" s="24" t="str">
        <f>IF(A191="","",Trabajadores!G189)</f>
        <v/>
      </c>
      <c r="D191" s="19" t="str">
        <f>IF($A191="","",SUMIFS('Registro de turnos'!$L$5:$L$504,'Registro de turnos'!$B$5:$B$504,$A191,'Registro de turnos'!$A$5:$A$504,"&gt;="&amp;$B$3,'Registro de turnos'!$A$5:$A$504,"&lt;="&amp;$B$4))</f>
        <v/>
      </c>
      <c r="E191" s="19" t="str">
        <f>IF($A191="","",SUMIFS('Registro de turnos'!$M$5:$M$504,'Registro de turnos'!$B$5:$B$504,$A191,'Registro de turnos'!$A$5:$A$504,"&gt;="&amp;$B$3,'Registro de turnos'!$A$5:$A$504,"&lt;="&amp;$B$4))</f>
        <v/>
      </c>
      <c r="F191" s="19" t="str">
        <f>IF($A191="","",SUMIFS('Registro de turnos'!$N$5:$N$504,'Registro de turnos'!$B$5:$B$504,$A191,'Registro de turnos'!$A$5:$A$504,"&gt;="&amp;$B$3,'Registro de turnos'!$A$5:$A$504,"&lt;="&amp;$B$4))</f>
        <v/>
      </c>
      <c r="G191" s="19" t="str">
        <f>IF($A191="","",SUMIFS('Registro de turnos'!$O$5:$O$504,'Registro de turnos'!$B$5:$B$504,$A191,'Registro de turnos'!$A$5:$A$504,"&gt;="&amp;$B$3,'Registro de turnos'!$A$5:$A$504,"&lt;="&amp;$B$4))</f>
        <v/>
      </c>
      <c r="H191" s="19" t="str">
        <f>IF($A191="","",SUMIFS('Registro de turnos'!$P$5:$P$504,'Registro de turnos'!$B$5:$B$504,$A191,'Registro de turnos'!$A$5:$A$504,"&gt;="&amp;$B$3,'Registro de turnos'!$A$5:$A$504,"&lt;="&amp;$B$4))</f>
        <v/>
      </c>
      <c r="I191" s="19" t="str">
        <f>IF($A191="","",SUMIFS('Registro de turnos'!$Q$5:$Q$504,'Registro de turnos'!$B$5:$B$504,$A191,'Registro de turnos'!$A$5:$A$504,"&gt;="&amp;$B$3,'Registro de turnos'!$A$5:$A$504,"&lt;="&amp;$B$4))</f>
        <v/>
      </c>
      <c r="J191" s="19" t="str">
        <f>IF($A191="","",SUMIFS('Registro de turnos'!$R$5:$R$504,'Registro de turnos'!$B$5:$B$504,$A191,'Registro de turnos'!$A$5:$A$504,"&gt;="&amp;$B$3,'Registro de turnos'!$A$5:$A$504,"&lt;="&amp;$B$4))</f>
        <v/>
      </c>
      <c r="K191" s="19" t="str">
        <f t="shared" si="30"/>
        <v/>
      </c>
      <c r="L191" s="17" t="str">
        <f>IF($A191="","",SUMIFS('Registro de turnos'!$T$5:$T$504,'Registro de turnos'!$B$5:$B$504,$A191,'Registro de turnos'!$A$5:$A$504,"&gt;="&amp;$B$3,'Registro de turnos'!$A$5:$A$504,"&lt;="&amp;$B$4))</f>
        <v/>
      </c>
      <c r="M191" s="17" t="str">
        <f t="shared" si="31"/>
        <v/>
      </c>
      <c r="N191" s="17" t="str">
        <f t="shared" si="32"/>
        <v/>
      </c>
      <c r="O191" s="17" t="str">
        <f t="shared" si="33"/>
        <v/>
      </c>
      <c r="P191" s="17" t="str">
        <f>IF($A191="","",ROUND(C191*D191*Parámetros!$B$8*0.0417,0))</f>
        <v/>
      </c>
      <c r="Q191" s="17" t="str">
        <f t="shared" si="34"/>
        <v/>
      </c>
      <c r="R191" s="17" t="str">
        <f t="shared" si="35"/>
        <v/>
      </c>
    </row>
    <row r="192" spans="1:18" x14ac:dyDescent="0.25">
      <c r="A192" s="22" t="str">
        <f>IF(Trabajadores!A190="","",Trabajadores!A190)</f>
        <v/>
      </c>
      <c r="B192" s="23" t="str">
        <f>IF(A192="","",Trabajadores!B190)</f>
        <v/>
      </c>
      <c r="C192" s="24" t="str">
        <f>IF(A192="","",Trabajadores!G190)</f>
        <v/>
      </c>
      <c r="D192" s="19" t="str">
        <f>IF($A192="","",SUMIFS('Registro de turnos'!$L$5:$L$504,'Registro de turnos'!$B$5:$B$504,$A192,'Registro de turnos'!$A$5:$A$504,"&gt;="&amp;$B$3,'Registro de turnos'!$A$5:$A$504,"&lt;="&amp;$B$4))</f>
        <v/>
      </c>
      <c r="E192" s="19" t="str">
        <f>IF($A192="","",SUMIFS('Registro de turnos'!$M$5:$M$504,'Registro de turnos'!$B$5:$B$504,$A192,'Registro de turnos'!$A$5:$A$504,"&gt;="&amp;$B$3,'Registro de turnos'!$A$5:$A$504,"&lt;="&amp;$B$4))</f>
        <v/>
      </c>
      <c r="F192" s="19" t="str">
        <f>IF($A192="","",SUMIFS('Registro de turnos'!$N$5:$N$504,'Registro de turnos'!$B$5:$B$504,$A192,'Registro de turnos'!$A$5:$A$504,"&gt;="&amp;$B$3,'Registro de turnos'!$A$5:$A$504,"&lt;="&amp;$B$4))</f>
        <v/>
      </c>
      <c r="G192" s="19" t="str">
        <f>IF($A192="","",SUMIFS('Registro de turnos'!$O$5:$O$504,'Registro de turnos'!$B$5:$B$504,$A192,'Registro de turnos'!$A$5:$A$504,"&gt;="&amp;$B$3,'Registro de turnos'!$A$5:$A$504,"&lt;="&amp;$B$4))</f>
        <v/>
      </c>
      <c r="H192" s="19" t="str">
        <f>IF($A192="","",SUMIFS('Registro de turnos'!$P$5:$P$504,'Registro de turnos'!$B$5:$B$504,$A192,'Registro de turnos'!$A$5:$A$504,"&gt;="&amp;$B$3,'Registro de turnos'!$A$5:$A$504,"&lt;="&amp;$B$4))</f>
        <v/>
      </c>
      <c r="I192" s="19" t="str">
        <f>IF($A192="","",SUMIFS('Registro de turnos'!$Q$5:$Q$504,'Registro de turnos'!$B$5:$B$504,$A192,'Registro de turnos'!$A$5:$A$504,"&gt;="&amp;$B$3,'Registro de turnos'!$A$5:$A$504,"&lt;="&amp;$B$4))</f>
        <v/>
      </c>
      <c r="J192" s="19" t="str">
        <f>IF($A192="","",SUMIFS('Registro de turnos'!$R$5:$R$504,'Registro de turnos'!$B$5:$B$504,$A192,'Registro de turnos'!$A$5:$A$504,"&gt;="&amp;$B$3,'Registro de turnos'!$A$5:$A$504,"&lt;="&amp;$B$4))</f>
        <v/>
      </c>
      <c r="K192" s="19" t="str">
        <f t="shared" si="30"/>
        <v/>
      </c>
      <c r="L192" s="17" t="str">
        <f>IF($A192="","",SUMIFS('Registro de turnos'!$T$5:$T$504,'Registro de turnos'!$B$5:$B$504,$A192,'Registro de turnos'!$A$5:$A$504,"&gt;="&amp;$B$3,'Registro de turnos'!$A$5:$A$504,"&lt;="&amp;$B$4))</f>
        <v/>
      </c>
      <c r="M192" s="17" t="str">
        <f t="shared" si="31"/>
        <v/>
      </c>
      <c r="N192" s="17" t="str">
        <f t="shared" si="32"/>
        <v/>
      </c>
      <c r="O192" s="17" t="str">
        <f t="shared" si="33"/>
        <v/>
      </c>
      <c r="P192" s="17" t="str">
        <f>IF($A192="","",ROUND(C192*D192*Parámetros!$B$8*0.0417,0))</f>
        <v/>
      </c>
      <c r="Q192" s="17" t="str">
        <f t="shared" si="34"/>
        <v/>
      </c>
      <c r="R192" s="17" t="str">
        <f t="shared" si="35"/>
        <v/>
      </c>
    </row>
    <row r="193" spans="1:18" x14ac:dyDescent="0.25">
      <c r="A193" s="22" t="str">
        <f>IF(Trabajadores!A191="","",Trabajadores!A191)</f>
        <v/>
      </c>
      <c r="B193" s="23" t="str">
        <f>IF(A193="","",Trabajadores!B191)</f>
        <v/>
      </c>
      <c r="C193" s="24" t="str">
        <f>IF(A193="","",Trabajadores!G191)</f>
        <v/>
      </c>
      <c r="D193" s="19" t="str">
        <f>IF($A193="","",SUMIFS('Registro de turnos'!$L$5:$L$504,'Registro de turnos'!$B$5:$B$504,$A193,'Registro de turnos'!$A$5:$A$504,"&gt;="&amp;$B$3,'Registro de turnos'!$A$5:$A$504,"&lt;="&amp;$B$4))</f>
        <v/>
      </c>
      <c r="E193" s="19" t="str">
        <f>IF($A193="","",SUMIFS('Registro de turnos'!$M$5:$M$504,'Registro de turnos'!$B$5:$B$504,$A193,'Registro de turnos'!$A$5:$A$504,"&gt;="&amp;$B$3,'Registro de turnos'!$A$5:$A$504,"&lt;="&amp;$B$4))</f>
        <v/>
      </c>
      <c r="F193" s="19" t="str">
        <f>IF($A193="","",SUMIFS('Registro de turnos'!$N$5:$N$504,'Registro de turnos'!$B$5:$B$504,$A193,'Registro de turnos'!$A$5:$A$504,"&gt;="&amp;$B$3,'Registro de turnos'!$A$5:$A$504,"&lt;="&amp;$B$4))</f>
        <v/>
      </c>
      <c r="G193" s="19" t="str">
        <f>IF($A193="","",SUMIFS('Registro de turnos'!$O$5:$O$504,'Registro de turnos'!$B$5:$B$504,$A193,'Registro de turnos'!$A$5:$A$504,"&gt;="&amp;$B$3,'Registro de turnos'!$A$5:$A$504,"&lt;="&amp;$B$4))</f>
        <v/>
      </c>
      <c r="H193" s="19" t="str">
        <f>IF($A193="","",SUMIFS('Registro de turnos'!$P$5:$P$504,'Registro de turnos'!$B$5:$B$504,$A193,'Registro de turnos'!$A$5:$A$504,"&gt;="&amp;$B$3,'Registro de turnos'!$A$5:$A$504,"&lt;="&amp;$B$4))</f>
        <v/>
      </c>
      <c r="I193" s="19" t="str">
        <f>IF($A193="","",SUMIFS('Registro de turnos'!$Q$5:$Q$504,'Registro de turnos'!$B$5:$B$504,$A193,'Registro de turnos'!$A$5:$A$504,"&gt;="&amp;$B$3,'Registro de turnos'!$A$5:$A$504,"&lt;="&amp;$B$4))</f>
        <v/>
      </c>
      <c r="J193" s="19" t="str">
        <f>IF($A193="","",SUMIFS('Registro de turnos'!$R$5:$R$504,'Registro de turnos'!$B$5:$B$504,$A193,'Registro de turnos'!$A$5:$A$504,"&gt;="&amp;$B$3,'Registro de turnos'!$A$5:$A$504,"&lt;="&amp;$B$4))</f>
        <v/>
      </c>
      <c r="K193" s="19" t="str">
        <f t="shared" si="30"/>
        <v/>
      </c>
      <c r="L193" s="17" t="str">
        <f>IF($A193="","",SUMIFS('Registro de turnos'!$T$5:$T$504,'Registro de turnos'!$B$5:$B$504,$A193,'Registro de turnos'!$A$5:$A$504,"&gt;="&amp;$B$3,'Registro de turnos'!$A$5:$A$504,"&lt;="&amp;$B$4))</f>
        <v/>
      </c>
      <c r="M193" s="17" t="str">
        <f t="shared" si="31"/>
        <v/>
      </c>
      <c r="N193" s="17" t="str">
        <f t="shared" si="32"/>
        <v/>
      </c>
      <c r="O193" s="17" t="str">
        <f t="shared" si="33"/>
        <v/>
      </c>
      <c r="P193" s="17" t="str">
        <f>IF($A193="","",ROUND(C193*D193*Parámetros!$B$8*0.0417,0))</f>
        <v/>
      </c>
      <c r="Q193" s="17" t="str">
        <f t="shared" si="34"/>
        <v/>
      </c>
      <c r="R193" s="17" t="str">
        <f t="shared" si="35"/>
        <v/>
      </c>
    </row>
    <row r="194" spans="1:18" x14ac:dyDescent="0.25">
      <c r="A194" s="22" t="str">
        <f>IF(Trabajadores!A192="","",Trabajadores!A192)</f>
        <v/>
      </c>
      <c r="B194" s="23" t="str">
        <f>IF(A194="","",Trabajadores!B192)</f>
        <v/>
      </c>
      <c r="C194" s="24" t="str">
        <f>IF(A194="","",Trabajadores!G192)</f>
        <v/>
      </c>
      <c r="D194" s="19" t="str">
        <f>IF($A194="","",SUMIFS('Registro de turnos'!$L$5:$L$504,'Registro de turnos'!$B$5:$B$504,$A194,'Registro de turnos'!$A$5:$A$504,"&gt;="&amp;$B$3,'Registro de turnos'!$A$5:$A$504,"&lt;="&amp;$B$4))</f>
        <v/>
      </c>
      <c r="E194" s="19" t="str">
        <f>IF($A194="","",SUMIFS('Registro de turnos'!$M$5:$M$504,'Registro de turnos'!$B$5:$B$504,$A194,'Registro de turnos'!$A$5:$A$504,"&gt;="&amp;$B$3,'Registro de turnos'!$A$5:$A$504,"&lt;="&amp;$B$4))</f>
        <v/>
      </c>
      <c r="F194" s="19" t="str">
        <f>IF($A194="","",SUMIFS('Registro de turnos'!$N$5:$N$504,'Registro de turnos'!$B$5:$B$504,$A194,'Registro de turnos'!$A$5:$A$504,"&gt;="&amp;$B$3,'Registro de turnos'!$A$5:$A$504,"&lt;="&amp;$B$4))</f>
        <v/>
      </c>
      <c r="G194" s="19" t="str">
        <f>IF($A194="","",SUMIFS('Registro de turnos'!$O$5:$O$504,'Registro de turnos'!$B$5:$B$504,$A194,'Registro de turnos'!$A$5:$A$504,"&gt;="&amp;$B$3,'Registro de turnos'!$A$5:$A$504,"&lt;="&amp;$B$4))</f>
        <v/>
      </c>
      <c r="H194" s="19" t="str">
        <f>IF($A194="","",SUMIFS('Registro de turnos'!$P$5:$P$504,'Registro de turnos'!$B$5:$B$504,$A194,'Registro de turnos'!$A$5:$A$504,"&gt;="&amp;$B$3,'Registro de turnos'!$A$5:$A$504,"&lt;="&amp;$B$4))</f>
        <v/>
      </c>
      <c r="I194" s="19" t="str">
        <f>IF($A194="","",SUMIFS('Registro de turnos'!$Q$5:$Q$504,'Registro de turnos'!$B$5:$B$504,$A194,'Registro de turnos'!$A$5:$A$504,"&gt;="&amp;$B$3,'Registro de turnos'!$A$5:$A$504,"&lt;="&amp;$B$4))</f>
        <v/>
      </c>
      <c r="J194" s="19" t="str">
        <f>IF($A194="","",SUMIFS('Registro de turnos'!$R$5:$R$504,'Registro de turnos'!$B$5:$B$504,$A194,'Registro de turnos'!$A$5:$A$504,"&gt;="&amp;$B$3,'Registro de turnos'!$A$5:$A$504,"&lt;="&amp;$B$4))</f>
        <v/>
      </c>
      <c r="K194" s="19" t="str">
        <f t="shared" si="30"/>
        <v/>
      </c>
      <c r="L194" s="17" t="str">
        <f>IF($A194="","",SUMIFS('Registro de turnos'!$T$5:$T$504,'Registro de turnos'!$B$5:$B$504,$A194,'Registro de turnos'!$A$5:$A$504,"&gt;="&amp;$B$3,'Registro de turnos'!$A$5:$A$504,"&lt;="&amp;$B$4))</f>
        <v/>
      </c>
      <c r="M194" s="17" t="str">
        <f t="shared" si="31"/>
        <v/>
      </c>
      <c r="N194" s="17" t="str">
        <f t="shared" si="32"/>
        <v/>
      </c>
      <c r="O194" s="17" t="str">
        <f t="shared" si="33"/>
        <v/>
      </c>
      <c r="P194" s="17" t="str">
        <f>IF($A194="","",ROUND(C194*D194*Parámetros!$B$8*0.0417,0))</f>
        <v/>
      </c>
      <c r="Q194" s="17" t="str">
        <f t="shared" si="34"/>
        <v/>
      </c>
      <c r="R194" s="17" t="str">
        <f t="shared" si="35"/>
        <v/>
      </c>
    </row>
    <row r="195" spans="1:18" x14ac:dyDescent="0.25">
      <c r="A195" s="22" t="str">
        <f>IF(Trabajadores!A193="","",Trabajadores!A193)</f>
        <v/>
      </c>
      <c r="B195" s="23" t="str">
        <f>IF(A195="","",Trabajadores!B193)</f>
        <v/>
      </c>
      <c r="C195" s="24" t="str">
        <f>IF(A195="","",Trabajadores!G193)</f>
        <v/>
      </c>
      <c r="D195" s="19" t="str">
        <f>IF($A195="","",SUMIFS('Registro de turnos'!$L$5:$L$504,'Registro de turnos'!$B$5:$B$504,$A195,'Registro de turnos'!$A$5:$A$504,"&gt;="&amp;$B$3,'Registro de turnos'!$A$5:$A$504,"&lt;="&amp;$B$4))</f>
        <v/>
      </c>
      <c r="E195" s="19" t="str">
        <f>IF($A195="","",SUMIFS('Registro de turnos'!$M$5:$M$504,'Registro de turnos'!$B$5:$B$504,$A195,'Registro de turnos'!$A$5:$A$504,"&gt;="&amp;$B$3,'Registro de turnos'!$A$5:$A$504,"&lt;="&amp;$B$4))</f>
        <v/>
      </c>
      <c r="F195" s="19" t="str">
        <f>IF($A195="","",SUMIFS('Registro de turnos'!$N$5:$N$504,'Registro de turnos'!$B$5:$B$504,$A195,'Registro de turnos'!$A$5:$A$504,"&gt;="&amp;$B$3,'Registro de turnos'!$A$5:$A$504,"&lt;="&amp;$B$4))</f>
        <v/>
      </c>
      <c r="G195" s="19" t="str">
        <f>IF($A195="","",SUMIFS('Registro de turnos'!$O$5:$O$504,'Registro de turnos'!$B$5:$B$504,$A195,'Registro de turnos'!$A$5:$A$504,"&gt;="&amp;$B$3,'Registro de turnos'!$A$5:$A$504,"&lt;="&amp;$B$4))</f>
        <v/>
      </c>
      <c r="H195" s="19" t="str">
        <f>IF($A195="","",SUMIFS('Registro de turnos'!$P$5:$P$504,'Registro de turnos'!$B$5:$B$504,$A195,'Registro de turnos'!$A$5:$A$504,"&gt;="&amp;$B$3,'Registro de turnos'!$A$5:$A$504,"&lt;="&amp;$B$4))</f>
        <v/>
      </c>
      <c r="I195" s="19" t="str">
        <f>IF($A195="","",SUMIFS('Registro de turnos'!$Q$5:$Q$504,'Registro de turnos'!$B$5:$B$504,$A195,'Registro de turnos'!$A$5:$A$504,"&gt;="&amp;$B$3,'Registro de turnos'!$A$5:$A$504,"&lt;="&amp;$B$4))</f>
        <v/>
      </c>
      <c r="J195" s="19" t="str">
        <f>IF($A195="","",SUMIFS('Registro de turnos'!$R$5:$R$504,'Registro de turnos'!$B$5:$B$504,$A195,'Registro de turnos'!$A$5:$A$504,"&gt;="&amp;$B$3,'Registro de turnos'!$A$5:$A$504,"&lt;="&amp;$B$4))</f>
        <v/>
      </c>
      <c r="K195" s="19" t="str">
        <f t="shared" si="30"/>
        <v/>
      </c>
      <c r="L195" s="17" t="str">
        <f>IF($A195="","",SUMIFS('Registro de turnos'!$T$5:$T$504,'Registro de turnos'!$B$5:$B$504,$A195,'Registro de turnos'!$A$5:$A$504,"&gt;="&amp;$B$3,'Registro de turnos'!$A$5:$A$504,"&lt;="&amp;$B$4))</f>
        <v/>
      </c>
      <c r="M195" s="17" t="str">
        <f t="shared" si="31"/>
        <v/>
      </c>
      <c r="N195" s="17" t="str">
        <f t="shared" si="32"/>
        <v/>
      </c>
      <c r="O195" s="17" t="str">
        <f t="shared" si="33"/>
        <v/>
      </c>
      <c r="P195" s="17" t="str">
        <f>IF($A195="","",ROUND(C195*D195*Parámetros!$B$8*0.0417,0))</f>
        <v/>
      </c>
      <c r="Q195" s="17" t="str">
        <f t="shared" si="34"/>
        <v/>
      </c>
      <c r="R195" s="17" t="str">
        <f t="shared" si="35"/>
        <v/>
      </c>
    </row>
    <row r="196" spans="1:18" x14ac:dyDescent="0.25">
      <c r="A196" s="22" t="str">
        <f>IF(Trabajadores!A194="","",Trabajadores!A194)</f>
        <v/>
      </c>
      <c r="B196" s="23" t="str">
        <f>IF(A196="","",Trabajadores!B194)</f>
        <v/>
      </c>
      <c r="C196" s="24" t="str">
        <f>IF(A196="","",Trabajadores!G194)</f>
        <v/>
      </c>
      <c r="D196" s="19" t="str">
        <f>IF($A196="","",SUMIFS('Registro de turnos'!$L$5:$L$504,'Registro de turnos'!$B$5:$B$504,$A196,'Registro de turnos'!$A$5:$A$504,"&gt;="&amp;$B$3,'Registro de turnos'!$A$5:$A$504,"&lt;="&amp;$B$4))</f>
        <v/>
      </c>
      <c r="E196" s="19" t="str">
        <f>IF($A196="","",SUMIFS('Registro de turnos'!$M$5:$M$504,'Registro de turnos'!$B$5:$B$504,$A196,'Registro de turnos'!$A$5:$A$504,"&gt;="&amp;$B$3,'Registro de turnos'!$A$5:$A$504,"&lt;="&amp;$B$4))</f>
        <v/>
      </c>
      <c r="F196" s="19" t="str">
        <f>IF($A196="","",SUMIFS('Registro de turnos'!$N$5:$N$504,'Registro de turnos'!$B$5:$B$504,$A196,'Registro de turnos'!$A$5:$A$504,"&gt;="&amp;$B$3,'Registro de turnos'!$A$5:$A$504,"&lt;="&amp;$B$4))</f>
        <v/>
      </c>
      <c r="G196" s="19" t="str">
        <f>IF($A196="","",SUMIFS('Registro de turnos'!$O$5:$O$504,'Registro de turnos'!$B$5:$B$504,$A196,'Registro de turnos'!$A$5:$A$504,"&gt;="&amp;$B$3,'Registro de turnos'!$A$5:$A$504,"&lt;="&amp;$B$4))</f>
        <v/>
      </c>
      <c r="H196" s="19" t="str">
        <f>IF($A196="","",SUMIFS('Registro de turnos'!$P$5:$P$504,'Registro de turnos'!$B$5:$B$504,$A196,'Registro de turnos'!$A$5:$A$504,"&gt;="&amp;$B$3,'Registro de turnos'!$A$5:$A$504,"&lt;="&amp;$B$4))</f>
        <v/>
      </c>
      <c r="I196" s="19" t="str">
        <f>IF($A196="","",SUMIFS('Registro de turnos'!$Q$5:$Q$504,'Registro de turnos'!$B$5:$B$504,$A196,'Registro de turnos'!$A$5:$A$504,"&gt;="&amp;$B$3,'Registro de turnos'!$A$5:$A$504,"&lt;="&amp;$B$4))</f>
        <v/>
      </c>
      <c r="J196" s="19" t="str">
        <f>IF($A196="","",SUMIFS('Registro de turnos'!$R$5:$R$504,'Registro de turnos'!$B$5:$B$504,$A196,'Registro de turnos'!$A$5:$A$504,"&gt;="&amp;$B$3,'Registro de turnos'!$A$5:$A$504,"&lt;="&amp;$B$4))</f>
        <v/>
      </c>
      <c r="K196" s="19" t="str">
        <f t="shared" si="30"/>
        <v/>
      </c>
      <c r="L196" s="17" t="str">
        <f>IF($A196="","",SUMIFS('Registro de turnos'!$T$5:$T$504,'Registro de turnos'!$B$5:$B$504,$A196,'Registro de turnos'!$A$5:$A$504,"&gt;="&amp;$B$3,'Registro de turnos'!$A$5:$A$504,"&lt;="&amp;$B$4))</f>
        <v/>
      </c>
      <c r="M196" s="17" t="str">
        <f t="shared" si="31"/>
        <v/>
      </c>
      <c r="N196" s="17" t="str">
        <f t="shared" si="32"/>
        <v/>
      </c>
      <c r="O196" s="17" t="str">
        <f t="shared" si="33"/>
        <v/>
      </c>
      <c r="P196" s="17" t="str">
        <f>IF($A196="","",ROUND(C196*D196*Parámetros!$B$8*0.0417,0))</f>
        <v/>
      </c>
      <c r="Q196" s="17" t="str">
        <f t="shared" si="34"/>
        <v/>
      </c>
      <c r="R196" s="17" t="str">
        <f t="shared" si="35"/>
        <v/>
      </c>
    </row>
    <row r="197" spans="1:18" x14ac:dyDescent="0.25">
      <c r="A197" s="22" t="str">
        <f>IF(Trabajadores!A195="","",Trabajadores!A195)</f>
        <v/>
      </c>
      <c r="B197" s="23" t="str">
        <f>IF(A197="","",Trabajadores!B195)</f>
        <v/>
      </c>
      <c r="C197" s="24" t="str">
        <f>IF(A197="","",Trabajadores!G195)</f>
        <v/>
      </c>
      <c r="D197" s="19" t="str">
        <f>IF($A197="","",SUMIFS('Registro de turnos'!$L$5:$L$504,'Registro de turnos'!$B$5:$B$504,$A197,'Registro de turnos'!$A$5:$A$504,"&gt;="&amp;$B$3,'Registro de turnos'!$A$5:$A$504,"&lt;="&amp;$B$4))</f>
        <v/>
      </c>
      <c r="E197" s="19" t="str">
        <f>IF($A197="","",SUMIFS('Registro de turnos'!$M$5:$M$504,'Registro de turnos'!$B$5:$B$504,$A197,'Registro de turnos'!$A$5:$A$504,"&gt;="&amp;$B$3,'Registro de turnos'!$A$5:$A$504,"&lt;="&amp;$B$4))</f>
        <v/>
      </c>
      <c r="F197" s="19" t="str">
        <f>IF($A197="","",SUMIFS('Registro de turnos'!$N$5:$N$504,'Registro de turnos'!$B$5:$B$504,$A197,'Registro de turnos'!$A$5:$A$504,"&gt;="&amp;$B$3,'Registro de turnos'!$A$5:$A$504,"&lt;="&amp;$B$4))</f>
        <v/>
      </c>
      <c r="G197" s="19" t="str">
        <f>IF($A197="","",SUMIFS('Registro de turnos'!$O$5:$O$504,'Registro de turnos'!$B$5:$B$504,$A197,'Registro de turnos'!$A$5:$A$504,"&gt;="&amp;$B$3,'Registro de turnos'!$A$5:$A$504,"&lt;="&amp;$B$4))</f>
        <v/>
      </c>
      <c r="H197" s="19" t="str">
        <f>IF($A197="","",SUMIFS('Registro de turnos'!$P$5:$P$504,'Registro de turnos'!$B$5:$B$504,$A197,'Registro de turnos'!$A$5:$A$504,"&gt;="&amp;$B$3,'Registro de turnos'!$A$5:$A$504,"&lt;="&amp;$B$4))</f>
        <v/>
      </c>
      <c r="I197" s="19" t="str">
        <f>IF($A197="","",SUMIFS('Registro de turnos'!$Q$5:$Q$504,'Registro de turnos'!$B$5:$B$504,$A197,'Registro de turnos'!$A$5:$A$504,"&gt;="&amp;$B$3,'Registro de turnos'!$A$5:$A$504,"&lt;="&amp;$B$4))</f>
        <v/>
      </c>
      <c r="J197" s="19" t="str">
        <f>IF($A197="","",SUMIFS('Registro de turnos'!$R$5:$R$504,'Registro de turnos'!$B$5:$B$504,$A197,'Registro de turnos'!$A$5:$A$504,"&gt;="&amp;$B$3,'Registro de turnos'!$A$5:$A$504,"&lt;="&amp;$B$4))</f>
        <v/>
      </c>
      <c r="K197" s="19" t="str">
        <f t="shared" si="30"/>
        <v/>
      </c>
      <c r="L197" s="17" t="str">
        <f>IF($A197="","",SUMIFS('Registro de turnos'!$T$5:$T$504,'Registro de turnos'!$B$5:$B$504,$A197,'Registro de turnos'!$A$5:$A$504,"&gt;="&amp;$B$3,'Registro de turnos'!$A$5:$A$504,"&lt;="&amp;$B$4))</f>
        <v/>
      </c>
      <c r="M197" s="17" t="str">
        <f t="shared" si="31"/>
        <v/>
      </c>
      <c r="N197" s="17" t="str">
        <f t="shared" si="32"/>
        <v/>
      </c>
      <c r="O197" s="17" t="str">
        <f t="shared" si="33"/>
        <v/>
      </c>
      <c r="P197" s="17" t="str">
        <f>IF($A197="","",ROUND(C197*D197*Parámetros!$B$8*0.0417,0))</f>
        <v/>
      </c>
      <c r="Q197" s="17" t="str">
        <f t="shared" si="34"/>
        <v/>
      </c>
      <c r="R197" s="17" t="str">
        <f t="shared" si="35"/>
        <v/>
      </c>
    </row>
    <row r="198" spans="1:18" x14ac:dyDescent="0.25">
      <c r="A198" s="22" t="str">
        <f>IF(Trabajadores!A196="","",Trabajadores!A196)</f>
        <v/>
      </c>
      <c r="B198" s="23" t="str">
        <f>IF(A198="","",Trabajadores!B196)</f>
        <v/>
      </c>
      <c r="C198" s="24" t="str">
        <f>IF(A198="","",Trabajadores!G196)</f>
        <v/>
      </c>
      <c r="D198" s="19" t="str">
        <f>IF($A198="","",SUMIFS('Registro de turnos'!$L$5:$L$504,'Registro de turnos'!$B$5:$B$504,$A198,'Registro de turnos'!$A$5:$A$504,"&gt;="&amp;$B$3,'Registro de turnos'!$A$5:$A$504,"&lt;="&amp;$B$4))</f>
        <v/>
      </c>
      <c r="E198" s="19" t="str">
        <f>IF($A198="","",SUMIFS('Registro de turnos'!$M$5:$M$504,'Registro de turnos'!$B$5:$B$504,$A198,'Registro de turnos'!$A$5:$A$504,"&gt;="&amp;$B$3,'Registro de turnos'!$A$5:$A$504,"&lt;="&amp;$B$4))</f>
        <v/>
      </c>
      <c r="F198" s="19" t="str">
        <f>IF($A198="","",SUMIFS('Registro de turnos'!$N$5:$N$504,'Registro de turnos'!$B$5:$B$504,$A198,'Registro de turnos'!$A$5:$A$504,"&gt;="&amp;$B$3,'Registro de turnos'!$A$5:$A$504,"&lt;="&amp;$B$4))</f>
        <v/>
      </c>
      <c r="G198" s="19" t="str">
        <f>IF($A198="","",SUMIFS('Registro de turnos'!$O$5:$O$504,'Registro de turnos'!$B$5:$B$504,$A198,'Registro de turnos'!$A$5:$A$504,"&gt;="&amp;$B$3,'Registro de turnos'!$A$5:$A$504,"&lt;="&amp;$B$4))</f>
        <v/>
      </c>
      <c r="H198" s="19" t="str">
        <f>IF($A198="","",SUMIFS('Registro de turnos'!$P$5:$P$504,'Registro de turnos'!$B$5:$B$504,$A198,'Registro de turnos'!$A$5:$A$504,"&gt;="&amp;$B$3,'Registro de turnos'!$A$5:$A$504,"&lt;="&amp;$B$4))</f>
        <v/>
      </c>
      <c r="I198" s="19" t="str">
        <f>IF($A198="","",SUMIFS('Registro de turnos'!$Q$5:$Q$504,'Registro de turnos'!$B$5:$B$504,$A198,'Registro de turnos'!$A$5:$A$504,"&gt;="&amp;$B$3,'Registro de turnos'!$A$5:$A$504,"&lt;="&amp;$B$4))</f>
        <v/>
      </c>
      <c r="J198" s="19" t="str">
        <f>IF($A198="","",SUMIFS('Registro de turnos'!$R$5:$R$504,'Registro de turnos'!$B$5:$B$504,$A198,'Registro de turnos'!$A$5:$A$504,"&gt;="&amp;$B$3,'Registro de turnos'!$A$5:$A$504,"&lt;="&amp;$B$4))</f>
        <v/>
      </c>
      <c r="K198" s="19" t="str">
        <f t="shared" si="30"/>
        <v/>
      </c>
      <c r="L198" s="17" t="str">
        <f>IF($A198="","",SUMIFS('Registro de turnos'!$T$5:$T$504,'Registro de turnos'!$B$5:$B$504,$A198,'Registro de turnos'!$A$5:$A$504,"&gt;="&amp;$B$3,'Registro de turnos'!$A$5:$A$504,"&lt;="&amp;$B$4))</f>
        <v/>
      </c>
      <c r="M198" s="17" t="str">
        <f t="shared" si="31"/>
        <v/>
      </c>
      <c r="N198" s="17" t="str">
        <f t="shared" si="32"/>
        <v/>
      </c>
      <c r="O198" s="17" t="str">
        <f t="shared" si="33"/>
        <v/>
      </c>
      <c r="P198" s="17" t="str">
        <f>IF($A198="","",ROUND(C198*D198*Parámetros!$B$8*0.0417,0))</f>
        <v/>
      </c>
      <c r="Q198" s="17" t="str">
        <f t="shared" si="34"/>
        <v/>
      </c>
      <c r="R198" s="17" t="str">
        <f t="shared" si="35"/>
        <v/>
      </c>
    </row>
    <row r="199" spans="1:18" x14ac:dyDescent="0.25">
      <c r="A199" s="22" t="str">
        <f>IF(Trabajadores!A197="","",Trabajadores!A197)</f>
        <v/>
      </c>
      <c r="B199" s="23" t="str">
        <f>IF(A199="","",Trabajadores!B197)</f>
        <v/>
      </c>
      <c r="C199" s="24" t="str">
        <f>IF(A199="","",Trabajadores!G197)</f>
        <v/>
      </c>
      <c r="D199" s="19" t="str">
        <f>IF($A199="","",SUMIFS('Registro de turnos'!$L$5:$L$504,'Registro de turnos'!$B$5:$B$504,$A199,'Registro de turnos'!$A$5:$A$504,"&gt;="&amp;$B$3,'Registro de turnos'!$A$5:$A$504,"&lt;="&amp;$B$4))</f>
        <v/>
      </c>
      <c r="E199" s="19" t="str">
        <f>IF($A199="","",SUMIFS('Registro de turnos'!$M$5:$M$504,'Registro de turnos'!$B$5:$B$504,$A199,'Registro de turnos'!$A$5:$A$504,"&gt;="&amp;$B$3,'Registro de turnos'!$A$5:$A$504,"&lt;="&amp;$B$4))</f>
        <v/>
      </c>
      <c r="F199" s="19" t="str">
        <f>IF($A199="","",SUMIFS('Registro de turnos'!$N$5:$N$504,'Registro de turnos'!$B$5:$B$504,$A199,'Registro de turnos'!$A$5:$A$504,"&gt;="&amp;$B$3,'Registro de turnos'!$A$5:$A$504,"&lt;="&amp;$B$4))</f>
        <v/>
      </c>
      <c r="G199" s="19" t="str">
        <f>IF($A199="","",SUMIFS('Registro de turnos'!$O$5:$O$504,'Registro de turnos'!$B$5:$B$504,$A199,'Registro de turnos'!$A$5:$A$504,"&gt;="&amp;$B$3,'Registro de turnos'!$A$5:$A$504,"&lt;="&amp;$B$4))</f>
        <v/>
      </c>
      <c r="H199" s="19" t="str">
        <f>IF($A199="","",SUMIFS('Registro de turnos'!$P$5:$P$504,'Registro de turnos'!$B$5:$B$504,$A199,'Registro de turnos'!$A$5:$A$504,"&gt;="&amp;$B$3,'Registro de turnos'!$A$5:$A$504,"&lt;="&amp;$B$4))</f>
        <v/>
      </c>
      <c r="I199" s="19" t="str">
        <f>IF($A199="","",SUMIFS('Registro de turnos'!$Q$5:$Q$504,'Registro de turnos'!$B$5:$B$504,$A199,'Registro de turnos'!$A$5:$A$504,"&gt;="&amp;$B$3,'Registro de turnos'!$A$5:$A$504,"&lt;="&amp;$B$4))</f>
        <v/>
      </c>
      <c r="J199" s="19" t="str">
        <f>IF($A199="","",SUMIFS('Registro de turnos'!$R$5:$R$504,'Registro de turnos'!$B$5:$B$504,$A199,'Registro de turnos'!$A$5:$A$504,"&gt;="&amp;$B$3,'Registro de turnos'!$A$5:$A$504,"&lt;="&amp;$B$4))</f>
        <v/>
      </c>
      <c r="K199" s="19" t="str">
        <f t="shared" ref="K199:K230" si="36">IF($A199="","",E199+F199+I199+J199)</f>
        <v/>
      </c>
      <c r="L199" s="17" t="str">
        <f>IF($A199="","",SUMIFS('Registro de turnos'!$T$5:$T$504,'Registro de turnos'!$B$5:$B$504,$A199,'Registro de turnos'!$A$5:$A$504,"&gt;="&amp;$B$3,'Registro de turnos'!$A$5:$A$504,"&lt;="&amp;$B$4))</f>
        <v/>
      </c>
      <c r="M199" s="17" t="str">
        <f t="shared" ref="M199:M230" si="37">IF($A199="","",ROUND(L199*0.0833,0))</f>
        <v/>
      </c>
      <c r="N199" s="17" t="str">
        <f t="shared" ref="N199:N206" si="38">IF($A199="","",ROUND(L199*0.0833,0))</f>
        <v/>
      </c>
      <c r="O199" s="17" t="str">
        <f t="shared" ref="O199:O206" si="39">IF($A199="","",ROUND(L199*0.01,0))</f>
        <v/>
      </c>
      <c r="P199" s="17" t="str">
        <f>IF($A199="","",ROUND(C199*D199*Parámetros!$B$8*0.0417,0))</f>
        <v/>
      </c>
      <c r="Q199" s="17" t="str">
        <f t="shared" ref="Q199:Q206" si="40">IF($A199="","",ROUND(L199*0.08,0))</f>
        <v/>
      </c>
      <c r="R199" s="17" t="str">
        <f t="shared" ref="R199:R230" si="41">IF($A199="","",L199-Q199)</f>
        <v/>
      </c>
    </row>
    <row r="200" spans="1:18" x14ac:dyDescent="0.25">
      <c r="A200" s="22" t="str">
        <f>IF(Trabajadores!A198="","",Trabajadores!A198)</f>
        <v/>
      </c>
      <c r="B200" s="23" t="str">
        <f>IF(A200="","",Trabajadores!B198)</f>
        <v/>
      </c>
      <c r="C200" s="24" t="str">
        <f>IF(A200="","",Trabajadores!G198)</f>
        <v/>
      </c>
      <c r="D200" s="19" t="str">
        <f>IF($A200="","",SUMIFS('Registro de turnos'!$L$5:$L$504,'Registro de turnos'!$B$5:$B$504,$A200,'Registro de turnos'!$A$5:$A$504,"&gt;="&amp;$B$3,'Registro de turnos'!$A$5:$A$504,"&lt;="&amp;$B$4))</f>
        <v/>
      </c>
      <c r="E200" s="19" t="str">
        <f>IF($A200="","",SUMIFS('Registro de turnos'!$M$5:$M$504,'Registro de turnos'!$B$5:$B$504,$A200,'Registro de turnos'!$A$5:$A$504,"&gt;="&amp;$B$3,'Registro de turnos'!$A$5:$A$504,"&lt;="&amp;$B$4))</f>
        <v/>
      </c>
      <c r="F200" s="19" t="str">
        <f>IF($A200="","",SUMIFS('Registro de turnos'!$N$5:$N$504,'Registro de turnos'!$B$5:$B$504,$A200,'Registro de turnos'!$A$5:$A$504,"&gt;="&amp;$B$3,'Registro de turnos'!$A$5:$A$504,"&lt;="&amp;$B$4))</f>
        <v/>
      </c>
      <c r="G200" s="19" t="str">
        <f>IF($A200="","",SUMIFS('Registro de turnos'!$O$5:$O$504,'Registro de turnos'!$B$5:$B$504,$A200,'Registro de turnos'!$A$5:$A$504,"&gt;="&amp;$B$3,'Registro de turnos'!$A$5:$A$504,"&lt;="&amp;$B$4))</f>
        <v/>
      </c>
      <c r="H200" s="19" t="str">
        <f>IF($A200="","",SUMIFS('Registro de turnos'!$P$5:$P$504,'Registro de turnos'!$B$5:$B$504,$A200,'Registro de turnos'!$A$5:$A$504,"&gt;="&amp;$B$3,'Registro de turnos'!$A$5:$A$504,"&lt;="&amp;$B$4))</f>
        <v/>
      </c>
      <c r="I200" s="19" t="str">
        <f>IF($A200="","",SUMIFS('Registro de turnos'!$Q$5:$Q$504,'Registro de turnos'!$B$5:$B$504,$A200,'Registro de turnos'!$A$5:$A$504,"&gt;="&amp;$B$3,'Registro de turnos'!$A$5:$A$504,"&lt;="&amp;$B$4))</f>
        <v/>
      </c>
      <c r="J200" s="19" t="str">
        <f>IF($A200="","",SUMIFS('Registro de turnos'!$R$5:$R$504,'Registro de turnos'!$B$5:$B$504,$A200,'Registro de turnos'!$A$5:$A$504,"&gt;="&amp;$B$3,'Registro de turnos'!$A$5:$A$504,"&lt;="&amp;$B$4))</f>
        <v/>
      </c>
      <c r="K200" s="19" t="str">
        <f t="shared" si="36"/>
        <v/>
      </c>
      <c r="L200" s="17" t="str">
        <f>IF($A200="","",SUMIFS('Registro de turnos'!$T$5:$T$504,'Registro de turnos'!$B$5:$B$504,$A200,'Registro de turnos'!$A$5:$A$504,"&gt;="&amp;$B$3,'Registro de turnos'!$A$5:$A$504,"&lt;="&amp;$B$4))</f>
        <v/>
      </c>
      <c r="M200" s="17" t="str">
        <f t="shared" si="37"/>
        <v/>
      </c>
      <c r="N200" s="17" t="str">
        <f t="shared" si="38"/>
        <v/>
      </c>
      <c r="O200" s="17" t="str">
        <f t="shared" si="39"/>
        <v/>
      </c>
      <c r="P200" s="17" t="str">
        <f>IF($A200="","",ROUND(C200*D200*Parámetros!$B$8*0.0417,0))</f>
        <v/>
      </c>
      <c r="Q200" s="17" t="str">
        <f t="shared" si="40"/>
        <v/>
      </c>
      <c r="R200" s="17" t="str">
        <f t="shared" si="41"/>
        <v/>
      </c>
    </row>
    <row r="201" spans="1:18" x14ac:dyDescent="0.25">
      <c r="A201" s="22" t="str">
        <f>IF(Trabajadores!A199="","",Trabajadores!A199)</f>
        <v/>
      </c>
      <c r="B201" s="23" t="str">
        <f>IF(A201="","",Trabajadores!B199)</f>
        <v/>
      </c>
      <c r="C201" s="24" t="str">
        <f>IF(A201="","",Trabajadores!G199)</f>
        <v/>
      </c>
      <c r="D201" s="19" t="str">
        <f>IF($A201="","",SUMIFS('Registro de turnos'!$L$5:$L$504,'Registro de turnos'!$B$5:$B$504,$A201,'Registro de turnos'!$A$5:$A$504,"&gt;="&amp;$B$3,'Registro de turnos'!$A$5:$A$504,"&lt;="&amp;$B$4))</f>
        <v/>
      </c>
      <c r="E201" s="19" t="str">
        <f>IF($A201="","",SUMIFS('Registro de turnos'!$M$5:$M$504,'Registro de turnos'!$B$5:$B$504,$A201,'Registro de turnos'!$A$5:$A$504,"&gt;="&amp;$B$3,'Registro de turnos'!$A$5:$A$504,"&lt;="&amp;$B$4))</f>
        <v/>
      </c>
      <c r="F201" s="19" t="str">
        <f>IF($A201="","",SUMIFS('Registro de turnos'!$N$5:$N$504,'Registro de turnos'!$B$5:$B$504,$A201,'Registro de turnos'!$A$5:$A$504,"&gt;="&amp;$B$3,'Registro de turnos'!$A$5:$A$504,"&lt;="&amp;$B$4))</f>
        <v/>
      </c>
      <c r="G201" s="19" t="str">
        <f>IF($A201="","",SUMIFS('Registro de turnos'!$O$5:$O$504,'Registro de turnos'!$B$5:$B$504,$A201,'Registro de turnos'!$A$5:$A$504,"&gt;="&amp;$B$3,'Registro de turnos'!$A$5:$A$504,"&lt;="&amp;$B$4))</f>
        <v/>
      </c>
      <c r="H201" s="19" t="str">
        <f>IF($A201="","",SUMIFS('Registro de turnos'!$P$5:$P$504,'Registro de turnos'!$B$5:$B$504,$A201,'Registro de turnos'!$A$5:$A$504,"&gt;="&amp;$B$3,'Registro de turnos'!$A$5:$A$504,"&lt;="&amp;$B$4))</f>
        <v/>
      </c>
      <c r="I201" s="19" t="str">
        <f>IF($A201="","",SUMIFS('Registro de turnos'!$Q$5:$Q$504,'Registro de turnos'!$B$5:$B$504,$A201,'Registro de turnos'!$A$5:$A$504,"&gt;="&amp;$B$3,'Registro de turnos'!$A$5:$A$504,"&lt;="&amp;$B$4))</f>
        <v/>
      </c>
      <c r="J201" s="19" t="str">
        <f>IF($A201="","",SUMIFS('Registro de turnos'!$R$5:$R$504,'Registro de turnos'!$B$5:$B$504,$A201,'Registro de turnos'!$A$5:$A$504,"&gt;="&amp;$B$3,'Registro de turnos'!$A$5:$A$504,"&lt;="&amp;$B$4))</f>
        <v/>
      </c>
      <c r="K201" s="19" t="str">
        <f t="shared" si="36"/>
        <v/>
      </c>
      <c r="L201" s="17" t="str">
        <f>IF($A201="","",SUMIFS('Registro de turnos'!$T$5:$T$504,'Registro de turnos'!$B$5:$B$504,$A201,'Registro de turnos'!$A$5:$A$504,"&gt;="&amp;$B$3,'Registro de turnos'!$A$5:$A$504,"&lt;="&amp;$B$4))</f>
        <v/>
      </c>
      <c r="M201" s="17" t="str">
        <f t="shared" si="37"/>
        <v/>
      </c>
      <c r="N201" s="17" t="str">
        <f t="shared" si="38"/>
        <v/>
      </c>
      <c r="O201" s="17" t="str">
        <f t="shared" si="39"/>
        <v/>
      </c>
      <c r="P201" s="17" t="str">
        <f>IF($A201="","",ROUND(C201*D201*Parámetros!$B$8*0.0417,0))</f>
        <v/>
      </c>
      <c r="Q201" s="17" t="str">
        <f t="shared" si="40"/>
        <v/>
      </c>
      <c r="R201" s="17" t="str">
        <f t="shared" si="41"/>
        <v/>
      </c>
    </row>
    <row r="202" spans="1:18" x14ac:dyDescent="0.25">
      <c r="A202" s="22" t="str">
        <f>IF(Trabajadores!A200="","",Trabajadores!A200)</f>
        <v/>
      </c>
      <c r="B202" s="23" t="str">
        <f>IF(A202="","",Trabajadores!B200)</f>
        <v/>
      </c>
      <c r="C202" s="24" t="str">
        <f>IF(A202="","",Trabajadores!G200)</f>
        <v/>
      </c>
      <c r="D202" s="19" t="str">
        <f>IF($A202="","",SUMIFS('Registro de turnos'!$L$5:$L$504,'Registro de turnos'!$B$5:$B$504,$A202,'Registro de turnos'!$A$5:$A$504,"&gt;="&amp;$B$3,'Registro de turnos'!$A$5:$A$504,"&lt;="&amp;$B$4))</f>
        <v/>
      </c>
      <c r="E202" s="19" t="str">
        <f>IF($A202="","",SUMIFS('Registro de turnos'!$M$5:$M$504,'Registro de turnos'!$B$5:$B$504,$A202,'Registro de turnos'!$A$5:$A$504,"&gt;="&amp;$B$3,'Registro de turnos'!$A$5:$A$504,"&lt;="&amp;$B$4))</f>
        <v/>
      </c>
      <c r="F202" s="19" t="str">
        <f>IF($A202="","",SUMIFS('Registro de turnos'!$N$5:$N$504,'Registro de turnos'!$B$5:$B$504,$A202,'Registro de turnos'!$A$5:$A$504,"&gt;="&amp;$B$3,'Registro de turnos'!$A$5:$A$504,"&lt;="&amp;$B$4))</f>
        <v/>
      </c>
      <c r="G202" s="19" t="str">
        <f>IF($A202="","",SUMIFS('Registro de turnos'!$O$5:$O$504,'Registro de turnos'!$B$5:$B$504,$A202,'Registro de turnos'!$A$5:$A$504,"&gt;="&amp;$B$3,'Registro de turnos'!$A$5:$A$504,"&lt;="&amp;$B$4))</f>
        <v/>
      </c>
      <c r="H202" s="19" t="str">
        <f>IF($A202="","",SUMIFS('Registro de turnos'!$P$5:$P$504,'Registro de turnos'!$B$5:$B$504,$A202,'Registro de turnos'!$A$5:$A$504,"&gt;="&amp;$B$3,'Registro de turnos'!$A$5:$A$504,"&lt;="&amp;$B$4))</f>
        <v/>
      </c>
      <c r="I202" s="19" t="str">
        <f>IF($A202="","",SUMIFS('Registro de turnos'!$Q$5:$Q$504,'Registro de turnos'!$B$5:$B$504,$A202,'Registro de turnos'!$A$5:$A$504,"&gt;="&amp;$B$3,'Registro de turnos'!$A$5:$A$504,"&lt;="&amp;$B$4))</f>
        <v/>
      </c>
      <c r="J202" s="19" t="str">
        <f>IF($A202="","",SUMIFS('Registro de turnos'!$R$5:$R$504,'Registro de turnos'!$B$5:$B$504,$A202,'Registro de turnos'!$A$5:$A$504,"&gt;="&amp;$B$3,'Registro de turnos'!$A$5:$A$504,"&lt;="&amp;$B$4))</f>
        <v/>
      </c>
      <c r="K202" s="19" t="str">
        <f t="shared" si="36"/>
        <v/>
      </c>
      <c r="L202" s="17" t="str">
        <f>IF($A202="","",SUMIFS('Registro de turnos'!$T$5:$T$504,'Registro de turnos'!$B$5:$B$504,$A202,'Registro de turnos'!$A$5:$A$504,"&gt;="&amp;$B$3,'Registro de turnos'!$A$5:$A$504,"&lt;="&amp;$B$4))</f>
        <v/>
      </c>
      <c r="M202" s="17" t="str">
        <f t="shared" si="37"/>
        <v/>
      </c>
      <c r="N202" s="17" t="str">
        <f t="shared" si="38"/>
        <v/>
      </c>
      <c r="O202" s="17" t="str">
        <f t="shared" si="39"/>
        <v/>
      </c>
      <c r="P202" s="17" t="str">
        <f>IF($A202="","",ROUND(C202*D202*Parámetros!$B$8*0.0417,0))</f>
        <v/>
      </c>
      <c r="Q202" s="17" t="str">
        <f t="shared" si="40"/>
        <v/>
      </c>
      <c r="R202" s="17" t="str">
        <f t="shared" si="41"/>
        <v/>
      </c>
    </row>
    <row r="203" spans="1:18" x14ac:dyDescent="0.25">
      <c r="A203" s="22" t="str">
        <f>IF(Trabajadores!A201="","",Trabajadores!A201)</f>
        <v/>
      </c>
      <c r="B203" s="23" t="str">
        <f>IF(A203="","",Trabajadores!B201)</f>
        <v/>
      </c>
      <c r="C203" s="24" t="str">
        <f>IF(A203="","",Trabajadores!G201)</f>
        <v/>
      </c>
      <c r="D203" s="19" t="str">
        <f>IF($A203="","",SUMIFS('Registro de turnos'!$L$5:$L$504,'Registro de turnos'!$B$5:$B$504,$A203,'Registro de turnos'!$A$5:$A$504,"&gt;="&amp;$B$3,'Registro de turnos'!$A$5:$A$504,"&lt;="&amp;$B$4))</f>
        <v/>
      </c>
      <c r="E203" s="19" t="str">
        <f>IF($A203="","",SUMIFS('Registro de turnos'!$M$5:$M$504,'Registro de turnos'!$B$5:$B$504,$A203,'Registro de turnos'!$A$5:$A$504,"&gt;="&amp;$B$3,'Registro de turnos'!$A$5:$A$504,"&lt;="&amp;$B$4))</f>
        <v/>
      </c>
      <c r="F203" s="19" t="str">
        <f>IF($A203="","",SUMIFS('Registro de turnos'!$N$5:$N$504,'Registro de turnos'!$B$5:$B$504,$A203,'Registro de turnos'!$A$5:$A$504,"&gt;="&amp;$B$3,'Registro de turnos'!$A$5:$A$504,"&lt;="&amp;$B$4))</f>
        <v/>
      </c>
      <c r="G203" s="19" t="str">
        <f>IF($A203="","",SUMIFS('Registro de turnos'!$O$5:$O$504,'Registro de turnos'!$B$5:$B$504,$A203,'Registro de turnos'!$A$5:$A$504,"&gt;="&amp;$B$3,'Registro de turnos'!$A$5:$A$504,"&lt;="&amp;$B$4))</f>
        <v/>
      </c>
      <c r="H203" s="19" t="str">
        <f>IF($A203="","",SUMIFS('Registro de turnos'!$P$5:$P$504,'Registro de turnos'!$B$5:$B$504,$A203,'Registro de turnos'!$A$5:$A$504,"&gt;="&amp;$B$3,'Registro de turnos'!$A$5:$A$504,"&lt;="&amp;$B$4))</f>
        <v/>
      </c>
      <c r="I203" s="19" t="str">
        <f>IF($A203="","",SUMIFS('Registro de turnos'!$Q$5:$Q$504,'Registro de turnos'!$B$5:$B$504,$A203,'Registro de turnos'!$A$5:$A$504,"&gt;="&amp;$B$3,'Registro de turnos'!$A$5:$A$504,"&lt;="&amp;$B$4))</f>
        <v/>
      </c>
      <c r="J203" s="19" t="str">
        <f>IF($A203="","",SUMIFS('Registro de turnos'!$R$5:$R$504,'Registro de turnos'!$B$5:$B$504,$A203,'Registro de turnos'!$A$5:$A$504,"&gt;="&amp;$B$3,'Registro de turnos'!$A$5:$A$504,"&lt;="&amp;$B$4))</f>
        <v/>
      </c>
      <c r="K203" s="19" t="str">
        <f t="shared" si="36"/>
        <v/>
      </c>
      <c r="L203" s="17" t="str">
        <f>IF($A203="","",SUMIFS('Registro de turnos'!$T$5:$T$504,'Registro de turnos'!$B$5:$B$504,$A203,'Registro de turnos'!$A$5:$A$504,"&gt;="&amp;$B$3,'Registro de turnos'!$A$5:$A$504,"&lt;="&amp;$B$4))</f>
        <v/>
      </c>
      <c r="M203" s="17" t="str">
        <f t="shared" si="37"/>
        <v/>
      </c>
      <c r="N203" s="17" t="str">
        <f t="shared" si="38"/>
        <v/>
      </c>
      <c r="O203" s="17" t="str">
        <f t="shared" si="39"/>
        <v/>
      </c>
      <c r="P203" s="17" t="str">
        <f>IF($A203="","",ROUND(C203*D203*Parámetros!$B$8*0.0417,0))</f>
        <v/>
      </c>
      <c r="Q203" s="17" t="str">
        <f t="shared" si="40"/>
        <v/>
      </c>
      <c r="R203" s="17" t="str">
        <f t="shared" si="41"/>
        <v/>
      </c>
    </row>
    <row r="204" spans="1:18" x14ac:dyDescent="0.25">
      <c r="A204" s="22" t="str">
        <f>IF(Trabajadores!A202="","",Trabajadores!A202)</f>
        <v/>
      </c>
      <c r="B204" s="23" t="str">
        <f>IF(A204="","",Trabajadores!B202)</f>
        <v/>
      </c>
      <c r="C204" s="24" t="str">
        <f>IF(A204="","",Trabajadores!G202)</f>
        <v/>
      </c>
      <c r="D204" s="19" t="str">
        <f>IF($A204="","",SUMIFS('Registro de turnos'!$L$5:$L$504,'Registro de turnos'!$B$5:$B$504,$A204,'Registro de turnos'!$A$5:$A$504,"&gt;="&amp;$B$3,'Registro de turnos'!$A$5:$A$504,"&lt;="&amp;$B$4))</f>
        <v/>
      </c>
      <c r="E204" s="19" t="str">
        <f>IF($A204="","",SUMIFS('Registro de turnos'!$M$5:$M$504,'Registro de turnos'!$B$5:$B$504,$A204,'Registro de turnos'!$A$5:$A$504,"&gt;="&amp;$B$3,'Registro de turnos'!$A$5:$A$504,"&lt;="&amp;$B$4))</f>
        <v/>
      </c>
      <c r="F204" s="19" t="str">
        <f>IF($A204="","",SUMIFS('Registro de turnos'!$N$5:$N$504,'Registro de turnos'!$B$5:$B$504,$A204,'Registro de turnos'!$A$5:$A$504,"&gt;="&amp;$B$3,'Registro de turnos'!$A$5:$A$504,"&lt;="&amp;$B$4))</f>
        <v/>
      </c>
      <c r="G204" s="19" t="str">
        <f>IF($A204="","",SUMIFS('Registro de turnos'!$O$5:$O$504,'Registro de turnos'!$B$5:$B$504,$A204,'Registro de turnos'!$A$5:$A$504,"&gt;="&amp;$B$3,'Registro de turnos'!$A$5:$A$504,"&lt;="&amp;$B$4))</f>
        <v/>
      </c>
      <c r="H204" s="19" t="str">
        <f>IF($A204="","",SUMIFS('Registro de turnos'!$P$5:$P$504,'Registro de turnos'!$B$5:$B$504,$A204,'Registro de turnos'!$A$5:$A$504,"&gt;="&amp;$B$3,'Registro de turnos'!$A$5:$A$504,"&lt;="&amp;$B$4))</f>
        <v/>
      </c>
      <c r="I204" s="19" t="str">
        <f>IF($A204="","",SUMIFS('Registro de turnos'!$Q$5:$Q$504,'Registro de turnos'!$B$5:$B$504,$A204,'Registro de turnos'!$A$5:$A$504,"&gt;="&amp;$B$3,'Registro de turnos'!$A$5:$A$504,"&lt;="&amp;$B$4))</f>
        <v/>
      </c>
      <c r="J204" s="19" t="str">
        <f>IF($A204="","",SUMIFS('Registro de turnos'!$R$5:$R$504,'Registro de turnos'!$B$5:$B$504,$A204,'Registro de turnos'!$A$5:$A$504,"&gt;="&amp;$B$3,'Registro de turnos'!$A$5:$A$504,"&lt;="&amp;$B$4))</f>
        <v/>
      </c>
      <c r="K204" s="19" t="str">
        <f t="shared" si="36"/>
        <v/>
      </c>
      <c r="L204" s="17" t="str">
        <f>IF($A204="","",SUMIFS('Registro de turnos'!$T$5:$T$504,'Registro de turnos'!$B$5:$B$504,$A204,'Registro de turnos'!$A$5:$A$504,"&gt;="&amp;$B$3,'Registro de turnos'!$A$5:$A$504,"&lt;="&amp;$B$4))</f>
        <v/>
      </c>
      <c r="M204" s="17" t="str">
        <f t="shared" si="37"/>
        <v/>
      </c>
      <c r="N204" s="17" t="str">
        <f t="shared" si="38"/>
        <v/>
      </c>
      <c r="O204" s="17" t="str">
        <f t="shared" si="39"/>
        <v/>
      </c>
      <c r="P204" s="17" t="str">
        <f>IF($A204="","",ROUND(C204*D204*Parámetros!$B$8*0.0417,0))</f>
        <v/>
      </c>
      <c r="Q204" s="17" t="str">
        <f t="shared" si="40"/>
        <v/>
      </c>
      <c r="R204" s="17" t="str">
        <f t="shared" si="41"/>
        <v/>
      </c>
    </row>
    <row r="205" spans="1:18" x14ac:dyDescent="0.25">
      <c r="A205" s="22" t="str">
        <f>IF(Trabajadores!A203="","",Trabajadores!A203)</f>
        <v/>
      </c>
      <c r="B205" s="23" t="str">
        <f>IF(A205="","",Trabajadores!B203)</f>
        <v/>
      </c>
      <c r="C205" s="24" t="str">
        <f>IF(A205="","",Trabajadores!G203)</f>
        <v/>
      </c>
      <c r="D205" s="19" t="str">
        <f>IF($A205="","",SUMIFS('Registro de turnos'!$L$5:$L$504,'Registro de turnos'!$B$5:$B$504,$A205,'Registro de turnos'!$A$5:$A$504,"&gt;="&amp;$B$3,'Registro de turnos'!$A$5:$A$504,"&lt;="&amp;$B$4))</f>
        <v/>
      </c>
      <c r="E205" s="19" t="str">
        <f>IF($A205="","",SUMIFS('Registro de turnos'!$M$5:$M$504,'Registro de turnos'!$B$5:$B$504,$A205,'Registro de turnos'!$A$5:$A$504,"&gt;="&amp;$B$3,'Registro de turnos'!$A$5:$A$504,"&lt;="&amp;$B$4))</f>
        <v/>
      </c>
      <c r="F205" s="19" t="str">
        <f>IF($A205="","",SUMIFS('Registro de turnos'!$N$5:$N$504,'Registro de turnos'!$B$5:$B$504,$A205,'Registro de turnos'!$A$5:$A$504,"&gt;="&amp;$B$3,'Registro de turnos'!$A$5:$A$504,"&lt;="&amp;$B$4))</f>
        <v/>
      </c>
      <c r="G205" s="19" t="str">
        <f>IF($A205="","",SUMIFS('Registro de turnos'!$O$5:$O$504,'Registro de turnos'!$B$5:$B$504,$A205,'Registro de turnos'!$A$5:$A$504,"&gt;="&amp;$B$3,'Registro de turnos'!$A$5:$A$504,"&lt;="&amp;$B$4))</f>
        <v/>
      </c>
      <c r="H205" s="19" t="str">
        <f>IF($A205="","",SUMIFS('Registro de turnos'!$P$5:$P$504,'Registro de turnos'!$B$5:$B$504,$A205,'Registro de turnos'!$A$5:$A$504,"&gt;="&amp;$B$3,'Registro de turnos'!$A$5:$A$504,"&lt;="&amp;$B$4))</f>
        <v/>
      </c>
      <c r="I205" s="19" t="str">
        <f>IF($A205="","",SUMIFS('Registro de turnos'!$Q$5:$Q$504,'Registro de turnos'!$B$5:$B$504,$A205,'Registro de turnos'!$A$5:$A$504,"&gt;="&amp;$B$3,'Registro de turnos'!$A$5:$A$504,"&lt;="&amp;$B$4))</f>
        <v/>
      </c>
      <c r="J205" s="19" t="str">
        <f>IF($A205="","",SUMIFS('Registro de turnos'!$R$5:$R$504,'Registro de turnos'!$B$5:$B$504,$A205,'Registro de turnos'!$A$5:$A$504,"&gt;="&amp;$B$3,'Registro de turnos'!$A$5:$A$504,"&lt;="&amp;$B$4))</f>
        <v/>
      </c>
      <c r="K205" s="19" t="str">
        <f t="shared" si="36"/>
        <v/>
      </c>
      <c r="L205" s="17" t="str">
        <f>IF($A205="","",SUMIFS('Registro de turnos'!$T$5:$T$504,'Registro de turnos'!$B$5:$B$504,$A205,'Registro de turnos'!$A$5:$A$504,"&gt;="&amp;$B$3,'Registro de turnos'!$A$5:$A$504,"&lt;="&amp;$B$4))</f>
        <v/>
      </c>
      <c r="M205" s="17" t="str">
        <f t="shared" si="37"/>
        <v/>
      </c>
      <c r="N205" s="17" t="str">
        <f t="shared" si="38"/>
        <v/>
      </c>
      <c r="O205" s="17" t="str">
        <f t="shared" si="39"/>
        <v/>
      </c>
      <c r="P205" s="17" t="str">
        <f>IF($A205="","",ROUND(C205*D205*Parámetros!$B$8*0.0417,0))</f>
        <v/>
      </c>
      <c r="Q205" s="17" t="str">
        <f t="shared" si="40"/>
        <v/>
      </c>
      <c r="R205" s="17" t="str">
        <f t="shared" si="41"/>
        <v/>
      </c>
    </row>
    <row r="206" spans="1:18" x14ac:dyDescent="0.25">
      <c r="A206" s="22" t="str">
        <f>IF(Trabajadores!A204="","",Trabajadores!A204)</f>
        <v/>
      </c>
      <c r="B206" s="23" t="str">
        <f>IF(A206="","",Trabajadores!B204)</f>
        <v/>
      </c>
      <c r="C206" s="24" t="str">
        <f>IF(A206="","",Trabajadores!G204)</f>
        <v/>
      </c>
      <c r="D206" s="19" t="str">
        <f>IF($A206="","",SUMIFS('Registro de turnos'!$L$5:$L$504,'Registro de turnos'!$B$5:$B$504,$A206,'Registro de turnos'!$A$5:$A$504,"&gt;="&amp;$B$3,'Registro de turnos'!$A$5:$A$504,"&lt;="&amp;$B$4))</f>
        <v/>
      </c>
      <c r="E206" s="19" t="str">
        <f>IF($A206="","",SUMIFS('Registro de turnos'!$M$5:$M$504,'Registro de turnos'!$B$5:$B$504,$A206,'Registro de turnos'!$A$5:$A$504,"&gt;="&amp;$B$3,'Registro de turnos'!$A$5:$A$504,"&lt;="&amp;$B$4))</f>
        <v/>
      </c>
      <c r="F206" s="19" t="str">
        <f>IF($A206="","",SUMIFS('Registro de turnos'!$N$5:$N$504,'Registro de turnos'!$B$5:$B$504,$A206,'Registro de turnos'!$A$5:$A$504,"&gt;="&amp;$B$3,'Registro de turnos'!$A$5:$A$504,"&lt;="&amp;$B$4))</f>
        <v/>
      </c>
      <c r="G206" s="19" t="str">
        <f>IF($A206="","",SUMIFS('Registro de turnos'!$O$5:$O$504,'Registro de turnos'!$B$5:$B$504,$A206,'Registro de turnos'!$A$5:$A$504,"&gt;="&amp;$B$3,'Registro de turnos'!$A$5:$A$504,"&lt;="&amp;$B$4))</f>
        <v/>
      </c>
      <c r="H206" s="19" t="str">
        <f>IF($A206="","",SUMIFS('Registro de turnos'!$P$5:$P$504,'Registro de turnos'!$B$5:$B$504,$A206,'Registro de turnos'!$A$5:$A$504,"&gt;="&amp;$B$3,'Registro de turnos'!$A$5:$A$504,"&lt;="&amp;$B$4))</f>
        <v/>
      </c>
      <c r="I206" s="19" t="str">
        <f>IF($A206="","",SUMIFS('Registro de turnos'!$Q$5:$Q$504,'Registro de turnos'!$B$5:$B$504,$A206,'Registro de turnos'!$A$5:$A$504,"&gt;="&amp;$B$3,'Registro de turnos'!$A$5:$A$504,"&lt;="&amp;$B$4))</f>
        <v/>
      </c>
      <c r="J206" s="19" t="str">
        <f>IF($A206="","",SUMIFS('Registro de turnos'!$R$5:$R$504,'Registro de turnos'!$B$5:$B$504,$A206,'Registro de turnos'!$A$5:$A$504,"&gt;="&amp;$B$3,'Registro de turnos'!$A$5:$A$504,"&lt;="&amp;$B$4))</f>
        <v/>
      </c>
      <c r="K206" s="19" t="str">
        <f t="shared" si="36"/>
        <v/>
      </c>
      <c r="L206" s="17" t="str">
        <f>IF($A206="","",SUMIFS('Registro de turnos'!$T$5:$T$504,'Registro de turnos'!$B$5:$B$504,$A206,'Registro de turnos'!$A$5:$A$504,"&gt;="&amp;$B$3,'Registro de turnos'!$A$5:$A$504,"&lt;="&amp;$B$4))</f>
        <v/>
      </c>
      <c r="M206" s="17" t="str">
        <f t="shared" si="37"/>
        <v/>
      </c>
      <c r="N206" s="17" t="str">
        <f t="shared" si="38"/>
        <v/>
      </c>
      <c r="O206" s="17" t="str">
        <f t="shared" si="39"/>
        <v/>
      </c>
      <c r="P206" s="17" t="str">
        <f>IF($A206="","",ROUND(C206*D206*Parámetros!$B$8*0.0417,0))</f>
        <v/>
      </c>
      <c r="Q206" s="17" t="str">
        <f t="shared" si="40"/>
        <v/>
      </c>
      <c r="R206" s="17" t="str">
        <f t="shared" si="41"/>
        <v/>
      </c>
    </row>
    <row r="207" spans="1:18" x14ac:dyDescent="0.25">
      <c r="B207" s="21" t="s">
        <v>139</v>
      </c>
      <c r="D207" s="25">
        <f t="shared" ref="D207:R207" si="42">SUM(D7:D206)</f>
        <v>0</v>
      </c>
      <c r="E207" s="25">
        <f t="shared" si="42"/>
        <v>3</v>
      </c>
      <c r="F207" s="25">
        <f t="shared" si="42"/>
        <v>4</v>
      </c>
      <c r="G207" s="25">
        <f t="shared" si="42"/>
        <v>0</v>
      </c>
      <c r="H207" s="25">
        <f t="shared" si="42"/>
        <v>0</v>
      </c>
      <c r="I207" s="25">
        <f t="shared" si="42"/>
        <v>0</v>
      </c>
      <c r="J207" s="25">
        <f t="shared" si="42"/>
        <v>4</v>
      </c>
      <c r="K207" s="25">
        <f t="shared" si="42"/>
        <v>11</v>
      </c>
      <c r="L207" s="26">
        <f t="shared" si="42"/>
        <v>508333</v>
      </c>
      <c r="M207" s="26">
        <f t="shared" si="42"/>
        <v>42344</v>
      </c>
      <c r="N207" s="26">
        <f t="shared" si="42"/>
        <v>42344</v>
      </c>
      <c r="O207" s="26">
        <f t="shared" si="42"/>
        <v>5083</v>
      </c>
      <c r="P207" s="26">
        <f t="shared" si="42"/>
        <v>0</v>
      </c>
      <c r="Q207" s="26">
        <f t="shared" si="42"/>
        <v>40667</v>
      </c>
      <c r="R207" s="26">
        <f t="shared" si="42"/>
        <v>467666</v>
      </c>
    </row>
    <row r="208" spans="1:18" x14ac:dyDescent="0.25">
      <c r="B208" s="13" t="s">
        <v>140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50"/>
  <sheetViews>
    <sheetView showGridLines="0" zoomScaleNormal="100" workbookViewId="0"/>
  </sheetViews>
  <sheetFormatPr baseColWidth="10" defaultColWidth="8.7109375" defaultRowHeight="15" x14ac:dyDescent="0.25"/>
  <cols>
    <col min="1" max="1" width="30" customWidth="1"/>
    <col min="2" max="4" width="14" customWidth="1"/>
    <col min="5" max="5" width="3" customWidth="1"/>
    <col min="6" max="6" width="13" customWidth="1"/>
    <col min="7" max="7" width="12" customWidth="1"/>
    <col min="8" max="8" width="24" customWidth="1"/>
    <col min="9" max="9" width="14" customWidth="1"/>
  </cols>
  <sheetData>
    <row r="1" spans="1:9" ht="18" x14ac:dyDescent="0.25">
      <c r="A1" s="1" t="s">
        <v>141</v>
      </c>
    </row>
    <row r="2" spans="1:9" x14ac:dyDescent="0.25">
      <c r="A2" s="13" t="s">
        <v>142</v>
      </c>
    </row>
    <row r="4" spans="1:9" ht="15.75" x14ac:dyDescent="0.25">
      <c r="A4" s="21" t="s">
        <v>143</v>
      </c>
      <c r="B4" s="15">
        <v>46309</v>
      </c>
      <c r="F4" s="27" t="s">
        <v>144</v>
      </c>
    </row>
    <row r="5" spans="1:9" ht="30" customHeight="1" x14ac:dyDescent="0.25">
      <c r="A5" s="21" t="s">
        <v>75</v>
      </c>
      <c r="B5" s="7">
        <f>Parámetros!B5</f>
        <v>42</v>
      </c>
      <c r="F5" s="4" t="s">
        <v>45</v>
      </c>
      <c r="G5" s="4" t="s">
        <v>46</v>
      </c>
      <c r="H5" s="4" t="s">
        <v>145</v>
      </c>
      <c r="I5" s="4" t="s">
        <v>146</v>
      </c>
    </row>
    <row r="6" spans="1:9" x14ac:dyDescent="0.25">
      <c r="A6" s="21" t="s">
        <v>147</v>
      </c>
      <c r="B6" s="15"/>
      <c r="C6" s="15"/>
      <c r="D6" s="15"/>
      <c r="F6" s="28">
        <f>$B$4-WEEKDAY($B$4,2)+1</f>
        <v>46307</v>
      </c>
      <c r="G6" s="5" t="str">
        <f t="shared" ref="G6:G12" si="0">INDEX($A$10:$A$16,WEEKDAY(F6,2))</f>
        <v>Lunes</v>
      </c>
      <c r="H6" s="5" t="str">
        <f>IF(INDEX($B$10:$B$16,WEEKDAY(F6,2))&lt;&gt;"Sí",IF(COUNTIF(Festivos!$A$5:$A$451,F6)&gt;0,"Festivo (no laborable)","Descanso"),IF(COUNTIF(Festivos!$A$5:$A$451,F6)&gt;0,"Festivo",IF(COUNTIF($B$6:$D$6,F6)&gt;0,"Descanso compensatorio","Laboral")))</f>
        <v>Festivo</v>
      </c>
      <c r="I6" s="9">
        <f t="shared" ref="I6:I12" si="1">IF(H6="Laboral",INDEX($D$10:$D$16,WEEKDAY(F6,2)),0)</f>
        <v>0</v>
      </c>
    </row>
    <row r="7" spans="1:9" x14ac:dyDescent="0.25">
      <c r="B7" s="13" t="s">
        <v>148</v>
      </c>
      <c r="F7" s="28">
        <f>$B$4-WEEKDAY($B$4,2)+2</f>
        <v>46308</v>
      </c>
      <c r="G7" s="5" t="str">
        <f t="shared" si="0"/>
        <v>Martes</v>
      </c>
      <c r="H7" s="5" t="str">
        <f>IF(INDEX($B$10:$B$16,WEEKDAY(F7,2))&lt;&gt;"Sí",IF(COUNTIF(Festivos!$A$5:$A$451,F7)&gt;0,"Festivo (no laborable)","Descanso"),IF(COUNTIF(Festivos!$A$5:$A$451,F7)&gt;0,"Festivo",IF(COUNTIF($B$6:$D$6,F7)&gt;0,"Descanso compensatorio","Laboral")))</f>
        <v>Laboral</v>
      </c>
      <c r="I7" s="9">
        <f t="shared" si="1"/>
        <v>8.4</v>
      </c>
    </row>
    <row r="8" spans="1:9" x14ac:dyDescent="0.25">
      <c r="F8" s="28">
        <f>$B$4-WEEKDAY($B$4,2)+3</f>
        <v>46309</v>
      </c>
      <c r="G8" s="5" t="str">
        <f t="shared" si="0"/>
        <v>Miércoles</v>
      </c>
      <c r="H8" s="5" t="str">
        <f>IF(INDEX($B$10:$B$16,WEEKDAY(F8,2))&lt;&gt;"Sí",IF(COUNTIF(Festivos!$A$5:$A$451,F8)&gt;0,"Festivo (no laborable)","Descanso"),IF(COUNTIF(Festivos!$A$5:$A$451,F8)&gt;0,"Festivo",IF(COUNTIF($B$6:$D$6,F8)&gt;0,"Descanso compensatorio","Laboral")))</f>
        <v>Laboral</v>
      </c>
      <c r="I8" s="9">
        <f t="shared" si="1"/>
        <v>8.4</v>
      </c>
    </row>
    <row r="9" spans="1:9" ht="30" customHeight="1" x14ac:dyDescent="0.25">
      <c r="A9" s="4" t="s">
        <v>46</v>
      </c>
      <c r="B9" s="4" t="s">
        <v>149</v>
      </c>
      <c r="C9" s="4" t="s">
        <v>150</v>
      </c>
      <c r="D9" s="4" t="s">
        <v>151</v>
      </c>
      <c r="F9" s="28">
        <f>$B$4-WEEKDAY($B$4,2)+4</f>
        <v>46310</v>
      </c>
      <c r="G9" s="5" t="str">
        <f t="shared" si="0"/>
        <v>Jueves</v>
      </c>
      <c r="H9" s="5" t="str">
        <f>IF(INDEX($B$10:$B$16,WEEKDAY(F9,2))&lt;&gt;"Sí",IF(COUNTIF(Festivos!$A$5:$A$451,F9)&gt;0,"Festivo (no laborable)","Descanso"),IF(COUNTIF(Festivos!$A$5:$A$451,F9)&gt;0,"Festivo",IF(COUNTIF($B$6:$D$6,F9)&gt;0,"Descanso compensatorio","Laboral")))</f>
        <v>Laboral</v>
      </c>
      <c r="I9" s="9">
        <f t="shared" si="1"/>
        <v>8.4</v>
      </c>
    </row>
    <row r="10" spans="1:9" x14ac:dyDescent="0.25">
      <c r="A10" s="5" t="s">
        <v>152</v>
      </c>
      <c r="B10" s="16" t="s">
        <v>153</v>
      </c>
      <c r="C10" s="18"/>
      <c r="D10" s="9">
        <f t="shared" ref="D10:D16" si="2">IF(B10&lt;&gt;"Sí",0,IF(C10&lt;&gt;"",C10,$B$5/MAX(1,COUNTIF($B$10:$B$16,"Sí"))))</f>
        <v>8.4</v>
      </c>
      <c r="F10" s="28">
        <f>$B$4-WEEKDAY($B$4,2)+5</f>
        <v>46311</v>
      </c>
      <c r="G10" s="5" t="str">
        <f t="shared" si="0"/>
        <v>Viernes</v>
      </c>
      <c r="H10" s="5" t="str">
        <f>IF(INDEX($B$10:$B$16,WEEKDAY(F10,2))&lt;&gt;"Sí",IF(COUNTIF(Festivos!$A$5:$A$451,F10)&gt;0,"Festivo (no laborable)","Descanso"),IF(COUNTIF(Festivos!$A$5:$A$451,F10)&gt;0,"Festivo",IF(COUNTIF($B$6:$D$6,F10)&gt;0,"Descanso compensatorio","Laboral")))</f>
        <v>Laboral</v>
      </c>
      <c r="I10" s="9">
        <f t="shared" si="1"/>
        <v>8.4</v>
      </c>
    </row>
    <row r="11" spans="1:9" x14ac:dyDescent="0.25">
      <c r="A11" s="5" t="s">
        <v>154</v>
      </c>
      <c r="B11" s="16" t="s">
        <v>153</v>
      </c>
      <c r="C11" s="18"/>
      <c r="D11" s="9">
        <f t="shared" si="2"/>
        <v>8.4</v>
      </c>
      <c r="F11" s="28">
        <f>$B$4-WEEKDAY($B$4,2)+6</f>
        <v>46312</v>
      </c>
      <c r="G11" s="5" t="str">
        <f t="shared" si="0"/>
        <v>Sábado</v>
      </c>
      <c r="H11" s="5" t="str">
        <f>IF(INDEX($B$10:$B$16,WEEKDAY(F11,2))&lt;&gt;"Sí",IF(COUNTIF(Festivos!$A$5:$A$451,F11)&gt;0,"Festivo (no laborable)","Descanso"),IF(COUNTIF(Festivos!$A$5:$A$451,F11)&gt;0,"Festivo",IF(COUNTIF($B$6:$D$6,F11)&gt;0,"Descanso compensatorio","Laboral")))</f>
        <v>Descanso</v>
      </c>
      <c r="I11" s="9">
        <f t="shared" si="1"/>
        <v>0</v>
      </c>
    </row>
    <row r="12" spans="1:9" x14ac:dyDescent="0.25">
      <c r="A12" s="5" t="s">
        <v>155</v>
      </c>
      <c r="B12" s="16" t="s">
        <v>153</v>
      </c>
      <c r="C12" s="18"/>
      <c r="D12" s="9">
        <f t="shared" si="2"/>
        <v>8.4</v>
      </c>
      <c r="F12" s="28">
        <f>$B$4-WEEKDAY($B$4,2)+7</f>
        <v>46313</v>
      </c>
      <c r="G12" s="5" t="str">
        <f t="shared" si="0"/>
        <v>Domingo</v>
      </c>
      <c r="H12" s="5" t="str">
        <f>IF(INDEX($B$10:$B$16,WEEKDAY(F12,2))&lt;&gt;"Sí",IF(COUNTIF(Festivos!$A$5:$A$451,F12)&gt;0,"Festivo (no laborable)","Descanso"),IF(COUNTIF(Festivos!$A$5:$A$451,F12)&gt;0,"Festivo",IF(COUNTIF($B$6:$D$6,F12)&gt;0,"Descanso compensatorio","Laboral")))</f>
        <v>Descanso</v>
      </c>
      <c r="I12" s="9">
        <f t="shared" si="1"/>
        <v>0</v>
      </c>
    </row>
    <row r="13" spans="1:9" x14ac:dyDescent="0.25">
      <c r="A13" s="5" t="s">
        <v>156</v>
      </c>
      <c r="B13" s="16" t="s">
        <v>153</v>
      </c>
      <c r="C13" s="18"/>
      <c r="D13" s="9">
        <f t="shared" si="2"/>
        <v>8.4</v>
      </c>
      <c r="F13" s="29" t="s">
        <v>157</v>
      </c>
      <c r="I13" s="30">
        <f>SUM(I6:I12)</f>
        <v>33.6</v>
      </c>
    </row>
    <row r="14" spans="1:9" x14ac:dyDescent="0.25">
      <c r="A14" s="5" t="s">
        <v>158</v>
      </c>
      <c r="B14" s="16" t="s">
        <v>153</v>
      </c>
      <c r="C14" s="18"/>
      <c r="D14" s="9">
        <f t="shared" si="2"/>
        <v>8.4</v>
      </c>
      <c r="F14" s="13" t="str">
        <f>IF(I13&lt;D17,"Esta semana no son "&amp;FIXED(D17,1)&amp;" horas sino "&amp;FIXED(I13,1)&amp;": se restan las de los festivos y compensatorios que caen en días de trabajo.","")</f>
        <v>Esta semana no son 42,0 horas sino 33,6: se restan las de los festivos y compensatorios que caen en días de trabajo.</v>
      </c>
    </row>
    <row r="15" spans="1:9" x14ac:dyDescent="0.25">
      <c r="A15" s="5" t="s">
        <v>159</v>
      </c>
      <c r="B15" s="16" t="s">
        <v>160</v>
      </c>
      <c r="C15" s="18"/>
      <c r="D15" s="9">
        <f t="shared" si="2"/>
        <v>0</v>
      </c>
    </row>
    <row r="16" spans="1:9" ht="15.75" x14ac:dyDescent="0.25">
      <c r="A16" s="5" t="s">
        <v>161</v>
      </c>
      <c r="B16" s="16" t="s">
        <v>160</v>
      </c>
      <c r="C16" s="18"/>
      <c r="D16" s="9">
        <f t="shared" si="2"/>
        <v>0</v>
      </c>
      <c r="F16" s="27" t="s">
        <v>162</v>
      </c>
    </row>
    <row r="17" spans="1:9" ht="30" customHeight="1" x14ac:dyDescent="0.25">
      <c r="A17" s="29" t="s">
        <v>163</v>
      </c>
      <c r="D17" s="31">
        <f>SUM(D10:D16)</f>
        <v>42</v>
      </c>
      <c r="F17" s="4" t="s">
        <v>45</v>
      </c>
      <c r="G17" s="4" t="s">
        <v>46</v>
      </c>
      <c r="H17" s="4" t="s">
        <v>145</v>
      </c>
      <c r="I17" s="4" t="s">
        <v>146</v>
      </c>
    </row>
    <row r="18" spans="1:9" x14ac:dyDescent="0.25">
      <c r="A18" s="32" t="str">
        <f>IF(D17&gt;VLOOKUP(B4,Parámetros!$A$28:$B$32,2,TRUE()),"La jornada supera la máxima legal vigente en esa fecha.","")</f>
        <v/>
      </c>
      <c r="F18" s="28">
        <f>IF(1&gt;DAY(EOMONTH($B$4,0)),"",DATE(YEAR($B$4),MONTH($B$4),1))</f>
        <v>46296</v>
      </c>
      <c r="G18" s="5" t="str">
        <f t="shared" ref="G18:G48" si="3">IF(F18="","",INDEX($A$10:$A$16,WEEKDAY(F18,2)))</f>
        <v>Jueves</v>
      </c>
      <c r="H18" s="5" t="str">
        <f>IF(F18="","",IF(INDEX($B$10:$B$16,WEEKDAY(F18,2))&lt;&gt;"Sí",IF(COUNTIF(Festivos!$A$5:$A$451,F18)&gt;0,"Festivo (no laborable)","Descanso"),IF(COUNTIF(Festivos!$A$5:$A$451,F18)&gt;0,"Festivo",IF(COUNTIF($B$6:$D$6,F18)&gt;0,"Descanso compensatorio","Laboral"))))</f>
        <v>Laboral</v>
      </c>
      <c r="I18" s="9">
        <f t="shared" ref="I18:I48" si="4">IF(F18="","",IF(H18="Laboral",INDEX($D$10:$D$16,WEEKDAY(F18,2)),0))</f>
        <v>8.4</v>
      </c>
    </row>
    <row r="19" spans="1:9" x14ac:dyDescent="0.25">
      <c r="F19" s="28">
        <f>IF(2&gt;DAY(EOMONTH($B$4,0)),"",DATE(YEAR($B$4),MONTH($B$4),2))</f>
        <v>46297</v>
      </c>
      <c r="G19" s="5" t="str">
        <f t="shared" si="3"/>
        <v>Viernes</v>
      </c>
      <c r="H19" s="5" t="str">
        <f>IF(F19="","",IF(INDEX($B$10:$B$16,WEEKDAY(F19,2))&lt;&gt;"Sí",IF(COUNTIF(Festivos!$A$5:$A$451,F19)&gt;0,"Festivo (no laborable)","Descanso"),IF(COUNTIF(Festivos!$A$5:$A$451,F19)&gt;0,"Festivo",IF(COUNTIF($B$6:$D$6,F19)&gt;0,"Descanso compensatorio","Laboral"))))</f>
        <v>Laboral</v>
      </c>
      <c r="I19" s="9">
        <f t="shared" si="4"/>
        <v>8.4</v>
      </c>
    </row>
    <row r="20" spans="1:9" x14ac:dyDescent="0.25">
      <c r="F20" s="28">
        <f>IF(3&gt;DAY(EOMONTH($B$4,0)),"",DATE(YEAR($B$4),MONTH($B$4),3))</f>
        <v>46298</v>
      </c>
      <c r="G20" s="5" t="str">
        <f t="shared" si="3"/>
        <v>Sábado</v>
      </c>
      <c r="H20" s="5" t="str">
        <f>IF(F20="","",IF(INDEX($B$10:$B$16,WEEKDAY(F20,2))&lt;&gt;"Sí",IF(COUNTIF(Festivos!$A$5:$A$451,F20)&gt;0,"Festivo (no laborable)","Descanso"),IF(COUNTIF(Festivos!$A$5:$A$451,F20)&gt;0,"Festivo",IF(COUNTIF($B$6:$D$6,F20)&gt;0,"Descanso compensatorio","Laboral"))))</f>
        <v>Descanso</v>
      </c>
      <c r="I20" s="9">
        <f t="shared" si="4"/>
        <v>0</v>
      </c>
    </row>
    <row r="21" spans="1:9" x14ac:dyDescent="0.25">
      <c r="F21" s="28">
        <f>IF(4&gt;DAY(EOMONTH($B$4,0)),"",DATE(YEAR($B$4),MONTH($B$4),4))</f>
        <v>46299</v>
      </c>
      <c r="G21" s="5" t="str">
        <f t="shared" si="3"/>
        <v>Domingo</v>
      </c>
      <c r="H21" s="5" t="str">
        <f>IF(F21="","",IF(INDEX($B$10:$B$16,WEEKDAY(F21,2))&lt;&gt;"Sí",IF(COUNTIF(Festivos!$A$5:$A$451,F21)&gt;0,"Festivo (no laborable)","Descanso"),IF(COUNTIF(Festivos!$A$5:$A$451,F21)&gt;0,"Festivo",IF(COUNTIF($B$6:$D$6,F21)&gt;0,"Descanso compensatorio","Laboral"))))</f>
        <v>Descanso</v>
      </c>
      <c r="I21" s="9">
        <f t="shared" si="4"/>
        <v>0</v>
      </c>
    </row>
    <row r="22" spans="1:9" x14ac:dyDescent="0.25">
      <c r="F22" s="28">
        <f>IF(5&gt;DAY(EOMONTH($B$4,0)),"",DATE(YEAR($B$4),MONTH($B$4),5))</f>
        <v>46300</v>
      </c>
      <c r="G22" s="5" t="str">
        <f t="shared" si="3"/>
        <v>Lunes</v>
      </c>
      <c r="H22" s="5" t="str">
        <f>IF(F22="","",IF(INDEX($B$10:$B$16,WEEKDAY(F22,2))&lt;&gt;"Sí",IF(COUNTIF(Festivos!$A$5:$A$451,F22)&gt;0,"Festivo (no laborable)","Descanso"),IF(COUNTIF(Festivos!$A$5:$A$451,F22)&gt;0,"Festivo",IF(COUNTIF($B$6:$D$6,F22)&gt;0,"Descanso compensatorio","Laboral"))))</f>
        <v>Laboral</v>
      </c>
      <c r="I22" s="9">
        <f t="shared" si="4"/>
        <v>8.4</v>
      </c>
    </row>
    <row r="23" spans="1:9" x14ac:dyDescent="0.25">
      <c r="F23" s="28">
        <f>IF(6&gt;DAY(EOMONTH($B$4,0)),"",DATE(YEAR($B$4),MONTH($B$4),6))</f>
        <v>46301</v>
      </c>
      <c r="G23" s="5" t="str">
        <f t="shared" si="3"/>
        <v>Martes</v>
      </c>
      <c r="H23" s="5" t="str">
        <f>IF(F23="","",IF(INDEX($B$10:$B$16,WEEKDAY(F23,2))&lt;&gt;"Sí",IF(COUNTIF(Festivos!$A$5:$A$451,F23)&gt;0,"Festivo (no laborable)","Descanso"),IF(COUNTIF(Festivos!$A$5:$A$451,F23)&gt;0,"Festivo",IF(COUNTIF($B$6:$D$6,F23)&gt;0,"Descanso compensatorio","Laboral"))))</f>
        <v>Laboral</v>
      </c>
      <c r="I23" s="9">
        <f t="shared" si="4"/>
        <v>8.4</v>
      </c>
    </row>
    <row r="24" spans="1:9" x14ac:dyDescent="0.25">
      <c r="F24" s="28">
        <f>IF(7&gt;DAY(EOMONTH($B$4,0)),"",DATE(YEAR($B$4),MONTH($B$4),7))</f>
        <v>46302</v>
      </c>
      <c r="G24" s="5" t="str">
        <f t="shared" si="3"/>
        <v>Miércoles</v>
      </c>
      <c r="H24" s="5" t="str">
        <f>IF(F24="","",IF(INDEX($B$10:$B$16,WEEKDAY(F24,2))&lt;&gt;"Sí",IF(COUNTIF(Festivos!$A$5:$A$451,F24)&gt;0,"Festivo (no laborable)","Descanso"),IF(COUNTIF(Festivos!$A$5:$A$451,F24)&gt;0,"Festivo",IF(COUNTIF($B$6:$D$6,F24)&gt;0,"Descanso compensatorio","Laboral"))))</f>
        <v>Laboral</v>
      </c>
      <c r="I24" s="9">
        <f t="shared" si="4"/>
        <v>8.4</v>
      </c>
    </row>
    <row r="25" spans="1:9" x14ac:dyDescent="0.25">
      <c r="F25" s="28">
        <f>IF(8&gt;DAY(EOMONTH($B$4,0)),"",DATE(YEAR($B$4),MONTH($B$4),8))</f>
        <v>46303</v>
      </c>
      <c r="G25" s="5" t="str">
        <f t="shared" si="3"/>
        <v>Jueves</v>
      </c>
      <c r="H25" s="5" t="str">
        <f>IF(F25="","",IF(INDEX($B$10:$B$16,WEEKDAY(F25,2))&lt;&gt;"Sí",IF(COUNTIF(Festivos!$A$5:$A$451,F25)&gt;0,"Festivo (no laborable)","Descanso"),IF(COUNTIF(Festivos!$A$5:$A$451,F25)&gt;0,"Festivo",IF(COUNTIF($B$6:$D$6,F25)&gt;0,"Descanso compensatorio","Laboral"))))</f>
        <v>Laboral</v>
      </c>
      <c r="I25" s="9">
        <f t="shared" si="4"/>
        <v>8.4</v>
      </c>
    </row>
    <row r="26" spans="1:9" x14ac:dyDescent="0.25">
      <c r="F26" s="28">
        <f>IF(9&gt;DAY(EOMONTH($B$4,0)),"",DATE(YEAR($B$4),MONTH($B$4),9))</f>
        <v>46304</v>
      </c>
      <c r="G26" s="5" t="str">
        <f t="shared" si="3"/>
        <v>Viernes</v>
      </c>
      <c r="H26" s="5" t="str">
        <f>IF(F26="","",IF(INDEX($B$10:$B$16,WEEKDAY(F26,2))&lt;&gt;"Sí",IF(COUNTIF(Festivos!$A$5:$A$451,F26)&gt;0,"Festivo (no laborable)","Descanso"),IF(COUNTIF(Festivos!$A$5:$A$451,F26)&gt;0,"Festivo",IF(COUNTIF($B$6:$D$6,F26)&gt;0,"Descanso compensatorio","Laboral"))))</f>
        <v>Laboral</v>
      </c>
      <c r="I26" s="9">
        <f t="shared" si="4"/>
        <v>8.4</v>
      </c>
    </row>
    <row r="27" spans="1:9" x14ac:dyDescent="0.25">
      <c r="F27" s="28">
        <f>IF(10&gt;DAY(EOMONTH($B$4,0)),"",DATE(YEAR($B$4),MONTH($B$4),10))</f>
        <v>46305</v>
      </c>
      <c r="G27" s="5" t="str">
        <f t="shared" si="3"/>
        <v>Sábado</v>
      </c>
      <c r="H27" s="5" t="str">
        <f>IF(F27="","",IF(INDEX($B$10:$B$16,WEEKDAY(F27,2))&lt;&gt;"Sí",IF(COUNTIF(Festivos!$A$5:$A$451,F27)&gt;0,"Festivo (no laborable)","Descanso"),IF(COUNTIF(Festivos!$A$5:$A$451,F27)&gt;0,"Festivo",IF(COUNTIF($B$6:$D$6,F27)&gt;0,"Descanso compensatorio","Laboral"))))</f>
        <v>Descanso</v>
      </c>
      <c r="I27" s="9">
        <f t="shared" si="4"/>
        <v>0</v>
      </c>
    </row>
    <row r="28" spans="1:9" x14ac:dyDescent="0.25">
      <c r="F28" s="28">
        <f>IF(11&gt;DAY(EOMONTH($B$4,0)),"",DATE(YEAR($B$4),MONTH($B$4),11))</f>
        <v>46306</v>
      </c>
      <c r="G28" s="5" t="str">
        <f t="shared" si="3"/>
        <v>Domingo</v>
      </c>
      <c r="H28" s="5" t="str">
        <f>IF(F28="","",IF(INDEX($B$10:$B$16,WEEKDAY(F28,2))&lt;&gt;"Sí",IF(COUNTIF(Festivos!$A$5:$A$451,F28)&gt;0,"Festivo (no laborable)","Descanso"),IF(COUNTIF(Festivos!$A$5:$A$451,F28)&gt;0,"Festivo",IF(COUNTIF($B$6:$D$6,F28)&gt;0,"Descanso compensatorio","Laboral"))))</f>
        <v>Descanso</v>
      </c>
      <c r="I28" s="9">
        <f t="shared" si="4"/>
        <v>0</v>
      </c>
    </row>
    <row r="29" spans="1:9" x14ac:dyDescent="0.25">
      <c r="F29" s="28">
        <f>IF(12&gt;DAY(EOMONTH($B$4,0)),"",DATE(YEAR($B$4),MONTH($B$4),12))</f>
        <v>46307</v>
      </c>
      <c r="G29" s="5" t="str">
        <f t="shared" si="3"/>
        <v>Lunes</v>
      </c>
      <c r="H29" s="5" t="str">
        <f>IF(F29="","",IF(INDEX($B$10:$B$16,WEEKDAY(F29,2))&lt;&gt;"Sí",IF(COUNTIF(Festivos!$A$5:$A$451,F29)&gt;0,"Festivo (no laborable)","Descanso"),IF(COUNTIF(Festivos!$A$5:$A$451,F29)&gt;0,"Festivo",IF(COUNTIF($B$6:$D$6,F29)&gt;0,"Descanso compensatorio","Laboral"))))</f>
        <v>Festivo</v>
      </c>
      <c r="I29" s="9">
        <f t="shared" si="4"/>
        <v>0</v>
      </c>
    </row>
    <row r="30" spans="1:9" x14ac:dyDescent="0.25">
      <c r="F30" s="28">
        <f>IF(13&gt;DAY(EOMONTH($B$4,0)),"",DATE(YEAR($B$4),MONTH($B$4),13))</f>
        <v>46308</v>
      </c>
      <c r="G30" s="5" t="str">
        <f t="shared" si="3"/>
        <v>Martes</v>
      </c>
      <c r="H30" s="5" t="str">
        <f>IF(F30="","",IF(INDEX($B$10:$B$16,WEEKDAY(F30,2))&lt;&gt;"Sí",IF(COUNTIF(Festivos!$A$5:$A$451,F30)&gt;0,"Festivo (no laborable)","Descanso"),IF(COUNTIF(Festivos!$A$5:$A$451,F30)&gt;0,"Festivo",IF(COUNTIF($B$6:$D$6,F30)&gt;0,"Descanso compensatorio","Laboral"))))</f>
        <v>Laboral</v>
      </c>
      <c r="I30" s="9">
        <f t="shared" si="4"/>
        <v>8.4</v>
      </c>
    </row>
    <row r="31" spans="1:9" x14ac:dyDescent="0.25">
      <c r="F31" s="28">
        <f>IF(14&gt;DAY(EOMONTH($B$4,0)),"",DATE(YEAR($B$4),MONTH($B$4),14))</f>
        <v>46309</v>
      </c>
      <c r="G31" s="5" t="str">
        <f t="shared" si="3"/>
        <v>Miércoles</v>
      </c>
      <c r="H31" s="5" t="str">
        <f>IF(F31="","",IF(INDEX($B$10:$B$16,WEEKDAY(F31,2))&lt;&gt;"Sí",IF(COUNTIF(Festivos!$A$5:$A$451,F31)&gt;0,"Festivo (no laborable)","Descanso"),IF(COUNTIF(Festivos!$A$5:$A$451,F31)&gt;0,"Festivo",IF(COUNTIF($B$6:$D$6,F31)&gt;0,"Descanso compensatorio","Laboral"))))</f>
        <v>Laboral</v>
      </c>
      <c r="I31" s="9">
        <f t="shared" si="4"/>
        <v>8.4</v>
      </c>
    </row>
    <row r="32" spans="1:9" x14ac:dyDescent="0.25">
      <c r="F32" s="28">
        <f>IF(15&gt;DAY(EOMONTH($B$4,0)),"",DATE(YEAR($B$4),MONTH($B$4),15))</f>
        <v>46310</v>
      </c>
      <c r="G32" s="5" t="str">
        <f t="shared" si="3"/>
        <v>Jueves</v>
      </c>
      <c r="H32" s="5" t="str">
        <f>IF(F32="","",IF(INDEX($B$10:$B$16,WEEKDAY(F32,2))&lt;&gt;"Sí",IF(COUNTIF(Festivos!$A$5:$A$451,F32)&gt;0,"Festivo (no laborable)","Descanso"),IF(COUNTIF(Festivos!$A$5:$A$451,F32)&gt;0,"Festivo",IF(COUNTIF($B$6:$D$6,F32)&gt;0,"Descanso compensatorio","Laboral"))))</f>
        <v>Laboral</v>
      </c>
      <c r="I32" s="9">
        <f t="shared" si="4"/>
        <v>8.4</v>
      </c>
    </row>
    <row r="33" spans="6:9" x14ac:dyDescent="0.25">
      <c r="F33" s="28">
        <f>IF(16&gt;DAY(EOMONTH($B$4,0)),"",DATE(YEAR($B$4),MONTH($B$4),16))</f>
        <v>46311</v>
      </c>
      <c r="G33" s="5" t="str">
        <f t="shared" si="3"/>
        <v>Viernes</v>
      </c>
      <c r="H33" s="5" t="str">
        <f>IF(F33="","",IF(INDEX($B$10:$B$16,WEEKDAY(F33,2))&lt;&gt;"Sí",IF(COUNTIF(Festivos!$A$5:$A$451,F33)&gt;0,"Festivo (no laborable)","Descanso"),IF(COUNTIF(Festivos!$A$5:$A$451,F33)&gt;0,"Festivo",IF(COUNTIF($B$6:$D$6,F33)&gt;0,"Descanso compensatorio","Laboral"))))</f>
        <v>Laboral</v>
      </c>
      <c r="I33" s="9">
        <f t="shared" si="4"/>
        <v>8.4</v>
      </c>
    </row>
    <row r="34" spans="6:9" x14ac:dyDescent="0.25">
      <c r="F34" s="28">
        <f>IF(17&gt;DAY(EOMONTH($B$4,0)),"",DATE(YEAR($B$4),MONTH($B$4),17))</f>
        <v>46312</v>
      </c>
      <c r="G34" s="5" t="str">
        <f t="shared" si="3"/>
        <v>Sábado</v>
      </c>
      <c r="H34" s="5" t="str">
        <f>IF(F34="","",IF(INDEX($B$10:$B$16,WEEKDAY(F34,2))&lt;&gt;"Sí",IF(COUNTIF(Festivos!$A$5:$A$451,F34)&gt;0,"Festivo (no laborable)","Descanso"),IF(COUNTIF(Festivos!$A$5:$A$451,F34)&gt;0,"Festivo",IF(COUNTIF($B$6:$D$6,F34)&gt;0,"Descanso compensatorio","Laboral"))))</f>
        <v>Descanso</v>
      </c>
      <c r="I34" s="9">
        <f t="shared" si="4"/>
        <v>0</v>
      </c>
    </row>
    <row r="35" spans="6:9" x14ac:dyDescent="0.25">
      <c r="F35" s="28">
        <f>IF(18&gt;DAY(EOMONTH($B$4,0)),"",DATE(YEAR($B$4),MONTH($B$4),18))</f>
        <v>46313</v>
      </c>
      <c r="G35" s="5" t="str">
        <f t="shared" si="3"/>
        <v>Domingo</v>
      </c>
      <c r="H35" s="5" t="str">
        <f>IF(F35="","",IF(INDEX($B$10:$B$16,WEEKDAY(F35,2))&lt;&gt;"Sí",IF(COUNTIF(Festivos!$A$5:$A$451,F35)&gt;0,"Festivo (no laborable)","Descanso"),IF(COUNTIF(Festivos!$A$5:$A$451,F35)&gt;0,"Festivo",IF(COUNTIF($B$6:$D$6,F35)&gt;0,"Descanso compensatorio","Laboral"))))</f>
        <v>Descanso</v>
      </c>
      <c r="I35" s="9">
        <f t="shared" si="4"/>
        <v>0</v>
      </c>
    </row>
    <row r="36" spans="6:9" x14ac:dyDescent="0.25">
      <c r="F36" s="28">
        <f>IF(19&gt;DAY(EOMONTH($B$4,0)),"",DATE(YEAR($B$4),MONTH($B$4),19))</f>
        <v>46314</v>
      </c>
      <c r="G36" s="5" t="str">
        <f t="shared" si="3"/>
        <v>Lunes</v>
      </c>
      <c r="H36" s="5" t="str">
        <f>IF(F36="","",IF(INDEX($B$10:$B$16,WEEKDAY(F36,2))&lt;&gt;"Sí",IF(COUNTIF(Festivos!$A$5:$A$451,F36)&gt;0,"Festivo (no laborable)","Descanso"),IF(COUNTIF(Festivos!$A$5:$A$451,F36)&gt;0,"Festivo",IF(COUNTIF($B$6:$D$6,F36)&gt;0,"Descanso compensatorio","Laboral"))))</f>
        <v>Laboral</v>
      </c>
      <c r="I36" s="9">
        <f t="shared" si="4"/>
        <v>8.4</v>
      </c>
    </row>
    <row r="37" spans="6:9" x14ac:dyDescent="0.25">
      <c r="F37" s="28">
        <f>IF(20&gt;DAY(EOMONTH($B$4,0)),"",DATE(YEAR($B$4),MONTH($B$4),20))</f>
        <v>46315</v>
      </c>
      <c r="G37" s="5" t="str">
        <f t="shared" si="3"/>
        <v>Martes</v>
      </c>
      <c r="H37" s="5" t="str">
        <f>IF(F37="","",IF(INDEX($B$10:$B$16,WEEKDAY(F37,2))&lt;&gt;"Sí",IF(COUNTIF(Festivos!$A$5:$A$451,F37)&gt;0,"Festivo (no laborable)","Descanso"),IF(COUNTIF(Festivos!$A$5:$A$451,F37)&gt;0,"Festivo",IF(COUNTIF($B$6:$D$6,F37)&gt;0,"Descanso compensatorio","Laboral"))))</f>
        <v>Laboral</v>
      </c>
      <c r="I37" s="9">
        <f t="shared" si="4"/>
        <v>8.4</v>
      </c>
    </row>
    <row r="38" spans="6:9" x14ac:dyDescent="0.25">
      <c r="F38" s="28">
        <f>IF(21&gt;DAY(EOMONTH($B$4,0)),"",DATE(YEAR($B$4),MONTH($B$4),21))</f>
        <v>46316</v>
      </c>
      <c r="G38" s="5" t="str">
        <f t="shared" si="3"/>
        <v>Miércoles</v>
      </c>
      <c r="H38" s="5" t="str">
        <f>IF(F38="","",IF(INDEX($B$10:$B$16,WEEKDAY(F38,2))&lt;&gt;"Sí",IF(COUNTIF(Festivos!$A$5:$A$451,F38)&gt;0,"Festivo (no laborable)","Descanso"),IF(COUNTIF(Festivos!$A$5:$A$451,F38)&gt;0,"Festivo",IF(COUNTIF($B$6:$D$6,F38)&gt;0,"Descanso compensatorio","Laboral"))))</f>
        <v>Laboral</v>
      </c>
      <c r="I38" s="9">
        <f t="shared" si="4"/>
        <v>8.4</v>
      </c>
    </row>
    <row r="39" spans="6:9" x14ac:dyDescent="0.25">
      <c r="F39" s="28">
        <f>IF(22&gt;DAY(EOMONTH($B$4,0)),"",DATE(YEAR($B$4),MONTH($B$4),22))</f>
        <v>46317</v>
      </c>
      <c r="G39" s="5" t="str">
        <f t="shared" si="3"/>
        <v>Jueves</v>
      </c>
      <c r="H39" s="5" t="str">
        <f>IF(F39="","",IF(INDEX($B$10:$B$16,WEEKDAY(F39,2))&lt;&gt;"Sí",IF(COUNTIF(Festivos!$A$5:$A$451,F39)&gt;0,"Festivo (no laborable)","Descanso"),IF(COUNTIF(Festivos!$A$5:$A$451,F39)&gt;0,"Festivo",IF(COUNTIF($B$6:$D$6,F39)&gt;0,"Descanso compensatorio","Laboral"))))</f>
        <v>Laboral</v>
      </c>
      <c r="I39" s="9">
        <f t="shared" si="4"/>
        <v>8.4</v>
      </c>
    </row>
    <row r="40" spans="6:9" x14ac:dyDescent="0.25">
      <c r="F40" s="28">
        <f>IF(23&gt;DAY(EOMONTH($B$4,0)),"",DATE(YEAR($B$4),MONTH($B$4),23))</f>
        <v>46318</v>
      </c>
      <c r="G40" s="5" t="str">
        <f t="shared" si="3"/>
        <v>Viernes</v>
      </c>
      <c r="H40" s="5" t="str">
        <f>IF(F40="","",IF(INDEX($B$10:$B$16,WEEKDAY(F40,2))&lt;&gt;"Sí",IF(COUNTIF(Festivos!$A$5:$A$451,F40)&gt;0,"Festivo (no laborable)","Descanso"),IF(COUNTIF(Festivos!$A$5:$A$451,F40)&gt;0,"Festivo",IF(COUNTIF($B$6:$D$6,F40)&gt;0,"Descanso compensatorio","Laboral"))))</f>
        <v>Laboral</v>
      </c>
      <c r="I40" s="9">
        <f t="shared" si="4"/>
        <v>8.4</v>
      </c>
    </row>
    <row r="41" spans="6:9" x14ac:dyDescent="0.25">
      <c r="F41" s="28">
        <f>IF(24&gt;DAY(EOMONTH($B$4,0)),"",DATE(YEAR($B$4),MONTH($B$4),24))</f>
        <v>46319</v>
      </c>
      <c r="G41" s="5" t="str">
        <f t="shared" si="3"/>
        <v>Sábado</v>
      </c>
      <c r="H41" s="5" t="str">
        <f>IF(F41="","",IF(INDEX($B$10:$B$16,WEEKDAY(F41,2))&lt;&gt;"Sí",IF(COUNTIF(Festivos!$A$5:$A$451,F41)&gt;0,"Festivo (no laborable)","Descanso"),IF(COUNTIF(Festivos!$A$5:$A$451,F41)&gt;0,"Festivo",IF(COUNTIF($B$6:$D$6,F41)&gt;0,"Descanso compensatorio","Laboral"))))</f>
        <v>Descanso</v>
      </c>
      <c r="I41" s="9">
        <f t="shared" si="4"/>
        <v>0</v>
      </c>
    </row>
    <row r="42" spans="6:9" x14ac:dyDescent="0.25">
      <c r="F42" s="28">
        <f>IF(25&gt;DAY(EOMONTH($B$4,0)),"",DATE(YEAR($B$4),MONTH($B$4),25))</f>
        <v>46320</v>
      </c>
      <c r="G42" s="5" t="str">
        <f t="shared" si="3"/>
        <v>Domingo</v>
      </c>
      <c r="H42" s="5" t="str">
        <f>IF(F42="","",IF(INDEX($B$10:$B$16,WEEKDAY(F42,2))&lt;&gt;"Sí",IF(COUNTIF(Festivos!$A$5:$A$451,F42)&gt;0,"Festivo (no laborable)","Descanso"),IF(COUNTIF(Festivos!$A$5:$A$451,F42)&gt;0,"Festivo",IF(COUNTIF($B$6:$D$6,F42)&gt;0,"Descanso compensatorio","Laboral"))))</f>
        <v>Descanso</v>
      </c>
      <c r="I42" s="9">
        <f t="shared" si="4"/>
        <v>0</v>
      </c>
    </row>
    <row r="43" spans="6:9" x14ac:dyDescent="0.25">
      <c r="F43" s="28">
        <f>IF(26&gt;DAY(EOMONTH($B$4,0)),"",DATE(YEAR($B$4),MONTH($B$4),26))</f>
        <v>46321</v>
      </c>
      <c r="G43" s="5" t="str">
        <f t="shared" si="3"/>
        <v>Lunes</v>
      </c>
      <c r="H43" s="5" t="str">
        <f>IF(F43="","",IF(INDEX($B$10:$B$16,WEEKDAY(F43,2))&lt;&gt;"Sí",IF(COUNTIF(Festivos!$A$5:$A$451,F43)&gt;0,"Festivo (no laborable)","Descanso"),IF(COUNTIF(Festivos!$A$5:$A$451,F43)&gt;0,"Festivo",IF(COUNTIF($B$6:$D$6,F43)&gt;0,"Descanso compensatorio","Laboral"))))</f>
        <v>Laboral</v>
      </c>
      <c r="I43" s="9">
        <f t="shared" si="4"/>
        <v>8.4</v>
      </c>
    </row>
    <row r="44" spans="6:9" x14ac:dyDescent="0.25">
      <c r="F44" s="28">
        <f>IF(27&gt;DAY(EOMONTH($B$4,0)),"",DATE(YEAR($B$4),MONTH($B$4),27))</f>
        <v>46322</v>
      </c>
      <c r="G44" s="5" t="str">
        <f t="shared" si="3"/>
        <v>Martes</v>
      </c>
      <c r="H44" s="5" t="str">
        <f>IF(F44="","",IF(INDEX($B$10:$B$16,WEEKDAY(F44,2))&lt;&gt;"Sí",IF(COUNTIF(Festivos!$A$5:$A$451,F44)&gt;0,"Festivo (no laborable)","Descanso"),IF(COUNTIF(Festivos!$A$5:$A$451,F44)&gt;0,"Festivo",IF(COUNTIF($B$6:$D$6,F44)&gt;0,"Descanso compensatorio","Laboral"))))</f>
        <v>Laboral</v>
      </c>
      <c r="I44" s="9">
        <f t="shared" si="4"/>
        <v>8.4</v>
      </c>
    </row>
    <row r="45" spans="6:9" x14ac:dyDescent="0.25">
      <c r="F45" s="28">
        <f>IF(28&gt;DAY(EOMONTH($B$4,0)),"",DATE(YEAR($B$4),MONTH($B$4),28))</f>
        <v>46323</v>
      </c>
      <c r="G45" s="5" t="str">
        <f t="shared" si="3"/>
        <v>Miércoles</v>
      </c>
      <c r="H45" s="5" t="str">
        <f>IF(F45="","",IF(INDEX($B$10:$B$16,WEEKDAY(F45,2))&lt;&gt;"Sí",IF(COUNTIF(Festivos!$A$5:$A$451,F45)&gt;0,"Festivo (no laborable)","Descanso"),IF(COUNTIF(Festivos!$A$5:$A$451,F45)&gt;0,"Festivo",IF(COUNTIF($B$6:$D$6,F45)&gt;0,"Descanso compensatorio","Laboral"))))</f>
        <v>Laboral</v>
      </c>
      <c r="I45" s="9">
        <f t="shared" si="4"/>
        <v>8.4</v>
      </c>
    </row>
    <row r="46" spans="6:9" x14ac:dyDescent="0.25">
      <c r="F46" s="28">
        <f>IF(29&gt;DAY(EOMONTH($B$4,0)),"",DATE(YEAR($B$4),MONTH($B$4),29))</f>
        <v>46324</v>
      </c>
      <c r="G46" s="5" t="str">
        <f t="shared" si="3"/>
        <v>Jueves</v>
      </c>
      <c r="H46" s="5" t="str">
        <f>IF(F46="","",IF(INDEX($B$10:$B$16,WEEKDAY(F46,2))&lt;&gt;"Sí",IF(COUNTIF(Festivos!$A$5:$A$451,F46)&gt;0,"Festivo (no laborable)","Descanso"),IF(COUNTIF(Festivos!$A$5:$A$451,F46)&gt;0,"Festivo",IF(COUNTIF($B$6:$D$6,F46)&gt;0,"Descanso compensatorio","Laboral"))))</f>
        <v>Laboral</v>
      </c>
      <c r="I46" s="9">
        <f t="shared" si="4"/>
        <v>8.4</v>
      </c>
    </row>
    <row r="47" spans="6:9" x14ac:dyDescent="0.25">
      <c r="F47" s="28">
        <f>IF(30&gt;DAY(EOMONTH($B$4,0)),"",DATE(YEAR($B$4),MONTH($B$4),30))</f>
        <v>46325</v>
      </c>
      <c r="G47" s="5" t="str">
        <f t="shared" si="3"/>
        <v>Viernes</v>
      </c>
      <c r="H47" s="5" t="str">
        <f>IF(F47="","",IF(INDEX($B$10:$B$16,WEEKDAY(F47,2))&lt;&gt;"Sí",IF(COUNTIF(Festivos!$A$5:$A$451,F47)&gt;0,"Festivo (no laborable)","Descanso"),IF(COUNTIF(Festivos!$A$5:$A$451,F47)&gt;0,"Festivo",IF(COUNTIF($B$6:$D$6,F47)&gt;0,"Descanso compensatorio","Laboral"))))</f>
        <v>Laboral</v>
      </c>
      <c r="I47" s="9">
        <f t="shared" si="4"/>
        <v>8.4</v>
      </c>
    </row>
    <row r="48" spans="6:9" x14ac:dyDescent="0.25">
      <c r="F48" s="28">
        <f>IF(31&gt;DAY(EOMONTH($B$4,0)),"",DATE(YEAR($B$4),MONTH($B$4),31))</f>
        <v>46326</v>
      </c>
      <c r="G48" s="5" t="str">
        <f t="shared" si="3"/>
        <v>Sábado</v>
      </c>
      <c r="H48" s="5" t="str">
        <f>IF(F48="","",IF(INDEX($B$10:$B$16,WEEKDAY(F48,2))&lt;&gt;"Sí",IF(COUNTIF(Festivos!$A$5:$A$451,F48)&gt;0,"Festivo (no laborable)","Descanso"),IF(COUNTIF(Festivos!$A$5:$A$451,F48)&gt;0,"Festivo",IF(COUNTIF($B$6:$D$6,F48)&gt;0,"Descanso compensatorio","Laboral"))))</f>
        <v>Descanso</v>
      </c>
      <c r="I48" s="9">
        <f t="shared" si="4"/>
        <v>0</v>
      </c>
    </row>
    <row r="49" spans="6:9" x14ac:dyDescent="0.25">
      <c r="F49" s="29" t="s">
        <v>164</v>
      </c>
      <c r="I49" s="33">
        <f>COUNTIF(H18:H48,"Laboral")</f>
        <v>21</v>
      </c>
    </row>
    <row r="50" spans="6:9" x14ac:dyDescent="0.25">
      <c r="F50" s="29" t="s">
        <v>165</v>
      </c>
      <c r="I50" s="30">
        <f>SUM(I18:I48)</f>
        <v>176.40000000000006</v>
      </c>
    </row>
  </sheetData>
  <conditionalFormatting sqref="H6:H48">
    <cfRule type="expression" dxfId="1" priority="2">
      <formula>LEFT(H6,7)="Festivo"</formula>
    </cfRule>
    <cfRule type="expression" dxfId="0" priority="3">
      <formula>H6="Descanso compensatorio"</formula>
    </cfRule>
  </conditionalFormatting>
  <dataValidations count="1">
    <dataValidation type="list" sqref="B10:B16" xr:uid="{00000000-0002-0000-0600-000000000000}">
      <formula1>"Sí,No"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Instrucciones</vt:lpstr>
      <vt:lpstr>Parámetros</vt:lpstr>
      <vt:lpstr>Festivos</vt:lpstr>
      <vt:lpstr>Trabajadores</vt:lpstr>
      <vt:lpstr>Registro de turnos</vt:lpstr>
      <vt:lpstr>Resumen</vt:lpstr>
      <vt:lpstr>Horas a trabajar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Edinson Sabogal Bernal</cp:lastModifiedBy>
  <cp:revision>0</cp:revision>
  <dcterms:created xsi:type="dcterms:W3CDTF">2026-10-24T13:55:15Z</dcterms:created>
  <dcterms:modified xsi:type="dcterms:W3CDTF">2026-10-24T14:09:34Z</dcterms:modified>
  <dc:language>en-US</dc:language>
</cp:coreProperties>
</file>