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9.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Users\USUARIO\Documents\APLICATIVOS AÑO 2024\"/>
    </mc:Choice>
  </mc:AlternateContent>
  <xr:revisionPtr revIDLastSave="0" documentId="13_ncr:1_{71F78285-447D-45A2-95B5-0482A701F547}" xr6:coauthVersionLast="47" xr6:coauthVersionMax="47" xr10:uidLastSave="{00000000-0000-0000-0000-000000000000}"/>
  <bookViews>
    <workbookView xWindow="-120" yWindow="-120" windowWidth="29040" windowHeight="15840" tabRatio="793" firstSheet="7" activeTab="8" xr2:uid="{00000000-000D-0000-FFFF-FFFF00000000}"/>
  </bookViews>
  <sheets>
    <sheet name="VENCIMIENTO" sheetId="8" state="hidden" r:id="rId1"/>
    <sheet name="IMAS TRABAJADOR POR CTA PROPIA" sheetId="7" state="hidden" r:id="rId2"/>
    <sheet name="DEPURACION ORDINARIO 2017" sheetId="5" state="hidden" r:id="rId3"/>
    <sheet name="ART 241 E.T. 2023" sheetId="22" r:id="rId4"/>
    <sheet name="Num. 2 ART 241 E.T. 2019" sheetId="19" state="hidden" r:id="rId5"/>
    <sheet name="Num. 2 ART 241 E.T. 2018" sheetId="16" state="hidden" r:id="rId6"/>
    <sheet name="FORMULARIO 2019 RENTA CEDULA" sheetId="18" state="hidden" r:id="rId7"/>
    <sheet name="DIVIDENDOS INC 2 ART 242 E.T." sheetId="27" r:id="rId8"/>
    <sheet name="FORMULARIO 2023 RENTA" sheetId="20" r:id="rId9"/>
    <sheet name="NUM 3 ART 336 E.T." sheetId="30" state="hidden" r:id="rId10"/>
    <sheet name="SANCIONES" sheetId="29" state="hidden" r:id="rId11"/>
    <sheet name="DESC. TRIB. DIVIDENDOS" sheetId="28" state="hidden" r:id="rId12"/>
    <sheet name="PATRIMONIO BRUTO" sheetId="6" r:id="rId13"/>
    <sheet name="FORMULARIO 2018 RENTA CEDULAR" sheetId="13" state="hidden" r:id="rId14"/>
    <sheet name="DATOS PARA DEPURAR" sheetId="2" r:id="rId15"/>
    <sheet name="RENTA TRABAJO" sheetId="9" r:id="rId16"/>
    <sheet name="RELACION DEPENDIENTES" sheetId="25" r:id="rId17"/>
    <sheet name="RENTA INGRESOS SIN RELACION LAB" sheetId="21" r:id="rId18"/>
    <sheet name="RENTA GENERAL NO LABORAL" sheetId="12" r:id="rId19"/>
    <sheet name="RENTA GENERAL CAPITAL" sheetId="11" r:id="rId20"/>
    <sheet name="RENTA CEDULAR DIVIDENDOS" sheetId="17" r:id="rId21"/>
    <sheet name="GANANCIA OCASIONAL" sheetId="26" r:id="rId22"/>
    <sheet name="DEPURACION POR IMAS EMPLEADO" sheetId="3" state="hidden" r:id="rId23"/>
    <sheet name="IMPUESTO DIVIDENDOS" sheetId="23" state="hidden" r:id="rId24"/>
    <sheet name="RENTA CEDULAR PENSION" sheetId="10" r:id="rId25"/>
    <sheet name="DIV. Y PARTICIPACIONES 2016 ANT" sheetId="14" state="hidden" r:id="rId26"/>
  </sheets>
  <externalReferences>
    <externalReference r:id="rId27"/>
  </externalReferences>
  <definedNames>
    <definedName name="_xlnm.Print_Area" localSheetId="14">'DATOS PARA DEPURAR'!$A$1:$F$351</definedName>
    <definedName name="_xlnm.Print_Area" localSheetId="13">'FORMULARIO 2018 RENTA CEDULAR'!$A$1:$K$43</definedName>
    <definedName name="_xlnm.Print_Area" localSheetId="6">'FORMULARIO 2019 RENTA CEDULA'!$A$1:$K$44</definedName>
    <definedName name="_xlnm.Print_Area" localSheetId="8">'FORMULARIO 2023 RENTA'!$A$1:$U$86</definedName>
    <definedName name="_xlnm.Print_Area" localSheetId="12">'PATRIMONIO BRUTO'!$A$1:$F$138</definedName>
    <definedName name="_xlnm.Print_Area" localSheetId="19">'RENTA GENERAL CAPITAL'!$A$1:$H$53</definedName>
    <definedName name="_xlnm.Print_Area" localSheetId="17">'RENTA INGRESOS SIN RELACION LAB'!$A$1:$H$34</definedName>
    <definedName name="_xlnm.Print_Area" localSheetId="15">'RENTA TRABAJO'!$A$1:$H$60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8" i="2" l="1"/>
  <c r="E294" i="2"/>
  <c r="E295" i="2"/>
  <c r="E44" i="2"/>
  <c r="E34" i="30"/>
  <c r="F8" i="30"/>
  <c r="F12" i="30"/>
  <c r="F34" i="30" s="1"/>
  <c r="E12" i="30"/>
  <c r="D12" i="30"/>
  <c r="D34" i="30" s="1"/>
  <c r="C12" i="30"/>
  <c r="C34" i="30" s="1"/>
  <c r="G24" i="25"/>
  <c r="B29" i="25" s="1"/>
  <c r="E247" i="2" s="1"/>
  <c r="C44" i="29"/>
  <c r="B45" i="29"/>
  <c r="B44" i="29"/>
  <c r="G19" i="25"/>
  <c r="G14" i="25"/>
  <c r="G9" i="25"/>
  <c r="G4" i="25"/>
  <c r="E256" i="2"/>
  <c r="D244" i="2"/>
  <c r="D243" i="2"/>
  <c r="E243" i="2" s="1"/>
  <c r="H38" i="11"/>
  <c r="H37" i="11"/>
  <c r="G73" i="12"/>
  <c r="G71" i="12"/>
  <c r="D20" i="21"/>
  <c r="D38" i="11"/>
  <c r="D72" i="12"/>
  <c r="D37" i="9"/>
  <c r="E237" i="2"/>
  <c r="D62" i="12"/>
  <c r="D57" i="12"/>
  <c r="D58" i="12"/>
  <c r="D59" i="12"/>
  <c r="D56" i="12"/>
  <c r="D23" i="11"/>
  <c r="D24" i="11"/>
  <c r="D25" i="11"/>
  <c r="D22" i="11"/>
  <c r="D28" i="11"/>
  <c r="D18" i="11"/>
  <c r="E231" i="2"/>
  <c r="E232" i="2"/>
  <c r="E233" i="2"/>
  <c r="E234" i="2"/>
  <c r="E197" i="2"/>
  <c r="D39" i="12" s="1"/>
  <c r="D198" i="2"/>
  <c r="D208" i="2"/>
  <c r="E181" i="2"/>
  <c r="E166" i="2"/>
  <c r="E159" i="2"/>
  <c r="E151" i="2"/>
  <c r="D142" i="2"/>
  <c r="E134" i="2"/>
  <c r="H37" i="29"/>
  <c r="C41" i="29"/>
  <c r="AB267" i="20"/>
  <c r="F37" i="29"/>
  <c r="B33" i="29"/>
  <c r="B32" i="29"/>
  <c r="F29" i="29"/>
  <c r="H29" i="29"/>
  <c r="C40" i="29" s="1"/>
  <c r="AL255" i="20"/>
  <c r="G24" i="29"/>
  <c r="C24" i="29"/>
  <c r="AB256" i="20"/>
  <c r="AB266" i="20"/>
  <c r="F16" i="29"/>
  <c r="G15" i="29"/>
  <c r="H15" i="29" s="1"/>
  <c r="C10" i="29"/>
  <c r="C11" i="29"/>
  <c r="C12" i="29"/>
  <c r="F12" i="29" s="1"/>
  <c r="C14" i="29"/>
  <c r="F14" i="29" s="1"/>
  <c r="C9" i="29"/>
  <c r="F9" i="29" s="1"/>
  <c r="B128" i="2"/>
  <c r="D14" i="9"/>
  <c r="D13" i="9"/>
  <c r="Q32" i="20"/>
  <c r="A4" i="28"/>
  <c r="A3" i="28"/>
  <c r="E2" i="28"/>
  <c r="C2" i="28"/>
  <c r="D82" i="2"/>
  <c r="I4" i="27"/>
  <c r="S30" i="20" s="1"/>
  <c r="I5" i="27"/>
  <c r="I6" i="27"/>
  <c r="I7" i="27"/>
  <c r="I8" i="27"/>
  <c r="I9" i="27"/>
  <c r="I10" i="27"/>
  <c r="I11" i="27"/>
  <c r="I12" i="27"/>
  <c r="I3" i="27"/>
  <c r="G3" i="27"/>
  <c r="A4" i="27" s="1"/>
  <c r="D4" i="27" s="1"/>
  <c r="G4" i="27" s="1"/>
  <c r="A5" i="27" s="1"/>
  <c r="D5" i="27" s="1"/>
  <c r="G5" i="27" s="1"/>
  <c r="A6" i="27" s="1"/>
  <c r="D6" i="27" s="1"/>
  <c r="G6" i="27" s="1"/>
  <c r="D3" i="27"/>
  <c r="E311" i="2"/>
  <c r="E309" i="2"/>
  <c r="E308" i="2"/>
  <c r="E64" i="2"/>
  <c r="D15" i="26"/>
  <c r="F13" i="26" s="1"/>
  <c r="J40" i="20" s="1"/>
  <c r="D11" i="26"/>
  <c r="D10" i="26"/>
  <c r="D9" i="26"/>
  <c r="D8" i="26"/>
  <c r="E67" i="2"/>
  <c r="D6" i="26" s="1"/>
  <c r="D5" i="26"/>
  <c r="D12" i="26"/>
  <c r="E2" i="26"/>
  <c r="C2" i="26"/>
  <c r="C48" i="29" l="1"/>
  <c r="G29" i="25"/>
  <c r="I44" i="20" s="1"/>
  <c r="C29" i="25" s="1"/>
  <c r="E44" i="20"/>
  <c r="B34" i="29"/>
  <c r="B35" i="29" s="1"/>
  <c r="C22" i="29"/>
  <c r="C25" i="29"/>
  <c r="G22" i="29"/>
  <c r="G25" i="29"/>
  <c r="G26" i="29" s="1"/>
  <c r="C26" i="29"/>
  <c r="G12" i="27"/>
  <c r="D51" i="12" l="1"/>
  <c r="E254" i="2"/>
  <c r="D23" i="12"/>
  <c r="E85" i="2"/>
  <c r="D315" i="2"/>
  <c r="D313" i="2"/>
  <c r="D312" i="2"/>
  <c r="E310" i="2"/>
  <c r="D19" i="26"/>
  <c r="D18" i="26"/>
  <c r="D62" i="2"/>
  <c r="E62" i="2"/>
  <c r="D20" i="26" l="1"/>
  <c r="E312" i="2"/>
  <c r="D22" i="26" s="1"/>
  <c r="E226" i="2"/>
  <c r="H27" i="21"/>
  <c r="H25" i="21"/>
  <c r="H12" i="21"/>
  <c r="R3" i="20"/>
  <c r="D9" i="21" l="1"/>
  <c r="E252" i="2"/>
  <c r="D251" i="2"/>
  <c r="E249" i="2"/>
  <c r="H42" i="9"/>
  <c r="D293" i="2"/>
  <c r="E248" i="2"/>
  <c r="D59" i="9" s="1"/>
  <c r="E126" i="2"/>
  <c r="D29" i="9" s="1"/>
  <c r="E127" i="2"/>
  <c r="E132" i="2"/>
  <c r="D7" i="9"/>
  <c r="D22" i="9"/>
  <c r="H10" i="21"/>
  <c r="H28" i="9"/>
  <c r="E124" i="2"/>
  <c r="G15" i="11"/>
  <c r="G13" i="11"/>
  <c r="G29" i="12"/>
  <c r="G31" i="12"/>
  <c r="G30" i="12"/>
  <c r="H31" i="9"/>
  <c r="E118" i="2"/>
  <c r="D153" i="2"/>
  <c r="D156" i="2" s="1"/>
  <c r="E189" i="2"/>
  <c r="D219" i="2"/>
  <c r="D215" i="2" s="1"/>
  <c r="F128" i="6"/>
  <c r="E207" i="2" l="1"/>
  <c r="E221" i="2"/>
  <c r="E293" i="2"/>
  <c r="D45" i="9" s="1"/>
  <c r="D29" i="12"/>
  <c r="E48" i="2"/>
  <c r="D133" i="2" l="1"/>
  <c r="E133" i="2" s="1"/>
  <c r="F11" i="17" l="1"/>
  <c r="E4" i="28" s="1"/>
  <c r="E2" i="23"/>
  <c r="C2" i="23"/>
  <c r="J152" i="20" l="1"/>
  <c r="G133" i="20"/>
  <c r="D41" i="9" l="1"/>
  <c r="G53" i="20"/>
  <c r="R66" i="20"/>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U75" i="20"/>
  <c r="U84" i="20"/>
  <c r="G86" i="20"/>
  <c r="U86" i="20"/>
  <c r="G87" i="20"/>
  <c r="U87" i="20"/>
  <c r="E244" i="2"/>
  <c r="D61" i="12" s="1"/>
  <c r="E229" i="2"/>
  <c r="E230" i="2"/>
  <c r="E235" i="2"/>
  <c r="E236" i="2"/>
  <c r="E228" i="2"/>
  <c r="D19" i="11"/>
  <c r="H25" i="20" l="1"/>
  <c r="J21" i="20"/>
  <c r="E25" i="20"/>
  <c r="S11" i="20"/>
  <c r="D7" i="11"/>
  <c r="AK256" i="20"/>
  <c r="AM248" i="20"/>
  <c r="AN248" i="20" s="1"/>
  <c r="AM240" i="20"/>
  <c r="AB257" i="20" l="1"/>
  <c r="AB254" i="20"/>
  <c r="AK254" i="20"/>
  <c r="S38" i="20"/>
  <c r="E2" i="22"/>
  <c r="C2" i="22"/>
  <c r="S39" i="20" l="1"/>
  <c r="S36" i="20"/>
  <c r="C45" i="12" l="1"/>
  <c r="D19" i="21"/>
  <c r="E245" i="2"/>
  <c r="D70" i="12"/>
  <c r="D21" i="21"/>
  <c r="D6" i="21"/>
  <c r="F4" i="21" s="1"/>
  <c r="D32" i="21" s="1"/>
  <c r="D25" i="21"/>
  <c r="D24" i="21"/>
  <c r="D8" i="21"/>
  <c r="E121" i="2"/>
  <c r="E2" i="21"/>
  <c r="C2" i="21"/>
  <c r="D40" i="9"/>
  <c r="D42" i="9" s="1"/>
  <c r="D76" i="12"/>
  <c r="D75" i="12"/>
  <c r="N12" i="20"/>
  <c r="N14" i="20" s="1"/>
  <c r="E24" i="12"/>
  <c r="E26" i="12" s="1"/>
  <c r="E36" i="12" s="1"/>
  <c r="E64" i="12" s="1"/>
  <c r="E66" i="12" s="1"/>
  <c r="E68" i="12" s="1"/>
  <c r="E81" i="12" s="1"/>
  <c r="E85" i="12" s="1"/>
  <c r="E86" i="12" s="1"/>
  <c r="E87" i="12" s="1"/>
  <c r="E88" i="12" s="1"/>
  <c r="H26" i="21" l="1"/>
  <c r="D22" i="21" s="1"/>
  <c r="D18" i="21" s="1"/>
  <c r="J16" i="20" s="1"/>
  <c r="J15" i="20"/>
  <c r="H11" i="21"/>
  <c r="D10" i="21" s="1"/>
  <c r="F7" i="21" s="1"/>
  <c r="S15" i="20"/>
  <c r="J6" i="20"/>
  <c r="J12" i="20"/>
  <c r="D26" i="21"/>
  <c r="N11" i="20"/>
  <c r="E216" i="20"/>
  <c r="G215" i="20"/>
  <c r="E215" i="20"/>
  <c r="G214" i="20"/>
  <c r="E214" i="20"/>
  <c r="G213" i="20"/>
  <c r="E213" i="20"/>
  <c r="G212" i="20"/>
  <c r="E212" i="20"/>
  <c r="V390" i="20"/>
  <c r="V372" i="20"/>
  <c r="J180" i="20"/>
  <c r="V371" i="20"/>
  <c r="V370" i="20"/>
  <c r="V369" i="20"/>
  <c r="V368" i="20"/>
  <c r="V367" i="20"/>
  <c r="G175" i="20"/>
  <c r="J198" i="20" s="1"/>
  <c r="V366" i="20"/>
  <c r="G174" i="20"/>
  <c r="J197" i="20" s="1"/>
  <c r="V365" i="20"/>
  <c r="G173" i="20"/>
  <c r="J196" i="20" s="1"/>
  <c r="V364" i="20"/>
  <c r="V363" i="20"/>
  <c r="V362" i="20"/>
  <c r="V361" i="20"/>
  <c r="V360" i="20"/>
  <c r="V359" i="20"/>
  <c r="V358" i="20"/>
  <c r="V357" i="20"/>
  <c r="V356" i="20"/>
  <c r="V355" i="20"/>
  <c r="V354" i="20"/>
  <c r="V353" i="20"/>
  <c r="V352" i="20"/>
  <c r="V351" i="20"/>
  <c r="V350" i="20"/>
  <c r="V349" i="20"/>
  <c r="V348" i="20"/>
  <c r="V347" i="20"/>
  <c r="V346" i="20"/>
  <c r="V345" i="20"/>
  <c r="V344" i="20"/>
  <c r="V343" i="20"/>
  <c r="E151" i="20"/>
  <c r="V342" i="20"/>
  <c r="V341" i="20"/>
  <c r="V340" i="20"/>
  <c r="V339" i="20"/>
  <c r="V338" i="20"/>
  <c r="V337" i="20"/>
  <c r="V336" i="20"/>
  <c r="V335" i="20"/>
  <c r="F143" i="20"/>
  <c r="V334" i="20"/>
  <c r="J142" i="20"/>
  <c r="J143" i="20" s="1"/>
  <c r="G142" i="20"/>
  <c r="F142" i="20" s="1"/>
  <c r="V333" i="20"/>
  <c r="V332" i="20"/>
  <c r="V331" i="20"/>
  <c r="V330" i="20"/>
  <c r="V329" i="20"/>
  <c r="V328" i="20"/>
  <c r="V327" i="20"/>
  <c r="V326" i="20"/>
  <c r="V325" i="20"/>
  <c r="V324" i="20"/>
  <c r="V323" i="20"/>
  <c r="V322" i="20"/>
  <c r="V321" i="20"/>
  <c r="V320" i="20"/>
  <c r="V319" i="20"/>
  <c r="G127" i="20"/>
  <c r="V318" i="20"/>
  <c r="G126" i="20"/>
  <c r="V317" i="20"/>
  <c r="G125" i="20"/>
  <c r="V316" i="20"/>
  <c r="G124" i="20"/>
  <c r="J147" i="20" s="1"/>
  <c r="V315" i="20"/>
  <c r="G123" i="20"/>
  <c r="V314" i="20"/>
  <c r="G122" i="20"/>
  <c r="V313" i="20"/>
  <c r="V312" i="20"/>
  <c r="J120" i="20"/>
  <c r="V311" i="20"/>
  <c r="V310" i="20"/>
  <c r="V309" i="20"/>
  <c r="V308" i="20"/>
  <c r="V307" i="20"/>
  <c r="V306" i="20"/>
  <c r="E114" i="20"/>
  <c r="V305" i="20"/>
  <c r="V304" i="20"/>
  <c r="V303" i="20"/>
  <c r="V302" i="20"/>
  <c r="V301" i="20"/>
  <c r="V300" i="20"/>
  <c r="V299" i="20"/>
  <c r="E107" i="20"/>
  <c r="V298" i="20"/>
  <c r="E106" i="20"/>
  <c r="V297" i="20"/>
  <c r="V296" i="20"/>
  <c r="V295" i="20"/>
  <c r="V294" i="20"/>
  <c r="V293" i="20"/>
  <c r="V292" i="20"/>
  <c r="V291" i="20"/>
  <c r="V290" i="20"/>
  <c r="V289" i="20"/>
  <c r="G95" i="20"/>
  <c r="X285" i="20"/>
  <c r="X284" i="20"/>
  <c r="X283" i="20"/>
  <c r="X282" i="20"/>
  <c r="X281" i="20"/>
  <c r="X280" i="20"/>
  <c r="X279" i="20"/>
  <c r="Z279" i="20" s="1"/>
  <c r="Z278" i="20"/>
  <c r="X272" i="20"/>
  <c r="X273" i="20" s="1"/>
  <c r="AK267" i="20"/>
  <c r="V264" i="20"/>
  <c r="AA262" i="20"/>
  <c r="AA261" i="20"/>
  <c r="Z259" i="20"/>
  <c r="W255" i="20"/>
  <c r="W251" i="20"/>
  <c r="J36" i="20"/>
  <c r="G94" i="20" s="1"/>
  <c r="J117" i="20" s="1"/>
  <c r="AB243" i="20"/>
  <c r="I4" i="20"/>
  <c r="R4" i="20" s="1"/>
  <c r="F51" i="20" s="1"/>
  <c r="F52" i="20" s="1"/>
  <c r="F53" i="20" s="1"/>
  <c r="F54" i="20" s="1"/>
  <c r="F55" i="20" s="1"/>
  <c r="F56" i="20" s="1"/>
  <c r="F57" i="20" s="1"/>
  <c r="F58" i="20" s="1"/>
  <c r="F59" i="20" s="1"/>
  <c r="F60"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R48" i="20" s="1"/>
  <c r="B2" i="20"/>
  <c r="B1" i="20"/>
  <c r="J14" i="20" l="1"/>
  <c r="AA263" i="20"/>
  <c r="AA264" i="20" s="1"/>
  <c r="J17" i="20"/>
  <c r="D14" i="30" s="1"/>
  <c r="D27" i="21"/>
  <c r="D44" i="9"/>
  <c r="J146" i="20"/>
  <c r="J145" i="20"/>
  <c r="AA280" i="20"/>
  <c r="AB258" i="20"/>
  <c r="D28" i="21"/>
  <c r="J8" i="20"/>
  <c r="F6" i="20"/>
  <c r="F8" i="20" s="1"/>
  <c r="F10" i="20" s="1"/>
  <c r="F12" i="20" s="1"/>
  <c r="F13" i="20" s="1"/>
  <c r="F14" i="20" s="1"/>
  <c r="F15" i="20" s="1"/>
  <c r="F16" i="20" s="1"/>
  <c r="F17" i="20" s="1"/>
  <c r="F18" i="20" s="1"/>
  <c r="F22" i="20" s="1"/>
  <c r="I6" i="20" s="1"/>
  <c r="I8" i="20" s="1"/>
  <c r="I9" i="20" s="1"/>
  <c r="I10" i="20" s="1"/>
  <c r="I12" i="20" s="1"/>
  <c r="I13" i="20" s="1"/>
  <c r="I14" i="20" s="1"/>
  <c r="I15" i="20" s="1"/>
  <c r="I16" i="20" s="1"/>
  <c r="I17" i="20" s="1"/>
  <c r="I18" i="20" s="1"/>
  <c r="I19" i="20" s="1"/>
  <c r="I20" i="20" s="1"/>
  <c r="I21" i="20" s="1"/>
  <c r="I22" i="20" s="1"/>
  <c r="M6" i="20" s="1"/>
  <c r="M8" i="20" s="1"/>
  <c r="M9" i="20" s="1"/>
  <c r="M10" i="20" s="1"/>
  <c r="M11" i="20" s="1"/>
  <c r="M12" i="20" s="1"/>
  <c r="M13" i="20" s="1"/>
  <c r="M14" i="20" s="1"/>
  <c r="M15" i="20" s="1"/>
  <c r="M16" i="20" s="1"/>
  <c r="M17" i="20" s="1"/>
  <c r="M18" i="20" s="1"/>
  <c r="M19" i="20" s="1"/>
  <c r="M20" i="20" s="1"/>
  <c r="M21" i="20" s="1"/>
  <c r="M22" i="20" s="1"/>
  <c r="R6" i="20" s="1"/>
  <c r="R7" i="20" s="1"/>
  <c r="R8" i="20" s="1"/>
  <c r="R9" i="20" s="1"/>
  <c r="R10" i="20" s="1"/>
  <c r="R11" i="20" s="1"/>
  <c r="R12" i="20" s="1"/>
  <c r="R13" i="20" s="1"/>
  <c r="R14" i="20" s="1"/>
  <c r="R15" i="20" s="1"/>
  <c r="R16" i="20" s="1"/>
  <c r="R17" i="20" s="1"/>
  <c r="R18" i="20" s="1"/>
  <c r="R19" i="20" s="1"/>
  <c r="R20" i="20" s="1"/>
  <c r="R21" i="20" s="1"/>
  <c r="R22" i="20" s="1"/>
  <c r="D24" i="20" s="1"/>
  <c r="F24" i="20" s="1"/>
  <c r="K24" i="20" s="1"/>
  <c r="R24" i="20" s="1"/>
  <c r="D25" i="20" s="1"/>
  <c r="F25" i="20" s="1"/>
  <c r="K25" i="20" s="1"/>
  <c r="R25" i="20" s="1"/>
  <c r="I26" i="20" s="1"/>
  <c r="I27" i="20" s="1"/>
  <c r="I28" i="20" s="1"/>
  <c r="I29" i="20" s="1"/>
  <c r="I30" i="20" s="1"/>
  <c r="I31" i="20" s="1"/>
  <c r="I32" i="20" s="1"/>
  <c r="I33" i="20" s="1"/>
  <c r="J148" i="20"/>
  <c r="J222" i="20"/>
  <c r="V392" i="20" s="1"/>
  <c r="V399" i="20" s="1"/>
  <c r="U234" i="20" s="1"/>
  <c r="G90" i="20"/>
  <c r="AK257" i="20"/>
  <c r="AK258" i="20" s="1"/>
  <c r="J118" i="20"/>
  <c r="J122" i="20"/>
  <c r="G99" i="20" s="1"/>
  <c r="G96" i="20" s="1"/>
  <c r="J119" i="20" s="1"/>
  <c r="V259" i="20" s="1"/>
  <c r="E100" i="20"/>
  <c r="E101" i="20" s="1"/>
  <c r="E102" i="20" s="1"/>
  <c r="E108" i="20"/>
  <c r="E286" i="2" s="1"/>
  <c r="E157" i="20"/>
  <c r="D23" i="21" l="1"/>
  <c r="F17" i="21" s="1"/>
  <c r="D30" i="21" s="1"/>
  <c r="J151" i="20"/>
  <c r="I34" i="20"/>
  <c r="I35" i="20" s="1"/>
  <c r="I36" i="20" s="1"/>
  <c r="I37" i="20" s="1"/>
  <c r="I38" i="20" s="1"/>
  <c r="I39" i="20" s="1"/>
  <c r="V394" i="20"/>
  <c r="V393" i="20"/>
  <c r="V395" i="20"/>
  <c r="J185" i="20"/>
  <c r="J183" i="20"/>
  <c r="J182" i="20"/>
  <c r="E165" i="20" s="1"/>
  <c r="E171" i="20" s="1"/>
  <c r="G178" i="20" s="1"/>
  <c r="J184" i="20"/>
  <c r="D20" i="9"/>
  <c r="I98" i="18"/>
  <c r="I99" i="18" s="1"/>
  <c r="I108" i="18"/>
  <c r="F14" i="17"/>
  <c r="J37" i="20" s="1"/>
  <c r="F12" i="17"/>
  <c r="J35" i="20" s="1"/>
  <c r="F169" i="18"/>
  <c r="F170" i="18"/>
  <c r="F171" i="18"/>
  <c r="F168" i="18"/>
  <c r="D172" i="18"/>
  <c r="D169" i="18"/>
  <c r="D170" i="18"/>
  <c r="D171" i="18"/>
  <c r="D168" i="18"/>
  <c r="E349" i="2"/>
  <c r="U32" i="20" s="1"/>
  <c r="D8" i="10"/>
  <c r="I40" i="20" l="1"/>
  <c r="I41" i="20" s="1"/>
  <c r="I42" i="20" s="1"/>
  <c r="E129" i="20"/>
  <c r="S25" i="20" s="1"/>
  <c r="K16" i="18"/>
  <c r="G216" i="20"/>
  <c r="G217" i="20" s="1"/>
  <c r="G176" i="20"/>
  <c r="F172" i="18"/>
  <c r="F173" i="18" s="1"/>
  <c r="G168" i="18" s="1"/>
  <c r="E169" i="20"/>
  <c r="F42" i="18"/>
  <c r="F52" i="11"/>
  <c r="G68" i="20" s="1"/>
  <c r="D12" i="21"/>
  <c r="F89" i="18"/>
  <c r="F43" i="18"/>
  <c r="E2" i="19"/>
  <c r="C2" i="19"/>
  <c r="R26" i="20" l="1"/>
  <c r="J199" i="20"/>
  <c r="J200" i="20" s="1"/>
  <c r="G177" i="20" s="1"/>
  <c r="G180" i="20" s="1"/>
  <c r="G183" i="20" s="1"/>
  <c r="H216" i="20"/>
  <c r="J156" i="20"/>
  <c r="N21" i="20"/>
  <c r="G172" i="18"/>
  <c r="G171" i="18"/>
  <c r="G169" i="18"/>
  <c r="G170" i="18"/>
  <c r="L154" i="18"/>
  <c r="L136" i="18"/>
  <c r="L135" i="18"/>
  <c r="L134" i="18"/>
  <c r="L133" i="18"/>
  <c r="L132" i="18"/>
  <c r="L131" i="18"/>
  <c r="F132" i="18"/>
  <c r="L130" i="18"/>
  <c r="F131" i="18"/>
  <c r="I154" i="18" s="1"/>
  <c r="L129" i="18"/>
  <c r="F130" i="18"/>
  <c r="I153" i="18" s="1"/>
  <c r="L128" i="18"/>
  <c r="F129" i="18"/>
  <c r="I152" i="18" s="1"/>
  <c r="L127" i="18"/>
  <c r="L126" i="18"/>
  <c r="L125" i="18"/>
  <c r="L124" i="18"/>
  <c r="L123" i="18"/>
  <c r="L122" i="18"/>
  <c r="L121" i="18"/>
  <c r="L120" i="18"/>
  <c r="L119" i="18"/>
  <c r="L118" i="18"/>
  <c r="L117" i="18"/>
  <c r="L116" i="18"/>
  <c r="L115" i="18"/>
  <c r="L114" i="18"/>
  <c r="L113" i="18"/>
  <c r="L112" i="18"/>
  <c r="I136" i="18"/>
  <c r="L111" i="18"/>
  <c r="L110" i="18"/>
  <c r="L109" i="18"/>
  <c r="L108" i="18"/>
  <c r="L107" i="18"/>
  <c r="L106" i="18"/>
  <c r="D107" i="18"/>
  <c r="L105" i="18"/>
  <c r="L104" i="18"/>
  <c r="L103" i="18"/>
  <c r="L102" i="18"/>
  <c r="L101" i="18"/>
  <c r="L100" i="18"/>
  <c r="L99" i="18"/>
  <c r="L98" i="18"/>
  <c r="E99" i="18"/>
  <c r="L97" i="18"/>
  <c r="F98" i="18"/>
  <c r="E98" i="18" s="1"/>
  <c r="L96" i="18"/>
  <c r="L95" i="18"/>
  <c r="L94" i="18"/>
  <c r="L93" i="18"/>
  <c r="L92" i="18"/>
  <c r="L91" i="18"/>
  <c r="L90" i="18"/>
  <c r="L89" i="18"/>
  <c r="L88" i="18"/>
  <c r="L87" i="18"/>
  <c r="L86" i="18"/>
  <c r="L85" i="18"/>
  <c r="L84" i="18"/>
  <c r="L83" i="18"/>
  <c r="L82" i="18"/>
  <c r="F83" i="18"/>
  <c r="L81" i="18"/>
  <c r="F82" i="18"/>
  <c r="L80" i="18"/>
  <c r="F81" i="18"/>
  <c r="L79" i="18"/>
  <c r="F80" i="18"/>
  <c r="I103" i="18" s="1"/>
  <c r="L78" i="18"/>
  <c r="F79" i="18"/>
  <c r="I102" i="18" s="1"/>
  <c r="L77" i="18"/>
  <c r="F78" i="18"/>
  <c r="I101" i="18" s="1"/>
  <c r="L76" i="18"/>
  <c r="L75" i="18"/>
  <c r="L74" i="18"/>
  <c r="L73" i="18"/>
  <c r="L72" i="18"/>
  <c r="L71" i="18"/>
  <c r="L70" i="18"/>
  <c r="L69" i="18"/>
  <c r="D70" i="18"/>
  <c r="L68" i="18"/>
  <c r="L67" i="18"/>
  <c r="L66" i="18"/>
  <c r="L65" i="18"/>
  <c r="L64" i="18"/>
  <c r="L63" i="18"/>
  <c r="L62" i="18"/>
  <c r="D63" i="18"/>
  <c r="L61" i="18"/>
  <c r="D62" i="18"/>
  <c r="L60" i="18"/>
  <c r="L59" i="18"/>
  <c r="L58" i="18"/>
  <c r="L57" i="18"/>
  <c r="L56" i="18"/>
  <c r="L55" i="18"/>
  <c r="L54" i="18"/>
  <c r="L53" i="18"/>
  <c r="I76" i="18"/>
  <c r="F51" i="18"/>
  <c r="I78" i="18" s="1"/>
  <c r="N49" i="18"/>
  <c r="N48" i="18"/>
  <c r="N47" i="18"/>
  <c r="N46" i="18"/>
  <c r="N45" i="18"/>
  <c r="N44" i="18"/>
  <c r="N43" i="18"/>
  <c r="P42" i="18"/>
  <c r="N36" i="18"/>
  <c r="N37" i="18" s="1"/>
  <c r="K37" i="18"/>
  <c r="K36" i="18"/>
  <c r="F31" i="18"/>
  <c r="K34" i="18"/>
  <c r="AA31" i="18"/>
  <c r="R31" i="18"/>
  <c r="R30" i="18"/>
  <c r="L28" i="18"/>
  <c r="F24" i="18"/>
  <c r="Q26" i="18"/>
  <c r="Q25" i="18"/>
  <c r="P23" i="18"/>
  <c r="F19" i="18"/>
  <c r="AA20" i="18"/>
  <c r="R20" i="18"/>
  <c r="AB19" i="18"/>
  <c r="M19" i="18"/>
  <c r="M15" i="18"/>
  <c r="AC12" i="18"/>
  <c r="AD12" i="18" s="1"/>
  <c r="AA21" i="18" s="1"/>
  <c r="K15" i="18"/>
  <c r="F50" i="18" s="1"/>
  <c r="I73" i="18" s="1"/>
  <c r="R7" i="18"/>
  <c r="E5" i="18"/>
  <c r="E6" i="18" s="1"/>
  <c r="E7" i="18" s="1"/>
  <c r="AC4" i="18"/>
  <c r="B2" i="18"/>
  <c r="B1" i="18"/>
  <c r="R27" i="20" l="1"/>
  <c r="R28" i="20" s="1"/>
  <c r="R29" i="20" s="1"/>
  <c r="R30" i="20" s="1"/>
  <c r="R31" i="20" s="1"/>
  <c r="P32" i="20" s="1"/>
  <c r="G182" i="20"/>
  <c r="H214" i="20"/>
  <c r="H212" i="20"/>
  <c r="H213" i="20"/>
  <c r="H215" i="20"/>
  <c r="G184" i="20"/>
  <c r="G185" i="20"/>
  <c r="AA22" i="18"/>
  <c r="E8" i="18"/>
  <c r="E9" i="18" s="1"/>
  <c r="E10" i="18" s="1"/>
  <c r="E11" i="18" s="1"/>
  <c r="E12" i="18" s="1"/>
  <c r="E13" i="18" s="1"/>
  <c r="I112" i="18"/>
  <c r="Q27" i="18"/>
  <c r="Q28" i="18" s="1"/>
  <c r="F55" i="18"/>
  <c r="F52" i="18" s="1"/>
  <c r="I75" i="18" s="1"/>
  <c r="L23" i="18" s="1"/>
  <c r="I104" i="18"/>
  <c r="I107" i="18" s="1"/>
  <c r="I74" i="18"/>
  <c r="D56" i="18"/>
  <c r="D57" i="18" s="1"/>
  <c r="D58" i="18" s="1"/>
  <c r="D64" i="18"/>
  <c r="R21" i="18"/>
  <c r="R22" i="18" s="1"/>
  <c r="AA18" i="18"/>
  <c r="R18" i="18"/>
  <c r="P43" i="18"/>
  <c r="Q44" i="18" s="1"/>
  <c r="D85" i="18" l="1"/>
  <c r="K4" i="18" s="1"/>
  <c r="E14" i="18"/>
  <c r="E15" i="18" s="1"/>
  <c r="E16" i="18" s="1"/>
  <c r="E18" i="18" s="1"/>
  <c r="E19" i="18" s="1"/>
  <c r="E20" i="18" s="1"/>
  <c r="E21" i="18" s="1"/>
  <c r="K23" i="2"/>
  <c r="D13" i="21" l="1"/>
  <c r="F11" i="21" s="1"/>
  <c r="E22" i="18"/>
  <c r="E23" i="18" s="1"/>
  <c r="E24" i="18" s="1"/>
  <c r="E25" i="18" s="1"/>
  <c r="E26" i="18" s="1"/>
  <c r="E27" i="18" s="1"/>
  <c r="E28" i="18" s="1"/>
  <c r="E29" i="18" s="1"/>
  <c r="E30" i="18" s="1"/>
  <c r="E31" i="18" s="1"/>
  <c r="E32" i="18" s="1"/>
  <c r="E33" i="18" s="1"/>
  <c r="E34" i="18" s="1"/>
  <c r="E35" i="18" s="1"/>
  <c r="E36" i="18" s="1"/>
  <c r="B15" i="21" l="1"/>
  <c r="J9" i="20"/>
  <c r="J10" i="20" s="1"/>
  <c r="D13" i="30" s="1"/>
  <c r="F16" i="21"/>
  <c r="E37" i="18"/>
  <c r="E38" i="18" s="1"/>
  <c r="E39" i="18" s="1"/>
  <c r="E40" i="18" s="1"/>
  <c r="E41" i="18" s="1"/>
  <c r="E42" i="18" s="1"/>
  <c r="E43" i="18" s="1"/>
  <c r="E44" i="18" s="1"/>
  <c r="J4" i="18" s="1"/>
  <c r="D31" i="21" l="1"/>
  <c r="H22" i="21"/>
  <c r="D15" i="21"/>
  <c r="N44" i="20"/>
  <c r="C15" i="21"/>
  <c r="J5" i="18"/>
  <c r="J6" i="18" s="1"/>
  <c r="J7" i="18" s="1"/>
  <c r="J8" i="18" s="1"/>
  <c r="J9" i="18" s="1"/>
  <c r="J10" i="18" s="1"/>
  <c r="J11" i="18" s="1"/>
  <c r="J12" i="18" s="1"/>
  <c r="J13" i="18" s="1"/>
  <c r="J14" i="18" s="1"/>
  <c r="J15" i="18" s="1"/>
  <c r="J16" i="18" s="1"/>
  <c r="J18" i="18" s="1"/>
  <c r="J20" i="20"/>
  <c r="D43" i="12"/>
  <c r="D14" i="12"/>
  <c r="B48" i="12"/>
  <c r="J19" i="18" l="1"/>
  <c r="J20" i="18" s="1"/>
  <c r="J21" i="18" s="1"/>
  <c r="J22" i="18" s="1"/>
  <c r="J23" i="18" s="1"/>
  <c r="J24" i="18" s="1"/>
  <c r="J25" i="18" s="1"/>
  <c r="B49" i="12"/>
  <c r="E296" i="2"/>
  <c r="D79" i="12" s="1"/>
  <c r="D22" i="12"/>
  <c r="E131" i="2"/>
  <c r="D34" i="12" s="1"/>
  <c r="D20" i="12"/>
  <c r="D19" i="12"/>
  <c r="D18" i="12"/>
  <c r="D17" i="12"/>
  <c r="D16" i="12"/>
  <c r="D15" i="12"/>
  <c r="J26" i="18" l="1"/>
  <c r="J27" i="18" s="1"/>
  <c r="J28" i="18" s="1"/>
  <c r="D125" i="18" l="1"/>
  <c r="I155" i="18" s="1"/>
  <c r="I156" i="18" s="1"/>
  <c r="F133" i="18" s="1"/>
  <c r="J29" i="18"/>
  <c r="J30" i="18" s="1"/>
  <c r="J31" i="18" s="1"/>
  <c r="J32" i="18" s="1"/>
  <c r="J33" i="18" l="1"/>
  <c r="J34" i="18" s="1"/>
  <c r="J35" i="18" s="1"/>
  <c r="E5" i="6"/>
  <c r="J36" i="18" l="1"/>
  <c r="J37" i="18" s="1"/>
  <c r="J38" i="18" s="1"/>
  <c r="J39" i="18" s="1"/>
  <c r="J40" i="18" s="1"/>
  <c r="J41" i="18" s="1"/>
  <c r="J42" i="18" s="1"/>
  <c r="J43" i="18" s="1"/>
  <c r="M36" i="5"/>
  <c r="M37" i="5" s="1"/>
  <c r="D9" i="11"/>
  <c r="D34" i="9" l="1"/>
  <c r="L19" i="5"/>
  <c r="F87" i="12" l="1"/>
  <c r="J9" i="13"/>
  <c r="D8" i="17"/>
  <c r="F7" i="17" s="1"/>
  <c r="J32" i="20" s="1"/>
  <c r="V242" i="20" s="1"/>
  <c r="D5" i="17"/>
  <c r="E81" i="2"/>
  <c r="J34" i="20" l="1"/>
  <c r="E3" i="23"/>
  <c r="E4" i="23" s="1"/>
  <c r="C10" i="23" s="1"/>
  <c r="S21" i="20"/>
  <c r="S24" i="20" s="1"/>
  <c r="G80" i="20"/>
  <c r="F36" i="18"/>
  <c r="J7" i="13"/>
  <c r="K13" i="18"/>
  <c r="J8" i="13"/>
  <c r="K14" i="18"/>
  <c r="J5" i="13"/>
  <c r="K11" i="18"/>
  <c r="L6" i="18" s="1"/>
  <c r="F4" i="17"/>
  <c r="E2" i="17"/>
  <c r="C2" i="17"/>
  <c r="F13" i="23" l="1"/>
  <c r="F12" i="23"/>
  <c r="K10" i="18"/>
  <c r="J31" i="20"/>
  <c r="F10" i="17"/>
  <c r="E3" i="28" s="1"/>
  <c r="E5" i="28" s="1"/>
  <c r="C11" i="28" s="1"/>
  <c r="J4" i="13"/>
  <c r="D13" i="12"/>
  <c r="D24" i="9"/>
  <c r="M36" i="13"/>
  <c r="M37" i="13" s="1"/>
  <c r="D314" i="2"/>
  <c r="D21" i="26"/>
  <c r="F14" i="28" l="1"/>
  <c r="F13" i="28"/>
  <c r="J33" i="20"/>
  <c r="E3" i="14"/>
  <c r="C16" i="23"/>
  <c r="E5" i="23" s="1"/>
  <c r="S29" i="20" s="1"/>
  <c r="K12" i="18"/>
  <c r="E314" i="2"/>
  <c r="J11" i="13"/>
  <c r="J6" i="13"/>
  <c r="D12" i="12"/>
  <c r="D44" i="12" s="1"/>
  <c r="AB12" i="13"/>
  <c r="Q7" i="13"/>
  <c r="J33" i="13"/>
  <c r="J35" i="13"/>
  <c r="J36" i="13"/>
  <c r="E41" i="13"/>
  <c r="E40" i="13"/>
  <c r="E35" i="13"/>
  <c r="E23" i="13"/>
  <c r="D23" i="26" l="1"/>
  <c r="F17" i="26" s="1"/>
  <c r="J41" i="20" s="1"/>
  <c r="E316" i="2"/>
  <c r="C17" i="28"/>
  <c r="E6" i="28" s="1"/>
  <c r="E347" i="2" s="1"/>
  <c r="E350" i="2" s="1"/>
  <c r="F13" i="16"/>
  <c r="F26" i="16" s="1"/>
  <c r="E2" i="16"/>
  <c r="C2" i="16"/>
  <c r="Q33" i="20" l="1"/>
  <c r="U33" i="20" s="1"/>
  <c r="K189" i="18"/>
  <c r="U233" i="20"/>
  <c r="U235" i="20" s="1"/>
  <c r="E2" i="14"/>
  <c r="C2" i="14"/>
  <c r="K154" i="13" l="1"/>
  <c r="K136" i="13"/>
  <c r="K135" i="13"/>
  <c r="K134" i="13"/>
  <c r="K133" i="13"/>
  <c r="K132" i="13"/>
  <c r="K131" i="13"/>
  <c r="E131" i="13"/>
  <c r="H131" i="13" s="1"/>
  <c r="K130" i="13"/>
  <c r="E130" i="13"/>
  <c r="H130" i="13" s="1"/>
  <c r="K129" i="13"/>
  <c r="E129" i="13"/>
  <c r="H129" i="13" s="1"/>
  <c r="K128" i="13"/>
  <c r="E128" i="13"/>
  <c r="H128" i="13" s="1"/>
  <c r="K127" i="13"/>
  <c r="K126" i="13"/>
  <c r="K125" i="13"/>
  <c r="K124" i="13"/>
  <c r="K123" i="13"/>
  <c r="K122" i="13"/>
  <c r="K121" i="13"/>
  <c r="K120" i="13"/>
  <c r="K119" i="13"/>
  <c r="K118" i="13"/>
  <c r="K117" i="13"/>
  <c r="K116" i="13"/>
  <c r="K115" i="13"/>
  <c r="K114" i="13"/>
  <c r="K113" i="13"/>
  <c r="K112" i="13"/>
  <c r="H112" i="13"/>
  <c r="K111" i="13"/>
  <c r="K110" i="13"/>
  <c r="K109" i="13"/>
  <c r="K108" i="13"/>
  <c r="K107" i="13"/>
  <c r="K106" i="13"/>
  <c r="K105" i="13"/>
  <c r="K104" i="13"/>
  <c r="K103" i="13"/>
  <c r="K102" i="13"/>
  <c r="K101" i="13"/>
  <c r="K100" i="13"/>
  <c r="K99" i="13"/>
  <c r="K98" i="13"/>
  <c r="D98" i="13"/>
  <c r="K97" i="13"/>
  <c r="E97" i="13"/>
  <c r="D97" i="13" s="1"/>
  <c r="K96" i="13"/>
  <c r="K95" i="13"/>
  <c r="K94" i="13"/>
  <c r="K93" i="13"/>
  <c r="K92" i="13"/>
  <c r="K91" i="13"/>
  <c r="K90" i="13"/>
  <c r="K89" i="13"/>
  <c r="K88" i="13"/>
  <c r="E88" i="13"/>
  <c r="K87" i="13"/>
  <c r="K86" i="13"/>
  <c r="K85" i="13"/>
  <c r="K84" i="13"/>
  <c r="H84" i="13"/>
  <c r="K83" i="13"/>
  <c r="K82" i="13"/>
  <c r="E82" i="13"/>
  <c r="K81" i="13"/>
  <c r="E81" i="13"/>
  <c r="K80" i="13"/>
  <c r="E80" i="13"/>
  <c r="K79" i="13"/>
  <c r="E79" i="13"/>
  <c r="H79" i="13" s="1"/>
  <c r="K78" i="13"/>
  <c r="E78" i="13"/>
  <c r="K77" i="13"/>
  <c r="E77" i="13"/>
  <c r="K76" i="13"/>
  <c r="K75" i="13"/>
  <c r="K74" i="13"/>
  <c r="H74" i="13"/>
  <c r="H75" i="13" s="1"/>
  <c r="K73" i="13"/>
  <c r="K72" i="13"/>
  <c r="K71" i="13"/>
  <c r="K70" i="13"/>
  <c r="K69" i="13"/>
  <c r="C69" i="13"/>
  <c r="K68" i="13"/>
  <c r="K67" i="13"/>
  <c r="K66" i="13"/>
  <c r="K65" i="13"/>
  <c r="K64" i="13"/>
  <c r="K63" i="13"/>
  <c r="K62" i="13"/>
  <c r="C62" i="13"/>
  <c r="K61" i="13"/>
  <c r="C61" i="13"/>
  <c r="K60" i="13"/>
  <c r="K59" i="13"/>
  <c r="K58" i="13"/>
  <c r="K57" i="13"/>
  <c r="K56" i="13"/>
  <c r="K55" i="13"/>
  <c r="K54" i="13"/>
  <c r="K53" i="13"/>
  <c r="H52" i="13"/>
  <c r="M49" i="13"/>
  <c r="M48" i="13"/>
  <c r="M47" i="13"/>
  <c r="M46" i="13"/>
  <c r="M45" i="13"/>
  <c r="M44" i="13"/>
  <c r="M43" i="13"/>
  <c r="O42" i="13"/>
  <c r="Z31" i="13"/>
  <c r="Q31" i="13"/>
  <c r="Q30" i="13"/>
  <c r="K28" i="13"/>
  <c r="P26" i="13"/>
  <c r="P25" i="13"/>
  <c r="O23" i="13"/>
  <c r="Z20" i="13"/>
  <c r="Q20" i="13"/>
  <c r="AA19" i="13"/>
  <c r="L19" i="13"/>
  <c r="L15" i="13"/>
  <c r="AC12" i="13"/>
  <c r="Z21" i="13" s="1"/>
  <c r="K6" i="13"/>
  <c r="D5" i="13"/>
  <c r="D6" i="13" s="1"/>
  <c r="D7" i="13" s="1"/>
  <c r="D8" i="13" s="1"/>
  <c r="D9" i="13" s="1"/>
  <c r="D10" i="13" s="1"/>
  <c r="D11" i="13" s="1"/>
  <c r="D12" i="13" s="1"/>
  <c r="D13" i="13" s="1"/>
  <c r="D14" i="13" s="1"/>
  <c r="D15" i="13" s="1"/>
  <c r="D16" i="13" s="1"/>
  <c r="D17" i="13" s="1"/>
  <c r="D18" i="13" s="1"/>
  <c r="D19" i="13" s="1"/>
  <c r="D20" i="13" s="1"/>
  <c r="D22" i="13" s="1"/>
  <c r="D23" i="13" s="1"/>
  <c r="D24" i="13" s="1"/>
  <c r="D25" i="13" s="1"/>
  <c r="D26" i="13" s="1"/>
  <c r="D27" i="13" s="1"/>
  <c r="D28" i="13" s="1"/>
  <c r="D29" i="13" s="1"/>
  <c r="D30" i="13" s="1"/>
  <c r="D31" i="13" s="1"/>
  <c r="D32" i="13" s="1"/>
  <c r="D33" i="13" s="1"/>
  <c r="D34" i="13" s="1"/>
  <c r="D35" i="13" s="1"/>
  <c r="D36" i="13" s="1"/>
  <c r="D37" i="13" s="1"/>
  <c r="D38" i="13" s="1"/>
  <c r="D39" i="13" s="1"/>
  <c r="D40" i="13" s="1"/>
  <c r="AB4" i="13"/>
  <c r="A2" i="13"/>
  <c r="A1" i="13"/>
  <c r="D36" i="11"/>
  <c r="D39" i="11"/>
  <c r="D73" i="12"/>
  <c r="D38" i="9"/>
  <c r="N15" i="20" l="1"/>
  <c r="H80" i="13"/>
  <c r="P27" i="13"/>
  <c r="P28" i="13" s="1"/>
  <c r="C63" i="13"/>
  <c r="H78" i="13"/>
  <c r="D41" i="13"/>
  <c r="D42" i="13" s="1"/>
  <c r="I4" i="13" s="1"/>
  <c r="I5" i="13" s="1"/>
  <c r="I6" i="13" s="1"/>
  <c r="I7" i="13" s="1"/>
  <c r="I8" i="13" s="1"/>
  <c r="I9" i="13" s="1"/>
  <c r="I10" i="13" s="1"/>
  <c r="I11" i="13" s="1"/>
  <c r="I12" i="13" s="1"/>
  <c r="I13" i="13" s="1"/>
  <c r="I14" i="13" s="1"/>
  <c r="Q18" i="13"/>
  <c r="H132" i="13"/>
  <c r="E132" i="13" s="1"/>
  <c r="Q21" i="13"/>
  <c r="Q22" i="13" s="1"/>
  <c r="Z18" i="13"/>
  <c r="Z22" i="13"/>
  <c r="O43" i="13"/>
  <c r="P44" i="13" s="1"/>
  <c r="H77" i="13"/>
  <c r="D25" i="12"/>
  <c r="F24" i="12" s="1"/>
  <c r="S7" i="20" s="1"/>
  <c r="F4" i="30" s="1"/>
  <c r="D63" i="12"/>
  <c r="D60" i="12"/>
  <c r="D55" i="12"/>
  <c r="D54" i="12"/>
  <c r="D53" i="12"/>
  <c r="D52" i="12"/>
  <c r="C42" i="12"/>
  <c r="C41" i="12"/>
  <c r="C40" i="12"/>
  <c r="C38" i="12"/>
  <c r="D6" i="12"/>
  <c r="D7" i="12"/>
  <c r="D8" i="12"/>
  <c r="D9" i="12"/>
  <c r="D10" i="12"/>
  <c r="D5" i="12"/>
  <c r="C10" i="12"/>
  <c r="C9" i="12"/>
  <c r="C8" i="12"/>
  <c r="C7" i="12"/>
  <c r="C6" i="12"/>
  <c r="C5" i="12"/>
  <c r="E2" i="12"/>
  <c r="E49" i="12" s="1"/>
  <c r="C2" i="12"/>
  <c r="C49" i="12" s="1"/>
  <c r="E31" i="13" l="1"/>
  <c r="F27" i="18"/>
  <c r="H83" i="13"/>
  <c r="C84" i="13" s="1"/>
  <c r="I15" i="13"/>
  <c r="I16" i="13" s="1"/>
  <c r="I17" i="13" s="1"/>
  <c r="I18" i="13" s="1"/>
  <c r="I19" i="13" s="1"/>
  <c r="I20" i="13" s="1"/>
  <c r="I22" i="13" s="1"/>
  <c r="I23" i="13" s="1"/>
  <c r="I24" i="13" s="1"/>
  <c r="I25" i="13" s="1"/>
  <c r="I26" i="13" s="1"/>
  <c r="I27" i="13" s="1"/>
  <c r="I28" i="13" s="1"/>
  <c r="E28" i="13"/>
  <c r="I29" i="13" l="1"/>
  <c r="I30" i="13" s="1"/>
  <c r="I31" i="13" s="1"/>
  <c r="I32" i="13" s="1"/>
  <c r="I33" i="13" s="1"/>
  <c r="I34" i="13" s="1"/>
  <c r="I35" i="13" s="1"/>
  <c r="I36" i="13" s="1"/>
  <c r="I37" i="13" s="1"/>
  <c r="I38" i="13" s="1"/>
  <c r="I39" i="13" s="1"/>
  <c r="I40" i="13" s="1"/>
  <c r="I41" i="13" s="1"/>
  <c r="I42" i="13" s="1"/>
  <c r="E238" i="2"/>
  <c r="E259" i="2" s="1"/>
  <c r="D20" i="11"/>
  <c r="D21" i="11"/>
  <c r="D26" i="11"/>
  <c r="D27" i="11"/>
  <c r="D29" i="11"/>
  <c r="D17" i="11"/>
  <c r="D11" i="11"/>
  <c r="D10" i="11"/>
  <c r="D9" i="10"/>
  <c r="D27" i="9"/>
  <c r="D26" i="9"/>
  <c r="D15" i="11" l="1"/>
  <c r="H88" i="13"/>
  <c r="F7" i="10"/>
  <c r="J27" i="20" s="1"/>
  <c r="W252" i="20" s="1"/>
  <c r="W253" i="20" s="1"/>
  <c r="V250" i="20" s="1"/>
  <c r="D36" i="9"/>
  <c r="D6" i="11"/>
  <c r="D5" i="11"/>
  <c r="E57" i="2"/>
  <c r="E2" i="11"/>
  <c r="C2" i="11"/>
  <c r="E301" i="2"/>
  <c r="D18" i="10" s="1"/>
  <c r="D17" i="10" s="1"/>
  <c r="D5" i="10"/>
  <c r="F13" i="11" l="1"/>
  <c r="N9" i="20" s="1"/>
  <c r="E14" i="13"/>
  <c r="L16" i="13" s="1"/>
  <c r="L17" i="13" s="1"/>
  <c r="K14" i="13" s="1"/>
  <c r="K6" i="18"/>
  <c r="M16" i="18" s="1"/>
  <c r="M17" i="18" s="1"/>
  <c r="L14" i="18" s="1"/>
  <c r="F4" i="11"/>
  <c r="F8" i="11"/>
  <c r="F4" i="10"/>
  <c r="K5" i="18" s="1"/>
  <c r="E2" i="10"/>
  <c r="C2" i="10"/>
  <c r="C13" i="9"/>
  <c r="D16" i="9"/>
  <c r="D17" i="9"/>
  <c r="D18" i="9"/>
  <c r="D19" i="9"/>
  <c r="D21" i="9"/>
  <c r="D15" i="9"/>
  <c r="D6" i="9"/>
  <c r="D8" i="9"/>
  <c r="D9" i="9"/>
  <c r="D10" i="9"/>
  <c r="D11" i="9"/>
  <c r="D12" i="9"/>
  <c r="D5" i="9"/>
  <c r="E2" i="9"/>
  <c r="C2" i="9"/>
  <c r="F30" i="11" l="1"/>
  <c r="D49" i="11" s="1"/>
  <c r="D37" i="11"/>
  <c r="N16" i="20" s="1"/>
  <c r="N17" i="20" s="1"/>
  <c r="G14" i="11"/>
  <c r="D12" i="11" s="1"/>
  <c r="D42" i="11"/>
  <c r="D41" i="11"/>
  <c r="F16" i="18"/>
  <c r="E20" i="13"/>
  <c r="F4" i="9"/>
  <c r="F10" i="10"/>
  <c r="J26" i="20"/>
  <c r="F15" i="18"/>
  <c r="N8" i="20"/>
  <c r="N6" i="20"/>
  <c r="F14" i="18"/>
  <c r="E13" i="13"/>
  <c r="E18" i="13"/>
  <c r="E19" i="13"/>
  <c r="E14" i="30" l="1"/>
  <c r="D48" i="11"/>
  <c r="E60" i="9"/>
  <c r="D35" i="11"/>
  <c r="D43" i="9"/>
  <c r="D43" i="11"/>
  <c r="H30" i="9"/>
  <c r="D28" i="9" s="1"/>
  <c r="G6" i="20"/>
  <c r="F18" i="18"/>
  <c r="N10" i="20"/>
  <c r="E13" i="30" s="1"/>
  <c r="F11" i="10"/>
  <c r="J29" i="20" s="1"/>
  <c r="J28" i="20"/>
  <c r="K7" i="18"/>
  <c r="E22" i="13"/>
  <c r="F7" i="18"/>
  <c r="E15" i="13"/>
  <c r="E7" i="13"/>
  <c r="D45" i="11" l="1"/>
  <c r="D44" i="11"/>
  <c r="G15" i="20"/>
  <c r="E16" i="13"/>
  <c r="K8" i="18"/>
  <c r="F21" i="10"/>
  <c r="J30" i="20" s="1"/>
  <c r="C9" i="2"/>
  <c r="D40" i="11" l="1"/>
  <c r="F34" i="11" s="1"/>
  <c r="D47" i="11" s="1"/>
  <c r="F46" i="11" s="1"/>
  <c r="K9" i="18"/>
  <c r="E17" i="13"/>
  <c r="C2" i="7"/>
  <c r="K153" i="5"/>
  <c r="I176" i="3"/>
  <c r="F37" i="3"/>
  <c r="K28" i="5"/>
  <c r="E129" i="5"/>
  <c r="H129" i="5" s="1"/>
  <c r="E128" i="5"/>
  <c r="H128" i="5" s="1"/>
  <c r="E127" i="5"/>
  <c r="H127" i="5" s="1"/>
  <c r="E130" i="5"/>
  <c r="H111" i="5"/>
  <c r="D105" i="2"/>
  <c r="C61" i="5"/>
  <c r="E34" i="5"/>
  <c r="D40" i="12"/>
  <c r="E80" i="2"/>
  <c r="D11" i="12" s="1"/>
  <c r="G9" i="7"/>
  <c r="F12" i="3"/>
  <c r="M42" i="5"/>
  <c r="O42" i="5" s="1"/>
  <c r="F27" i="6"/>
  <c r="L4" i="3"/>
  <c r="I4" i="3"/>
  <c r="H83" i="5"/>
  <c r="D97" i="5"/>
  <c r="C109" i="3"/>
  <c r="E96" i="5"/>
  <c r="D96" i="5" s="1"/>
  <c r="D108" i="3"/>
  <c r="C108" i="3" s="1"/>
  <c r="A14" i="3"/>
  <c r="A15" i="3" s="1"/>
  <c r="A16" i="3" s="1"/>
  <c r="A17" i="3" s="1"/>
  <c r="A18" i="3" s="1"/>
  <c r="A19" i="3" s="1"/>
  <c r="A20" i="3" s="1"/>
  <c r="A21" i="3" s="1"/>
  <c r="A22" i="3" s="1"/>
  <c r="A23" i="3" s="1"/>
  <c r="A24" i="3" s="1"/>
  <c r="A27" i="3"/>
  <c r="A28" i="3" s="1"/>
  <c r="A29" i="3" s="1"/>
  <c r="A30" i="3" s="1"/>
  <c r="A31" i="3" s="1"/>
  <c r="A32" i="3" s="1"/>
  <c r="A33" i="3" s="1"/>
  <c r="A34" i="3" s="1"/>
  <c r="A35" i="3" s="1"/>
  <c r="A36" i="3" s="1"/>
  <c r="A37" i="3" s="1"/>
  <c r="A38" i="3" s="1"/>
  <c r="A39" i="3" s="1"/>
  <c r="A40" i="3" s="1"/>
  <c r="A41" i="3" s="1"/>
  <c r="A42" i="3" s="1"/>
  <c r="A43" i="3" s="1"/>
  <c r="A44" i="3" s="1"/>
  <c r="A45" i="3" s="1"/>
  <c r="G42" i="7"/>
  <c r="C105" i="3"/>
  <c r="C106" i="3"/>
  <c r="H41" i="7"/>
  <c r="G41" i="7" s="1"/>
  <c r="G39" i="7"/>
  <c r="C88" i="3"/>
  <c r="G66" i="7"/>
  <c r="D87" i="3"/>
  <c r="D96" i="3" s="1"/>
  <c r="H66" i="7"/>
  <c r="H73" i="7"/>
  <c r="D102" i="3"/>
  <c r="B97" i="3"/>
  <c r="P26" i="5"/>
  <c r="F77" i="7"/>
  <c r="B96" i="3"/>
  <c r="Z31" i="5"/>
  <c r="H82" i="7"/>
  <c r="F76" i="7"/>
  <c r="Q76" i="7"/>
  <c r="P25" i="5"/>
  <c r="G38" i="7"/>
  <c r="H60" i="7"/>
  <c r="I60" i="7" s="1"/>
  <c r="D82" i="3"/>
  <c r="C91" i="3" s="1"/>
  <c r="N49" i="7"/>
  <c r="D45" i="12"/>
  <c r="I2" i="2"/>
  <c r="C11" i="2" s="1"/>
  <c r="H17" i="29" s="1"/>
  <c r="H73" i="5"/>
  <c r="H74" i="5" s="1"/>
  <c r="AB12" i="5"/>
  <c r="AC12" i="5" s="1"/>
  <c r="E78" i="5"/>
  <c r="H78" i="5" s="1"/>
  <c r="E79" i="5"/>
  <c r="I22" i="2"/>
  <c r="I23" i="2" s="1"/>
  <c r="S6" i="5"/>
  <c r="Q6" i="5" s="1"/>
  <c r="AB4" i="5"/>
  <c r="Q3" i="5"/>
  <c r="Q2" i="5"/>
  <c r="J18" i="7"/>
  <c r="J19" i="7"/>
  <c r="E69" i="2"/>
  <c r="A8" i="7"/>
  <c r="A9" i="7" s="1"/>
  <c r="A10" i="7" s="1"/>
  <c r="A11" i="7" s="1"/>
  <c r="A12" i="7" s="1"/>
  <c r="A13" i="7" s="1"/>
  <c r="A14" i="7" s="1"/>
  <c r="A15" i="7" s="1"/>
  <c r="A16" i="7" s="1"/>
  <c r="A17" i="7" s="1"/>
  <c r="A18" i="7" s="1"/>
  <c r="A19" i="7" s="1"/>
  <c r="A20" i="7" s="1"/>
  <c r="A22" i="7" s="1"/>
  <c r="A23" i="7" s="1"/>
  <c r="A24" i="7" s="1"/>
  <c r="A25" i="7" s="1"/>
  <c r="A26" i="7" s="1"/>
  <c r="A27" i="7" s="1"/>
  <c r="A28" i="7" s="1"/>
  <c r="A29" i="7" s="1"/>
  <c r="A30" i="7" s="1"/>
  <c r="A31" i="7" s="1"/>
  <c r="A32" i="7" s="1"/>
  <c r="A33" i="7" s="1"/>
  <c r="A34" i="7" s="1"/>
  <c r="A35" i="7" s="1"/>
  <c r="A36" i="7" s="1"/>
  <c r="A37" i="7" s="1"/>
  <c r="A38" i="7" s="1"/>
  <c r="A39" i="7" s="1"/>
  <c r="A40" i="7" s="1"/>
  <c r="F13" i="7"/>
  <c r="F14" i="7"/>
  <c r="F18" i="7"/>
  <c r="F17" i="7"/>
  <c r="F20" i="7"/>
  <c r="F22" i="7"/>
  <c r="J14" i="7"/>
  <c r="J16" i="7"/>
  <c r="J17" i="7"/>
  <c r="J13" i="7"/>
  <c r="H14" i="7"/>
  <c r="H23" i="7" s="1"/>
  <c r="H16" i="7"/>
  <c r="H24" i="7" s="1"/>
  <c r="H17" i="7"/>
  <c r="H25" i="7" s="1"/>
  <c r="H13" i="7"/>
  <c r="H22" i="7" s="1"/>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G167" i="7"/>
  <c r="B167" i="7"/>
  <c r="M166" i="7"/>
  <c r="G166" i="7"/>
  <c r="B166" i="7"/>
  <c r="G165" i="7"/>
  <c r="B165" i="7"/>
  <c r="G164" i="7"/>
  <c r="B164" i="7"/>
  <c r="G163" i="7"/>
  <c r="B163" i="7"/>
  <c r="G162" i="7"/>
  <c r="B162" i="7"/>
  <c r="G161" i="7"/>
  <c r="B161" i="7"/>
  <c r="G160" i="7"/>
  <c r="B160" i="7"/>
  <c r="G159" i="7"/>
  <c r="B159" i="7"/>
  <c r="G158" i="7"/>
  <c r="B158" i="7"/>
  <c r="G157" i="7"/>
  <c r="B157" i="7"/>
  <c r="G156" i="7"/>
  <c r="B156" i="7"/>
  <c r="G155" i="7"/>
  <c r="B155" i="7"/>
  <c r="G154" i="7"/>
  <c r="B154" i="7"/>
  <c r="G153" i="7"/>
  <c r="B153" i="7"/>
  <c r="G152" i="7"/>
  <c r="B152" i="7"/>
  <c r="G151" i="7"/>
  <c r="B151" i="7"/>
  <c r="G150" i="7"/>
  <c r="B150" i="7"/>
  <c r="G149" i="7"/>
  <c r="B149" i="7"/>
  <c r="G148" i="7"/>
  <c r="B148" i="7"/>
  <c r="G147" i="7"/>
  <c r="B147" i="7"/>
  <c r="G146" i="7"/>
  <c r="B146" i="7"/>
  <c r="G145" i="7"/>
  <c r="B145" i="7"/>
  <c r="G144" i="7"/>
  <c r="B144" i="7"/>
  <c r="G143" i="7"/>
  <c r="B143" i="7"/>
  <c r="G142" i="7"/>
  <c r="B142" i="7"/>
  <c r="G141" i="7"/>
  <c r="B141" i="7"/>
  <c r="G140" i="7"/>
  <c r="B140" i="7"/>
  <c r="G139" i="7"/>
  <c r="B139" i="7"/>
  <c r="G138" i="7"/>
  <c r="B138" i="7"/>
  <c r="G137" i="7"/>
  <c r="B137" i="7"/>
  <c r="G136" i="7"/>
  <c r="B136" i="7"/>
  <c r="G135" i="7"/>
  <c r="B135" i="7"/>
  <c r="G134" i="7"/>
  <c r="B134" i="7"/>
  <c r="G133" i="7"/>
  <c r="B133" i="7"/>
  <c r="G132" i="7"/>
  <c r="B132" i="7"/>
  <c r="G131" i="7"/>
  <c r="B131" i="7"/>
  <c r="G130" i="7"/>
  <c r="B130" i="7"/>
  <c r="G129" i="7"/>
  <c r="B129" i="7"/>
  <c r="G128" i="7"/>
  <c r="B128" i="7"/>
  <c r="G127" i="7"/>
  <c r="BA123" i="7"/>
  <c r="AY123" i="7"/>
  <c r="BA122" i="7"/>
  <c r="AY122" i="7"/>
  <c r="BA121" i="7"/>
  <c r="AY121" i="7"/>
  <c r="BA120" i="7"/>
  <c r="AY120" i="7"/>
  <c r="BA119" i="7"/>
  <c r="AY119" i="7"/>
  <c r="BA118" i="7"/>
  <c r="AY118" i="7"/>
  <c r="BA117" i="7"/>
  <c r="AY117" i="7"/>
  <c r="BA116" i="7"/>
  <c r="AY116" i="7"/>
  <c r="BA115" i="7"/>
  <c r="AY115" i="7"/>
  <c r="BA114" i="7"/>
  <c r="AY114" i="7"/>
  <c r="BA113" i="7"/>
  <c r="AY113" i="7"/>
  <c r="BA112" i="7"/>
  <c r="AY112" i="7"/>
  <c r="BA111" i="7"/>
  <c r="AY111" i="7"/>
  <c r="BA110" i="7"/>
  <c r="AY110" i="7"/>
  <c r="BA109" i="7"/>
  <c r="AY109" i="7"/>
  <c r="BA108" i="7"/>
  <c r="AY108" i="7"/>
  <c r="BA107" i="7"/>
  <c r="AY107" i="7"/>
  <c r="BA106" i="7"/>
  <c r="AY106" i="7"/>
  <c r="BA105" i="7"/>
  <c r="AY105" i="7"/>
  <c r="BA104" i="7"/>
  <c r="AY104" i="7"/>
  <c r="BA103" i="7"/>
  <c r="AY103" i="7"/>
  <c r="BA102" i="7"/>
  <c r="AY102" i="7"/>
  <c r="BA101" i="7"/>
  <c r="AY101" i="7"/>
  <c r="BA100" i="7"/>
  <c r="AY100" i="7"/>
  <c r="BA99" i="7"/>
  <c r="AY99" i="7"/>
  <c r="BA98" i="7"/>
  <c r="AY98" i="7"/>
  <c r="BA97" i="7"/>
  <c r="AY97" i="7"/>
  <c r="AK97" i="7"/>
  <c r="BA96" i="7"/>
  <c r="AY96" i="7"/>
  <c r="AM96" i="7"/>
  <c r="AL96" i="7"/>
  <c r="AK96" i="7"/>
  <c r="BA95" i="7"/>
  <c r="AY95" i="7"/>
  <c r="BA94" i="7"/>
  <c r="AY94" i="7"/>
  <c r="BA93" i="7"/>
  <c r="AY93" i="7"/>
  <c r="BA92" i="7"/>
  <c r="AY92" i="7"/>
  <c r="BA91" i="7"/>
  <c r="AY91" i="7"/>
  <c r="BA90" i="7"/>
  <c r="AY90" i="7"/>
  <c r="BA89" i="7"/>
  <c r="AY89" i="7"/>
  <c r="BA88" i="7"/>
  <c r="AY88" i="7"/>
  <c r="BA87" i="7"/>
  <c r="AY87" i="7"/>
  <c r="BA86" i="7"/>
  <c r="AY86" i="7"/>
  <c r="BA85" i="7"/>
  <c r="AY85" i="7"/>
  <c r="BA84" i="7"/>
  <c r="AY84" i="7"/>
  <c r="BA83" i="7"/>
  <c r="AY83" i="7"/>
  <c r="BA82" i="7"/>
  <c r="AY82" i="7"/>
  <c r="O87" i="7"/>
  <c r="BA81" i="7"/>
  <c r="AY81" i="7"/>
  <c r="BA80" i="7"/>
  <c r="AY80" i="7"/>
  <c r="BA79" i="7"/>
  <c r="AY79" i="7"/>
  <c r="BA78" i="7"/>
  <c r="AY78" i="7"/>
  <c r="BA77" i="7"/>
  <c r="AY77" i="7"/>
  <c r="BA76" i="7"/>
  <c r="AY76" i="7"/>
  <c r="BA75" i="7"/>
  <c r="AY75" i="7"/>
  <c r="S75" i="7"/>
  <c r="S76" i="7" s="1"/>
  <c r="BA74" i="7"/>
  <c r="AY74" i="7"/>
  <c r="BA73" i="7"/>
  <c r="AY73" i="7"/>
  <c r="BA72" i="7"/>
  <c r="AY72" i="7"/>
  <c r="S72" i="7"/>
  <c r="O72" i="7"/>
  <c r="M64" i="7" s="1"/>
  <c r="BA71" i="7"/>
  <c r="AY71" i="7"/>
  <c r="BA70" i="7"/>
  <c r="AY70" i="7"/>
  <c r="BA69" i="7"/>
  <c r="AY69" i="7"/>
  <c r="BA68" i="7"/>
  <c r="AY68" i="7"/>
  <c r="BA67" i="7"/>
  <c r="AY67" i="7"/>
  <c r="Y67" i="7"/>
  <c r="X67" i="7"/>
  <c r="T67" i="7"/>
  <c r="S67" i="7"/>
  <c r="P67" i="7"/>
  <c r="O67" i="7"/>
  <c r="BA66" i="7"/>
  <c r="AY66" i="7"/>
  <c r="M66" i="7"/>
  <c r="M65" i="7" s="1"/>
  <c r="BA65" i="7"/>
  <c r="AY65" i="7"/>
  <c r="BA64" i="7"/>
  <c r="AY64" i="7"/>
  <c r="BA63" i="7"/>
  <c r="AY63" i="7"/>
  <c r="BA62" i="7"/>
  <c r="AY62" i="7"/>
  <c r="BA61" i="7"/>
  <c r="AY61" i="7"/>
  <c r="BA60" i="7"/>
  <c r="AY60" i="7"/>
  <c r="BA59" i="7"/>
  <c r="AY59" i="7"/>
  <c r="N44" i="7"/>
  <c r="N45" i="7" s="1"/>
  <c r="BA35" i="7"/>
  <c r="AY35" i="7"/>
  <c r="M32" i="7"/>
  <c r="N32" i="7" s="1"/>
  <c r="N22" i="7"/>
  <c r="M23" i="7" s="1"/>
  <c r="G22" i="7"/>
  <c r="BA19" i="7"/>
  <c r="AY19" i="7"/>
  <c r="BA18" i="7"/>
  <c r="AY18" i="7"/>
  <c r="BA17" i="7"/>
  <c r="AY17" i="7"/>
  <c r="BA16" i="7"/>
  <c r="AY16" i="7"/>
  <c r="Q16" i="7"/>
  <c r="R78" i="7" s="1"/>
  <c r="BA14" i="7"/>
  <c r="AY14" i="7"/>
  <c r="BA13" i="7"/>
  <c r="AY13" i="7"/>
  <c r="Q13" i="7"/>
  <c r="O13" i="7"/>
  <c r="BA12" i="7"/>
  <c r="AY12" i="7"/>
  <c r="Q12" i="7"/>
  <c r="O12" i="7"/>
  <c r="BA8" i="7"/>
  <c r="AY8" i="7"/>
  <c r="O8" i="7"/>
  <c r="BA7" i="7"/>
  <c r="AY7" i="7"/>
  <c r="O7" i="7"/>
  <c r="BA5" i="7"/>
  <c r="AY5" i="7"/>
  <c r="O5" i="7"/>
  <c r="BA3" i="7"/>
  <c r="AY3" i="7"/>
  <c r="O3" i="7"/>
  <c r="B3" i="7"/>
  <c r="AY2" i="7"/>
  <c r="O2" i="7"/>
  <c r="B2" i="7"/>
  <c r="AX1" i="7"/>
  <c r="AZ124" i="7" s="1"/>
  <c r="BA124" i="7" s="1"/>
  <c r="O1" i="7"/>
  <c r="E128" i="2"/>
  <c r="D32" i="12" s="1"/>
  <c r="E332" i="2"/>
  <c r="B176" i="2"/>
  <c r="B175" i="2"/>
  <c r="M48" i="5"/>
  <c r="M47" i="5"/>
  <c r="M46" i="5"/>
  <c r="M45" i="5"/>
  <c r="M44" i="5"/>
  <c r="M43" i="5"/>
  <c r="D64" i="2"/>
  <c r="E87" i="5"/>
  <c r="E36" i="6"/>
  <c r="F35" i="6" s="1"/>
  <c r="A2" i="5"/>
  <c r="A1" i="5"/>
  <c r="L15" i="5"/>
  <c r="J30" i="3"/>
  <c r="K30" i="3" s="1"/>
  <c r="F21" i="3"/>
  <c r="J31" i="5"/>
  <c r="E81" i="5"/>
  <c r="E80" i="5"/>
  <c r="E77" i="5"/>
  <c r="E76" i="5"/>
  <c r="E13" i="5"/>
  <c r="E26" i="5" s="1"/>
  <c r="J5" i="5"/>
  <c r="K6" i="5" s="1"/>
  <c r="E22" i="5"/>
  <c r="I42" i="3"/>
  <c r="E116" i="6"/>
  <c r="E110" i="6"/>
  <c r="E106" i="6"/>
  <c r="E100" i="6"/>
  <c r="F121" i="6"/>
  <c r="C68" i="5"/>
  <c r="E304" i="2"/>
  <c r="D48" i="9" s="1"/>
  <c r="C60" i="5"/>
  <c r="D80" i="12"/>
  <c r="H51"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F84" i="6"/>
  <c r="F76" i="6"/>
  <c r="F67" i="6"/>
  <c r="F58" i="6"/>
  <c r="F49" i="6"/>
  <c r="E12" i="6"/>
  <c r="F3" i="6" s="1"/>
  <c r="E117" i="2"/>
  <c r="O41" i="5"/>
  <c r="E337" i="2"/>
  <c r="F38" i="3"/>
  <c r="K48" i="3"/>
  <c r="K43" i="3"/>
  <c r="K44" i="3" s="1"/>
  <c r="J34" i="5"/>
  <c r="J33" i="5"/>
  <c r="J165" i="3"/>
  <c r="E8" i="5"/>
  <c r="D145" i="2"/>
  <c r="D148" i="2" s="1"/>
  <c r="L1" i="3"/>
  <c r="AU1" i="3"/>
  <c r="AW123" i="3" s="1"/>
  <c r="AX123" i="3" s="1"/>
  <c r="L2" i="3"/>
  <c r="AV2" i="3"/>
  <c r="L3" i="3"/>
  <c r="AV3" i="3"/>
  <c r="AX3" i="3"/>
  <c r="L6" i="3"/>
  <c r="AV6" i="3"/>
  <c r="AX6" i="3"/>
  <c r="E297" i="2"/>
  <c r="D47" i="9" s="1"/>
  <c r="E298" i="2"/>
  <c r="D50" i="9" s="1"/>
  <c r="D46" i="9"/>
  <c r="E16" i="5"/>
  <c r="E9" i="5"/>
  <c r="D31" i="12"/>
  <c r="E129" i="2"/>
  <c r="D33" i="12" s="1"/>
  <c r="E130" i="2"/>
  <c r="D35" i="12" s="1"/>
  <c r="O23" i="5"/>
  <c r="E10" i="5"/>
  <c r="E11" i="5"/>
  <c r="E15" i="5"/>
  <c r="D5" i="5"/>
  <c r="D6" i="5" s="1"/>
  <c r="D7" i="5" s="1"/>
  <c r="D8" i="5" s="1"/>
  <c r="D9" i="5" s="1"/>
  <c r="D10" i="5" s="1"/>
  <c r="D11" i="5" s="1"/>
  <c r="D12" i="5" s="1"/>
  <c r="D13" i="5" s="1"/>
  <c r="D14" i="5" s="1"/>
  <c r="D15" i="5" s="1"/>
  <c r="D16" i="5" s="1"/>
  <c r="D17" i="5" s="1"/>
  <c r="D18" i="5" s="1"/>
  <c r="D19" i="5" s="1"/>
  <c r="D20" i="5" s="1"/>
  <c r="D22" i="5" s="1"/>
  <c r="D23" i="5" s="1"/>
  <c r="D24" i="5" s="1"/>
  <c r="D25" i="5" s="1"/>
  <c r="D26" i="5" s="1"/>
  <c r="D27" i="5" s="1"/>
  <c r="D28" i="5" s="1"/>
  <c r="D29" i="5" s="1"/>
  <c r="D30" i="5" s="1"/>
  <c r="D31" i="5" s="1"/>
  <c r="D32" i="5" s="1"/>
  <c r="D33" i="5" s="1"/>
  <c r="D34" i="5" s="1"/>
  <c r="D35" i="5" s="1"/>
  <c r="D36" i="5" s="1"/>
  <c r="D37" i="5" s="1"/>
  <c r="D38" i="5" s="1"/>
  <c r="D39" i="5" s="1"/>
  <c r="D40" i="5" s="1"/>
  <c r="D41" i="5" s="1"/>
  <c r="I4" i="5" s="1"/>
  <c r="I5" i="5" s="1"/>
  <c r="I6" i="5" s="1"/>
  <c r="I7" i="5" s="1"/>
  <c r="I8" i="5" s="1"/>
  <c r="I9" i="5" s="1"/>
  <c r="I10" i="5" s="1"/>
  <c r="I11" i="5" s="1"/>
  <c r="I12" i="5" s="1"/>
  <c r="I13" i="5" s="1"/>
  <c r="I14" i="5" s="1"/>
  <c r="Q5" i="5" s="1"/>
  <c r="F126"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27"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N12" i="3"/>
  <c r="AX122" i="3"/>
  <c r="AV122" i="3"/>
  <c r="AV7" i="3"/>
  <c r="AV8" i="3"/>
  <c r="AV9" i="3"/>
  <c r="AV10" i="3"/>
  <c r="AV11" i="3"/>
  <c r="AV12" i="3"/>
  <c r="AV13" i="3"/>
  <c r="AV14" i="3"/>
  <c r="AV15" i="3"/>
  <c r="AV16" i="3"/>
  <c r="AV17" i="3"/>
  <c r="AV18" i="3"/>
  <c r="AV33"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108" i="3"/>
  <c r="AV109" i="3"/>
  <c r="AV110" i="3"/>
  <c r="AV111" i="3"/>
  <c r="AV112" i="3"/>
  <c r="AV113" i="3"/>
  <c r="AV114" i="3"/>
  <c r="AV115" i="3"/>
  <c r="AV116" i="3"/>
  <c r="AV117" i="3"/>
  <c r="AV118" i="3"/>
  <c r="AV119" i="3"/>
  <c r="AV120" i="3"/>
  <c r="AV121" i="3"/>
  <c r="AX104" i="3"/>
  <c r="AX7" i="3"/>
  <c r="AX8" i="3"/>
  <c r="AX9" i="3"/>
  <c r="AX10" i="3"/>
  <c r="AX11" i="3"/>
  <c r="AX12" i="3"/>
  <c r="AX13" i="3"/>
  <c r="AX14" i="3"/>
  <c r="AX15" i="3"/>
  <c r="AX16" i="3"/>
  <c r="AX17" i="3"/>
  <c r="AX18" i="3"/>
  <c r="AX33"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5" i="3"/>
  <c r="AX106" i="3"/>
  <c r="AX107" i="3"/>
  <c r="AX108" i="3"/>
  <c r="AX109" i="3"/>
  <c r="AX110" i="3"/>
  <c r="AX111" i="3"/>
  <c r="AX112" i="3"/>
  <c r="AX113" i="3"/>
  <c r="AX114" i="3"/>
  <c r="AX115" i="3"/>
  <c r="AX116" i="3"/>
  <c r="AX117" i="3"/>
  <c r="AX118" i="3"/>
  <c r="AX119" i="3"/>
  <c r="AX120" i="3"/>
  <c r="AX121" i="3"/>
  <c r="AH96" i="3"/>
  <c r="AJ95" i="3"/>
  <c r="AI95" i="3"/>
  <c r="AH95" i="3"/>
  <c r="N15" i="3"/>
  <c r="O77" i="3" s="1"/>
  <c r="L81" i="3"/>
  <c r="I78" i="3"/>
  <c r="P74" i="3"/>
  <c r="P75" i="3" s="1"/>
  <c r="P71" i="3"/>
  <c r="L71" i="3"/>
  <c r="J63" i="3" s="1"/>
  <c r="V66" i="3"/>
  <c r="U66" i="3"/>
  <c r="Q66" i="3"/>
  <c r="P66" i="3"/>
  <c r="M66" i="3"/>
  <c r="L66" i="3"/>
  <c r="N13" i="3"/>
  <c r="K21" i="3"/>
  <c r="J22" i="3" s="1"/>
  <c r="L13" i="3"/>
  <c r="L12" i="3"/>
  <c r="L11" i="3"/>
  <c r="L10" i="3"/>
  <c r="L9" i="3"/>
  <c r="K9" i="3"/>
  <c r="B3" i="3"/>
  <c r="L8" i="3"/>
  <c r="C2" i="3"/>
  <c r="B2" i="3"/>
  <c r="L7" i="3"/>
  <c r="O35" i="7"/>
  <c r="O36" i="7" s="1"/>
  <c r="J65" i="3"/>
  <c r="J64" i="3" s="1"/>
  <c r="I81" i="3"/>
  <c r="L86" i="3" s="1"/>
  <c r="O84" i="7"/>
  <c r="L90" i="7" s="1"/>
  <c r="O85" i="7"/>
  <c r="P85" i="7" s="1"/>
  <c r="O86" i="7"/>
  <c r="O14" i="7"/>
  <c r="L14" i="3"/>
  <c r="D90" i="3"/>
  <c r="E89" i="3"/>
  <c r="C90" i="3"/>
  <c r="C102" i="3"/>
  <c r="Z20" i="5"/>
  <c r="Q20" i="5"/>
  <c r="G68" i="7"/>
  <c r="AA19" i="5"/>
  <c r="Q30" i="5"/>
  <c r="Q31" i="5"/>
  <c r="H68" i="7"/>
  <c r="G82" i="7"/>
  <c r="I67" i="7"/>
  <c r="G81" i="7"/>
  <c r="E7" i="5"/>
  <c r="D7" i="26" l="1"/>
  <c r="F4" i="26" s="1"/>
  <c r="F24" i="26" s="1"/>
  <c r="I37" i="3"/>
  <c r="L39" i="7"/>
  <c r="E98" i="2"/>
  <c r="H290" i="2" s="1"/>
  <c r="I29" i="3"/>
  <c r="D21" i="12"/>
  <c r="F4" i="12" s="1"/>
  <c r="G72" i="12" s="1"/>
  <c r="D71" i="12" s="1"/>
  <c r="D69" i="12" s="1"/>
  <c r="I7" i="7"/>
  <c r="E299" i="2"/>
  <c r="D49" i="9" s="1"/>
  <c r="E300" i="2"/>
  <c r="D52" i="9" s="1"/>
  <c r="L31" i="7"/>
  <c r="F16" i="3"/>
  <c r="L42" i="7"/>
  <c r="K42" i="7" s="1"/>
  <c r="W274" i="20"/>
  <c r="W249" i="20"/>
  <c r="X249" i="20"/>
  <c r="N13" i="18"/>
  <c r="M13" i="18"/>
  <c r="M38" i="18"/>
  <c r="G17" i="7"/>
  <c r="M13" i="5"/>
  <c r="J7" i="7"/>
  <c r="X248" i="20"/>
  <c r="W248" i="20"/>
  <c r="W273" i="20"/>
  <c r="N12" i="18"/>
  <c r="M37" i="18"/>
  <c r="M12" i="18"/>
  <c r="H69" i="7"/>
  <c r="H70" i="7" s="1"/>
  <c r="L21" i="3"/>
  <c r="D30" i="9"/>
  <c r="D41" i="12"/>
  <c r="L37" i="5"/>
  <c r="I41" i="3"/>
  <c r="L40" i="7"/>
  <c r="L13" i="5"/>
  <c r="L38" i="5"/>
  <c r="I39" i="3"/>
  <c r="I38" i="3"/>
  <c r="L33" i="3"/>
  <c r="L35" i="3" s="1"/>
  <c r="O63" i="7"/>
  <c r="G69" i="7"/>
  <c r="G70" i="7" s="1"/>
  <c r="I28" i="3"/>
  <c r="L38" i="7"/>
  <c r="M33" i="7" s="1"/>
  <c r="L12" i="5"/>
  <c r="G16" i="7"/>
  <c r="I3" i="2"/>
  <c r="I4" i="2" s="1"/>
  <c r="I5" i="2" s="1"/>
  <c r="E11" i="2" s="1"/>
  <c r="O22" i="7"/>
  <c r="M12" i="5"/>
  <c r="F15" i="3"/>
  <c r="L30" i="7"/>
  <c r="L62" i="3"/>
  <c r="D42" i="12"/>
  <c r="E82" i="3"/>
  <c r="H79" i="5"/>
  <c r="C62" i="5"/>
  <c r="D143" i="2"/>
  <c r="E141" i="2" s="1"/>
  <c r="E222" i="2" s="1"/>
  <c r="E260" i="2" s="1"/>
  <c r="D88" i="3"/>
  <c r="D89" i="3" s="1"/>
  <c r="E93" i="3" s="1"/>
  <c r="D103" i="3" s="1"/>
  <c r="P12" i="7"/>
  <c r="H77" i="5"/>
  <c r="F48" i="6"/>
  <c r="F99" i="6"/>
  <c r="F135" i="6" s="1"/>
  <c r="E339" i="2"/>
  <c r="S40" i="20" s="1"/>
  <c r="O79" i="3"/>
  <c r="M12" i="3"/>
  <c r="E136" i="2"/>
  <c r="I40" i="3"/>
  <c r="L41" i="7"/>
  <c r="K41" i="7" s="1"/>
  <c r="E17" i="5"/>
  <c r="S2" i="5"/>
  <c r="P27" i="5"/>
  <c r="P28" i="5" s="1"/>
  <c r="L76" i="3"/>
  <c r="L38" i="13"/>
  <c r="M13" i="13"/>
  <c r="L13" i="13"/>
  <c r="L37" i="13"/>
  <c r="M12" i="13"/>
  <c r="L12" i="13"/>
  <c r="N11" i="3"/>
  <c r="L78" i="3"/>
  <c r="C92" i="3"/>
  <c r="N8" i="3"/>
  <c r="S69" i="7"/>
  <c r="D91" i="3"/>
  <c r="D92" i="3" s="1"/>
  <c r="O69" i="7"/>
  <c r="Z21" i="5"/>
  <c r="Z22" i="5" s="1"/>
  <c r="Q21" i="5"/>
  <c r="Q22" i="5" s="1"/>
  <c r="Z18" i="5"/>
  <c r="Q18" i="5"/>
  <c r="P43" i="5"/>
  <c r="R80" i="7"/>
  <c r="B98" i="3"/>
  <c r="B99" i="3" s="1"/>
  <c r="D97" i="3" s="1"/>
  <c r="D98" i="3" s="1"/>
  <c r="U24" i="2"/>
  <c r="S24" i="2"/>
  <c r="K24" i="2"/>
  <c r="I24" i="2"/>
  <c r="V24" i="2"/>
  <c r="AA24" i="2"/>
  <c r="I25" i="2" s="1"/>
  <c r="I26" i="2" s="1"/>
  <c r="P24" i="2"/>
  <c r="L24" i="2"/>
  <c r="X24" i="2"/>
  <c r="Z24" i="2"/>
  <c r="N24" i="2"/>
  <c r="Q24" i="2"/>
  <c r="X69" i="7"/>
  <c r="H76" i="5"/>
  <c r="Q8" i="7"/>
  <c r="L68" i="3"/>
  <c r="U68" i="3"/>
  <c r="L43" i="7"/>
  <c r="K20" i="18"/>
  <c r="E33" i="5"/>
  <c r="F78" i="7"/>
  <c r="F79" i="7" s="1"/>
  <c r="Q77" i="7" s="1"/>
  <c r="Q78" i="7" s="1"/>
  <c r="I15" i="5"/>
  <c r="I16" i="5" s="1"/>
  <c r="I17" i="5" s="1"/>
  <c r="I18" i="5" s="1"/>
  <c r="I19" i="5" s="1"/>
  <c r="I20" i="5" s="1"/>
  <c r="I22" i="5" s="1"/>
  <c r="Q4" i="5"/>
  <c r="S4" i="5" s="1"/>
  <c r="E24" i="5"/>
  <c r="M71" i="3"/>
  <c r="L73" i="3" s="1"/>
  <c r="P72" i="7"/>
  <c r="O74" i="7" s="1"/>
  <c r="L83" i="3"/>
  <c r="I89" i="3" s="1"/>
  <c r="L84" i="3"/>
  <c r="M84" i="3" s="1"/>
  <c r="L85" i="3"/>
  <c r="P68" i="3"/>
  <c r="S16" i="20" l="1"/>
  <c r="S17" i="20" s="1"/>
  <c r="J39" i="20"/>
  <c r="D78" i="12"/>
  <c r="D74" i="12" s="1"/>
  <c r="F68" i="12" s="1"/>
  <c r="F25" i="9"/>
  <c r="D55" i="9" s="1"/>
  <c r="H106" i="2"/>
  <c r="D106" i="2" s="1"/>
  <c r="E106" i="2" s="1"/>
  <c r="F19" i="7"/>
  <c r="E5" i="5"/>
  <c r="J4" i="20"/>
  <c r="F5" i="18"/>
  <c r="S6" i="20"/>
  <c r="C4" i="30" s="1"/>
  <c r="E111" i="20"/>
  <c r="E113" i="20"/>
  <c r="E115" i="20" s="1"/>
  <c r="E117" i="20" s="1"/>
  <c r="J14" i="13"/>
  <c r="J31" i="3"/>
  <c r="K31" i="3" s="1"/>
  <c r="J37" i="13"/>
  <c r="K38" i="18"/>
  <c r="AA16" i="18" s="1"/>
  <c r="AA17" i="18" s="1"/>
  <c r="AA19" i="18" s="1"/>
  <c r="AB23" i="18" s="1"/>
  <c r="J15" i="13"/>
  <c r="K19" i="18"/>
  <c r="D27" i="12"/>
  <c r="D28" i="12"/>
  <c r="K18" i="18"/>
  <c r="D69" i="18"/>
  <c r="D71" i="18" s="1"/>
  <c r="D73" i="18" s="1"/>
  <c r="D67" i="18"/>
  <c r="E30" i="13"/>
  <c r="Q5" i="13" s="1"/>
  <c r="F26" i="18"/>
  <c r="J4" i="5"/>
  <c r="E18" i="5"/>
  <c r="E19" i="5" s="1"/>
  <c r="H82" i="5"/>
  <c r="C83" i="5" s="1"/>
  <c r="J13" i="13" s="1"/>
  <c r="C26" i="22" s="1"/>
  <c r="J35" i="5"/>
  <c r="F5" i="3"/>
  <c r="E5" i="13"/>
  <c r="F4" i="7"/>
  <c r="J6" i="5"/>
  <c r="N33" i="7"/>
  <c r="H111" i="2"/>
  <c r="D111" i="2" s="1"/>
  <c r="I16" i="7" s="1"/>
  <c r="J24" i="7" s="1"/>
  <c r="J7" i="5"/>
  <c r="J16" i="13"/>
  <c r="H110" i="2"/>
  <c r="D110" i="2" s="1"/>
  <c r="I14" i="7" s="1"/>
  <c r="K14" i="7" s="1"/>
  <c r="H7" i="7"/>
  <c r="H113" i="2"/>
  <c r="D113" i="2" s="1"/>
  <c r="I18" i="7" s="1"/>
  <c r="H109" i="2"/>
  <c r="D109" i="2" s="1"/>
  <c r="E12" i="5"/>
  <c r="E14" i="5" s="1"/>
  <c r="L16" i="5" s="1"/>
  <c r="L17" i="5" s="1"/>
  <c r="K14" i="5" s="1"/>
  <c r="F16" i="7" s="1"/>
  <c r="H114" i="2"/>
  <c r="D114" i="2" s="1"/>
  <c r="I19" i="7" s="1"/>
  <c r="H112" i="2"/>
  <c r="D112" i="2" s="1"/>
  <c r="I17" i="7" s="1"/>
  <c r="I23" i="5"/>
  <c r="I24" i="5" s="1"/>
  <c r="I25" i="5" s="1"/>
  <c r="I26" i="5" s="1"/>
  <c r="I27" i="5" s="1"/>
  <c r="I28" i="5" s="1"/>
  <c r="I29" i="5" s="1"/>
  <c r="I30" i="5" s="1"/>
  <c r="I31" i="5" s="1"/>
  <c r="I32" i="5" s="1"/>
  <c r="I33" i="5" s="1"/>
  <c r="I34" i="5" s="1"/>
  <c r="I35" i="5" s="1"/>
  <c r="I36" i="5" s="1"/>
  <c r="I37" i="5" s="1"/>
  <c r="I38" i="5" s="1"/>
  <c r="I39" i="5" s="1"/>
  <c r="I40" i="5" s="1"/>
  <c r="D56" i="9" l="1"/>
  <c r="V6" i="20"/>
  <c r="C5" i="29"/>
  <c r="C7" i="29"/>
  <c r="F7" i="29" s="1"/>
  <c r="AB240" i="20"/>
  <c r="C6" i="29"/>
  <c r="J42" i="20"/>
  <c r="C25" i="26"/>
  <c r="S35" i="20" s="1"/>
  <c r="G8" i="20"/>
  <c r="F31" i="9"/>
  <c r="E9" i="13" s="1"/>
  <c r="E8" i="13"/>
  <c r="F8" i="18"/>
  <c r="F26" i="12"/>
  <c r="D38" i="12"/>
  <c r="F36" i="12" s="1"/>
  <c r="F29" i="18" s="1"/>
  <c r="E25" i="5"/>
  <c r="E118" i="20"/>
  <c r="E119" i="20" s="1"/>
  <c r="D74" i="18"/>
  <c r="D75" i="18" s="1"/>
  <c r="F31" i="22"/>
  <c r="F29" i="22"/>
  <c r="F30" i="22"/>
  <c r="F34" i="22"/>
  <c r="F32" i="22"/>
  <c r="F28" i="22"/>
  <c r="F33" i="22"/>
  <c r="S12" i="20"/>
  <c r="S13" i="20" s="1"/>
  <c r="Z240" i="20"/>
  <c r="AB241" i="20"/>
  <c r="G188" i="20"/>
  <c r="W272" i="20"/>
  <c r="X271" i="20" s="1"/>
  <c r="W271" i="20" s="1"/>
  <c r="V271" i="20" s="1"/>
  <c r="X256" i="20"/>
  <c r="W256" i="20" s="1"/>
  <c r="W257" i="20" s="1"/>
  <c r="J30" i="5"/>
  <c r="J17" i="13"/>
  <c r="K21" i="18"/>
  <c r="O4" i="13"/>
  <c r="Q4" i="13"/>
  <c r="M36" i="18"/>
  <c r="N35" i="18" s="1"/>
  <c r="M35" i="18" s="1"/>
  <c r="L35" i="18" s="1"/>
  <c r="N20" i="18"/>
  <c r="M20" i="18" s="1"/>
  <c r="M21" i="18" s="1"/>
  <c r="F144" i="18"/>
  <c r="J32" i="13"/>
  <c r="AA4" i="13" s="1"/>
  <c r="K33" i="18"/>
  <c r="R4" i="18"/>
  <c r="P4" i="18"/>
  <c r="R5" i="18"/>
  <c r="E32" i="5"/>
  <c r="F176" i="3" s="1"/>
  <c r="I178" i="3" s="1"/>
  <c r="J8" i="5"/>
  <c r="D84" i="12"/>
  <c r="K16" i="7"/>
  <c r="C67" i="5"/>
  <c r="C69" i="5" s="1"/>
  <c r="C71" i="5" s="1"/>
  <c r="C66" i="13"/>
  <c r="C68" i="13"/>
  <c r="C70" i="13" s="1"/>
  <c r="C73" i="13" s="1"/>
  <c r="C65" i="5"/>
  <c r="E36" i="5" s="1"/>
  <c r="F10" i="3"/>
  <c r="M20" i="13"/>
  <c r="L20" i="13" s="1"/>
  <c r="L21" i="13" s="1"/>
  <c r="E143" i="13"/>
  <c r="L36" i="13"/>
  <c r="M35" i="13" s="1"/>
  <c r="L35" i="13" s="1"/>
  <c r="K35" i="13" s="1"/>
  <c r="G8" i="7"/>
  <c r="J23" i="7"/>
  <c r="E142" i="5"/>
  <c r="E145" i="5" s="1"/>
  <c r="F11" i="3"/>
  <c r="H303" i="2"/>
  <c r="F8" i="3"/>
  <c r="L36" i="5"/>
  <c r="M20" i="5"/>
  <c r="L20" i="5" s="1"/>
  <c r="K18" i="7"/>
  <c r="K19" i="7"/>
  <c r="K17" i="7"/>
  <c r="J25" i="7"/>
  <c r="E111" i="2"/>
  <c r="I13" i="7"/>
  <c r="K13" i="7" s="1"/>
  <c r="E20" i="5"/>
  <c r="G76" i="20" l="1"/>
  <c r="D82" i="12"/>
  <c r="F10" i="18"/>
  <c r="G54" i="20"/>
  <c r="G82" i="20" s="1"/>
  <c r="G10" i="20"/>
  <c r="C13" i="30" s="1"/>
  <c r="F64" i="12"/>
  <c r="S10" i="20" s="1"/>
  <c r="F13" i="30" s="1"/>
  <c r="E33" i="13"/>
  <c r="S9" i="20"/>
  <c r="S14" i="20"/>
  <c r="F14" i="30" s="1"/>
  <c r="C37" i="22"/>
  <c r="E8" i="22" s="1"/>
  <c r="G190" i="20"/>
  <c r="G191" i="20"/>
  <c r="S8" i="20"/>
  <c r="V8" i="20" s="1"/>
  <c r="W19" i="20" s="1"/>
  <c r="F32" i="18"/>
  <c r="I181" i="3"/>
  <c r="AA11" i="13"/>
  <c r="I179" i="3"/>
  <c r="E32" i="13"/>
  <c r="F28" i="18"/>
  <c r="F147" i="18"/>
  <c r="F146" i="18"/>
  <c r="C111" i="5"/>
  <c r="H115" i="5" s="1"/>
  <c r="I180" i="3"/>
  <c r="H153" i="5"/>
  <c r="K158" i="5" s="1"/>
  <c r="AA5" i="13"/>
  <c r="AB7" i="18"/>
  <c r="AB4" i="18"/>
  <c r="AB5" i="18"/>
  <c r="AA9" i="13"/>
  <c r="E8" i="16"/>
  <c r="C26" i="16" s="1"/>
  <c r="E7" i="19"/>
  <c r="C26" i="19" s="1"/>
  <c r="F32" i="19" s="1"/>
  <c r="AB9" i="18"/>
  <c r="AB11" i="18"/>
  <c r="E36" i="13"/>
  <c r="C72" i="5"/>
  <c r="C73" i="5" s="1"/>
  <c r="E35" i="5" s="1"/>
  <c r="E144" i="5"/>
  <c r="E146" i="5" s="1"/>
  <c r="E147" i="5" s="1"/>
  <c r="E146" i="13"/>
  <c r="E145" i="13"/>
  <c r="C72" i="13"/>
  <c r="C74" i="13" s="1"/>
  <c r="F13" i="3"/>
  <c r="F14" i="3" s="1"/>
  <c r="L21" i="5"/>
  <c r="K20" i="7"/>
  <c r="G4" i="7" s="1"/>
  <c r="G7" i="7" s="1"/>
  <c r="C6" i="30" l="1"/>
  <c r="F6" i="30" s="1"/>
  <c r="C8" i="30" s="1"/>
  <c r="C10" i="30" s="1"/>
  <c r="W18" i="20"/>
  <c r="E24" i="20"/>
  <c r="D83" i="12"/>
  <c r="F81" i="12" s="1"/>
  <c r="V10" i="20"/>
  <c r="G192" i="20"/>
  <c r="G193" i="20" s="1"/>
  <c r="F30" i="18"/>
  <c r="F38" i="18" s="1"/>
  <c r="I185" i="3"/>
  <c r="G188" i="3" s="1"/>
  <c r="I178" i="18"/>
  <c r="D113" i="18"/>
  <c r="I138" i="18" s="1"/>
  <c r="H114" i="5"/>
  <c r="K157" i="5"/>
  <c r="H113" i="5"/>
  <c r="K155" i="5"/>
  <c r="E34" i="13"/>
  <c r="F148" i="18"/>
  <c r="F149" i="18" s="1"/>
  <c r="H116" i="5"/>
  <c r="K156" i="5"/>
  <c r="C112" i="13"/>
  <c r="H154" i="13"/>
  <c r="F34" i="19"/>
  <c r="F29" i="19"/>
  <c r="F31" i="19"/>
  <c r="F33" i="19"/>
  <c r="F28" i="19"/>
  <c r="F30" i="19"/>
  <c r="F28" i="16"/>
  <c r="F33" i="16"/>
  <c r="F29" i="16"/>
  <c r="F31" i="16"/>
  <c r="F32" i="16"/>
  <c r="F30" i="16"/>
  <c r="E23" i="5"/>
  <c r="D35" i="9" s="1"/>
  <c r="D33" i="9" s="1"/>
  <c r="E147" i="13"/>
  <c r="E148" i="13" s="1"/>
  <c r="J9" i="5"/>
  <c r="J17" i="5" s="1"/>
  <c r="I16" i="3"/>
  <c r="F6" i="7"/>
  <c r="F7" i="7"/>
  <c r="G12" i="7"/>
  <c r="F17" i="30" l="1"/>
  <c r="E17" i="30"/>
  <c r="D17" i="30"/>
  <c r="H45" i="9"/>
  <c r="G77" i="20"/>
  <c r="F33" i="18"/>
  <c r="C119" i="5"/>
  <c r="C125" i="5" s="1"/>
  <c r="E132" i="5" s="1"/>
  <c r="C37" i="19"/>
  <c r="E8" i="19" s="1"/>
  <c r="K162" i="5"/>
  <c r="J165" i="5" s="1"/>
  <c r="C36" i="16"/>
  <c r="E9" i="16" s="1"/>
  <c r="J25" i="13" s="1"/>
  <c r="F85" i="12"/>
  <c r="F86" i="12"/>
  <c r="E37" i="13"/>
  <c r="K157" i="13"/>
  <c r="K159" i="13"/>
  <c r="K156" i="13"/>
  <c r="K158" i="13"/>
  <c r="H114" i="13"/>
  <c r="H115" i="13"/>
  <c r="H116" i="13"/>
  <c r="H117" i="13"/>
  <c r="I139" i="18"/>
  <c r="I140" i="18"/>
  <c r="I141" i="18"/>
  <c r="L159" i="18"/>
  <c r="L158" i="18"/>
  <c r="L157" i="18"/>
  <c r="L156" i="18"/>
  <c r="E27" i="5"/>
  <c r="E29" i="5" s="1"/>
  <c r="M35" i="5"/>
  <c r="L35" i="5" s="1"/>
  <c r="K35" i="5" s="1"/>
  <c r="E38" i="5" s="1"/>
  <c r="J15" i="5"/>
  <c r="E49" i="13"/>
  <c r="H49" i="13" s="1"/>
  <c r="J13" i="5"/>
  <c r="J18" i="5"/>
  <c r="J12" i="5"/>
  <c r="J10" i="5"/>
  <c r="J11" i="5"/>
  <c r="J14" i="5"/>
  <c r="E48" i="5"/>
  <c r="H48" i="5" s="1"/>
  <c r="J16" i="5"/>
  <c r="J19" i="5"/>
  <c r="F12" i="7"/>
  <c r="F15" i="7" s="1"/>
  <c r="F23" i="7" s="1"/>
  <c r="F10" i="7"/>
  <c r="I2" i="7" s="1"/>
  <c r="G16" i="20" l="1"/>
  <c r="S20" i="20"/>
  <c r="G79" i="20"/>
  <c r="S19" i="20"/>
  <c r="G78" i="20"/>
  <c r="D121" i="18"/>
  <c r="D127" i="18" s="1"/>
  <c r="F134" i="18" s="1"/>
  <c r="F136" i="18" s="1"/>
  <c r="F138" i="18" s="1"/>
  <c r="F29" i="21"/>
  <c r="F34" i="18"/>
  <c r="E39" i="13"/>
  <c r="K163" i="13"/>
  <c r="J166" i="13" s="1"/>
  <c r="C120" i="13"/>
  <c r="C126" i="13" s="1"/>
  <c r="E133" i="13" s="1"/>
  <c r="E135" i="13" s="1"/>
  <c r="E140" i="13" s="1"/>
  <c r="L163" i="18"/>
  <c r="K190" i="18" s="1"/>
  <c r="E38" i="13"/>
  <c r="F88" i="12"/>
  <c r="F35" i="18"/>
  <c r="F46" i="18" s="1"/>
  <c r="E28" i="5"/>
  <c r="H87" i="5" s="1"/>
  <c r="E30" i="5" s="1"/>
  <c r="E31" i="5" s="1"/>
  <c r="E302" i="2"/>
  <c r="E306" i="2" s="1"/>
  <c r="E50" i="13"/>
  <c r="J20" i="5"/>
  <c r="E49" i="5" s="1"/>
  <c r="J2" i="7"/>
  <c r="I5" i="7" s="1"/>
  <c r="I4" i="7"/>
  <c r="G64" i="20"/>
  <c r="I3" i="7"/>
  <c r="F24" i="7"/>
  <c r="J27" i="7" s="1"/>
  <c r="G17" i="20" l="1"/>
  <c r="V17" i="20" s="1"/>
  <c r="F140" i="18"/>
  <c r="S22" i="20"/>
  <c r="G81" i="20"/>
  <c r="W259" i="20" s="1"/>
  <c r="F141" i="18"/>
  <c r="F139" i="18"/>
  <c r="F33" i="21"/>
  <c r="F20" i="18"/>
  <c r="F37" i="18"/>
  <c r="M23" i="18" s="1"/>
  <c r="P27" i="18" s="1"/>
  <c r="E137" i="13"/>
  <c r="E139" i="13"/>
  <c r="E138" i="13"/>
  <c r="K191" i="18"/>
  <c r="E3" i="16"/>
  <c r="E42" i="13"/>
  <c r="J22" i="7"/>
  <c r="J26" i="7"/>
  <c r="G65" i="20"/>
  <c r="E24" i="13"/>
  <c r="H49" i="5"/>
  <c r="C54" i="5"/>
  <c r="C55" i="5" s="1"/>
  <c r="C56" i="5" s="1"/>
  <c r="H53" i="5"/>
  <c r="E53" i="5" s="1"/>
  <c r="E50" i="5" s="1"/>
  <c r="H50" i="5" s="1"/>
  <c r="C55" i="13"/>
  <c r="C56" i="13" s="1"/>
  <c r="C57" i="13" s="1"/>
  <c r="H50" i="13"/>
  <c r="H54" i="13"/>
  <c r="E54" i="13" s="1"/>
  <c r="E51" i="13" s="1"/>
  <c r="H51" i="13" s="1"/>
  <c r="E37" i="5"/>
  <c r="E39" i="5" s="1"/>
  <c r="E44" i="5" s="1"/>
  <c r="E41" i="5" s="1"/>
  <c r="L23" i="5" s="1"/>
  <c r="O27" i="5" s="1"/>
  <c r="E45" i="13"/>
  <c r="J5" i="7"/>
  <c r="E7" i="7" s="1"/>
  <c r="P26" i="18" l="1"/>
  <c r="P25" i="18"/>
  <c r="Z262" i="20"/>
  <c r="Z264" i="20"/>
  <c r="Z261" i="20"/>
  <c r="Z263" i="20"/>
  <c r="P28" i="18"/>
  <c r="L23" i="13"/>
  <c r="O27" i="13" s="1"/>
  <c r="E25" i="13"/>
  <c r="F21" i="18"/>
  <c r="J28" i="7"/>
  <c r="J30" i="7" s="1"/>
  <c r="F51" i="11"/>
  <c r="G67" i="20" s="1"/>
  <c r="F50" i="11"/>
  <c r="O25" i="5"/>
  <c r="O26" i="5"/>
  <c r="O28" i="5"/>
  <c r="K23" i="13"/>
  <c r="K23" i="5"/>
  <c r="J23" i="5"/>
  <c r="E9" i="7"/>
  <c r="E5" i="7"/>
  <c r="E8" i="7"/>
  <c r="E10" i="7" s="1"/>
  <c r="E11" i="7" s="1"/>
  <c r="E12" i="7" s="1"/>
  <c r="N19" i="20" l="1"/>
  <c r="G66" i="20"/>
  <c r="N20" i="20"/>
  <c r="M31" i="18"/>
  <c r="L22" i="18" s="1"/>
  <c r="L29" i="18" s="1"/>
  <c r="F53" i="11"/>
  <c r="G69" i="20" s="1"/>
  <c r="W267" i="20"/>
  <c r="V258" i="20" s="1"/>
  <c r="V265" i="20" s="1"/>
  <c r="O28" i="13"/>
  <c r="O26" i="13"/>
  <c r="O25" i="13"/>
  <c r="F22" i="18"/>
  <c r="E26" i="13"/>
  <c r="E27" i="13"/>
  <c r="F23" i="18"/>
  <c r="L31" i="5"/>
  <c r="K22" i="5" s="1"/>
  <c r="K29" i="5" s="1"/>
  <c r="E20" i="7"/>
  <c r="E24" i="7"/>
  <c r="L62" i="7"/>
  <c r="E13" i="7"/>
  <c r="M62" i="7"/>
  <c r="E16" i="7"/>
  <c r="E28" i="7"/>
  <c r="F28" i="7" s="1"/>
  <c r="E33" i="7"/>
  <c r="E26" i="7"/>
  <c r="E35" i="7"/>
  <c r="E18" i="7"/>
  <c r="E15" i="7"/>
  <c r="C57" i="7"/>
  <c r="E57" i="7" s="1"/>
  <c r="E34" i="7"/>
  <c r="E14" i="7"/>
  <c r="E19" i="7"/>
  <c r="E25" i="7"/>
  <c r="E17" i="7"/>
  <c r="E22" i="7"/>
  <c r="N22" i="20" l="1"/>
  <c r="F25" i="18"/>
  <c r="L31" i="13"/>
  <c r="K22" i="13" s="1"/>
  <c r="K29" i="13" s="1"/>
  <c r="E4" i="16"/>
  <c r="E5" i="16" s="1"/>
  <c r="C13" i="16" s="1"/>
  <c r="F15" i="16" s="1"/>
  <c r="E29" i="13"/>
  <c r="J22" i="5"/>
  <c r="J164" i="5" s="1"/>
  <c r="J166" i="5" s="1"/>
  <c r="J25" i="5" s="1"/>
  <c r="J165" i="13"/>
  <c r="J167" i="13" s="1"/>
  <c r="J28" i="13" s="1"/>
  <c r="C124" i="13"/>
  <c r="E23" i="7"/>
  <c r="C58" i="7" s="1"/>
  <c r="E27" i="7"/>
  <c r="E31" i="7" s="1"/>
  <c r="F16" i="16" l="1"/>
  <c r="F18" i="16"/>
  <c r="F19" i="16"/>
  <c r="F17" i="16"/>
  <c r="F20" i="16"/>
  <c r="J24" i="5"/>
  <c r="J27" i="5"/>
  <c r="J26" i="5"/>
  <c r="C123" i="5"/>
  <c r="H130" i="5" s="1"/>
  <c r="H131" i="5" s="1"/>
  <c r="E131" i="5" s="1"/>
  <c r="E134" i="5" s="1"/>
  <c r="J27" i="13"/>
  <c r="D62" i="7"/>
  <c r="C62" i="7" s="1"/>
  <c r="C59" i="7" s="1"/>
  <c r="E59" i="7" s="1"/>
  <c r="C60" i="7"/>
  <c r="E60" i="7" s="1"/>
  <c r="E58" i="7"/>
  <c r="F31" i="7" l="1"/>
  <c r="F32" i="7" s="1"/>
  <c r="E29" i="7" s="1"/>
  <c r="E30" i="7" s="1"/>
  <c r="E32" i="7" s="1"/>
  <c r="G51" i="7" s="1"/>
  <c r="E139" i="5"/>
  <c r="E136" i="5"/>
  <c r="E138" i="5"/>
  <c r="E137" i="5"/>
  <c r="C23" i="16"/>
  <c r="E6" i="16" s="1"/>
  <c r="J19" i="13" s="1"/>
  <c r="J28" i="5"/>
  <c r="J29" i="5" s="1"/>
  <c r="O37" i="5" s="1"/>
  <c r="J30" i="13"/>
  <c r="O93" i="7"/>
  <c r="O94" i="7" s="1"/>
  <c r="G55" i="7" l="1"/>
  <c r="G50" i="7"/>
  <c r="I50" i="7" s="1"/>
  <c r="L44" i="7"/>
  <c r="M43" i="7"/>
  <c r="M44" i="7" s="1"/>
  <c r="O44" i="7" s="1"/>
  <c r="G53" i="7"/>
  <c r="G59" i="7"/>
  <c r="G52" i="7"/>
  <c r="G57" i="7"/>
  <c r="G56" i="7"/>
  <c r="J32" i="5"/>
  <c r="AA2" i="5" s="1"/>
  <c r="AA7" i="13"/>
  <c r="AJ94" i="7"/>
  <c r="AN96" i="7" s="1"/>
  <c r="AF95" i="7"/>
  <c r="O95" i="7"/>
  <c r="AD95" i="7"/>
  <c r="W95" i="7"/>
  <c r="AB95" i="7"/>
  <c r="AA95" i="7"/>
  <c r="V95" i="7"/>
  <c r="R95" i="7"/>
  <c r="AI95" i="7"/>
  <c r="Y95" i="7"/>
  <c r="T95" i="7"/>
  <c r="Q95" i="7"/>
  <c r="AG95" i="7"/>
  <c r="O38" i="5"/>
  <c r="P39" i="5" s="1"/>
  <c r="O40" i="5"/>
  <c r="P40" i="5" s="1"/>
  <c r="M49" i="7" l="1"/>
  <c r="M45" i="7" s="1"/>
  <c r="O45" i="7" s="1"/>
  <c r="O47" i="7" s="1"/>
  <c r="E36" i="7" s="1"/>
  <c r="AA4" i="5"/>
  <c r="AA11" i="5"/>
  <c r="AA8" i="5"/>
  <c r="AA7" i="5"/>
  <c r="AA5" i="5"/>
  <c r="AA3" i="5"/>
  <c r="AC2" i="5" s="1"/>
  <c r="AA9" i="5"/>
  <c r="AG96" i="7"/>
  <c r="AG97" i="7"/>
  <c r="AH96" i="7"/>
  <c r="Q97" i="7"/>
  <c r="Q96" i="7"/>
  <c r="T96" i="7"/>
  <c r="U96" i="7"/>
  <c r="Y96" i="7"/>
  <c r="Z96" i="7"/>
  <c r="AI96" i="7"/>
  <c r="AJ96" i="7"/>
  <c r="R97" i="7"/>
  <c r="R96" i="7"/>
  <c r="S96" i="7"/>
  <c r="V97" i="7"/>
  <c r="V96" i="7"/>
  <c r="AA97" i="7"/>
  <c r="AA96" i="7"/>
  <c r="AB97" i="7"/>
  <c r="AC96" i="7"/>
  <c r="AB96" i="7"/>
  <c r="W96" i="7"/>
  <c r="X96" i="7"/>
  <c r="W97" i="7"/>
  <c r="AD96" i="7"/>
  <c r="AE96" i="7"/>
  <c r="O96" i="7"/>
  <c r="P96" i="7"/>
  <c r="AF96" i="7"/>
  <c r="AF97" i="7"/>
  <c r="P41" i="5"/>
  <c r="P42" i="5" s="1"/>
  <c r="J36" i="5" l="1"/>
  <c r="S15" i="5" s="1"/>
  <c r="Q16" i="5" s="1"/>
  <c r="Q17" i="5" s="1"/>
  <c r="Q19" i="5" s="1"/>
  <c r="S23" i="5" s="1"/>
  <c r="Z16" i="13"/>
  <c r="Z17" i="13" s="1"/>
  <c r="Z19" i="13" s="1"/>
  <c r="AA23" i="13" s="1"/>
  <c r="O98" i="7"/>
  <c r="B65" i="7" s="1"/>
  <c r="H54" i="7"/>
  <c r="G54" i="7" s="1"/>
  <c r="I51" i="7" s="1"/>
  <c r="I52" i="7" s="1"/>
  <c r="H58" i="7"/>
  <c r="G58" i="7" s="1"/>
  <c r="G63" i="7"/>
  <c r="H63" i="7"/>
  <c r="H65" i="7" s="1"/>
  <c r="H67" i="7" s="1"/>
  <c r="E37" i="7"/>
  <c r="AB10" i="5" l="1"/>
  <c r="AA10" i="5" s="1"/>
  <c r="AC7" i="5" s="1"/>
  <c r="AC8" i="5" s="1"/>
  <c r="AB6" i="5"/>
  <c r="AA6" i="5" s="1"/>
  <c r="AC3" i="5" s="1"/>
  <c r="J37" i="5"/>
  <c r="I138" i="6" s="1"/>
  <c r="C97" i="5"/>
  <c r="C101" i="5" s="1"/>
  <c r="I55" i="7"/>
  <c r="H56" i="7"/>
  <c r="H76" i="7"/>
  <c r="H77" i="7" s="1"/>
  <c r="H78" i="7" s="1"/>
  <c r="I71" i="7"/>
  <c r="H83" i="7" s="1"/>
  <c r="G65" i="7"/>
  <c r="G67" i="7" s="1"/>
  <c r="H71" i="7" s="1"/>
  <c r="Z16" i="5" l="1"/>
  <c r="Z17" i="5" s="1"/>
  <c r="Z19" i="5" s="1"/>
  <c r="AA23" i="5" s="1"/>
  <c r="Z24" i="5" s="1"/>
  <c r="AC4" i="5"/>
  <c r="AC13" i="5" s="1"/>
  <c r="AC14" i="5" s="1"/>
  <c r="Q29" i="5" s="1"/>
  <c r="Q32" i="5" s="1"/>
  <c r="K38" i="5" s="1"/>
  <c r="J38" i="5" s="1"/>
  <c r="I72" i="7"/>
  <c r="I56" i="7"/>
  <c r="I61" i="7" s="1"/>
  <c r="I62" i="7" s="1"/>
  <c r="G80" i="7" s="1"/>
  <c r="G83" i="7" s="1"/>
  <c r="E38" i="7" s="1"/>
  <c r="J40" i="5" l="1"/>
  <c r="C96" i="5" s="1"/>
  <c r="J39" i="5"/>
  <c r="AA25" i="5"/>
  <c r="AA26" i="5" s="1"/>
  <c r="AA27" i="5" s="1"/>
  <c r="Z32" i="5"/>
  <c r="E40" i="7"/>
  <c r="F41" i="7" s="1"/>
  <c r="F39" i="7"/>
  <c r="E39" i="7"/>
  <c r="F42" i="7" s="1"/>
  <c r="F46" i="7" s="1"/>
  <c r="C102" i="5" l="1"/>
  <c r="E101" i="5" s="1"/>
  <c r="C105" i="5" s="1"/>
  <c r="A42" i="5" s="1"/>
  <c r="C100" i="5"/>
  <c r="F45" i="7"/>
  <c r="F47" i="7" s="1"/>
  <c r="H46" i="7" s="1"/>
  <c r="F37" i="7" s="1"/>
  <c r="A41" i="7" s="1"/>
  <c r="H41" i="9" l="1"/>
  <c r="D51" i="9" s="1"/>
  <c r="D39" i="9" s="1"/>
  <c r="F32" i="9" s="1"/>
  <c r="G12" i="20"/>
  <c r="V12" i="20" s="1"/>
  <c r="G13" i="20" l="1"/>
  <c r="V13" i="20" s="1"/>
  <c r="W17" i="20" l="1"/>
  <c r="V18" i="20" s="1"/>
  <c r="D54" i="9"/>
  <c r="F53" i="9" s="1"/>
  <c r="G55" i="20"/>
  <c r="G14" i="20"/>
  <c r="C14" i="30" s="1"/>
  <c r="F11" i="18"/>
  <c r="E10" i="13"/>
  <c r="E10" i="30" l="1"/>
  <c r="B21" i="30" s="1"/>
  <c r="C17" i="30"/>
  <c r="F57" i="9"/>
  <c r="F12" i="18"/>
  <c r="F39" i="18" s="1"/>
  <c r="F40" i="18" s="1"/>
  <c r="F44" i="18" s="1"/>
  <c r="K23" i="18" s="1"/>
  <c r="F176" i="18" s="1"/>
  <c r="F178" i="18" s="1"/>
  <c r="E11" i="13"/>
  <c r="G56" i="20"/>
  <c r="G83" i="20" s="1"/>
  <c r="G84" i="20" s="1"/>
  <c r="G88" i="20" s="1"/>
  <c r="B30" i="30" l="1"/>
  <c r="G27" i="30"/>
  <c r="H27" i="30" s="1"/>
  <c r="C27" i="30" s="1"/>
  <c r="B27" i="30"/>
  <c r="B24" i="30"/>
  <c r="G21" i="30"/>
  <c r="H21" i="30" s="1"/>
  <c r="C21" i="30" s="1"/>
  <c r="D21" i="30" s="1"/>
  <c r="F35" i="30" s="1"/>
  <c r="S18" i="20" s="1"/>
  <c r="G24" i="30"/>
  <c r="H24" i="30" s="1"/>
  <c r="C24" i="30" s="1"/>
  <c r="F13" i="18"/>
  <c r="G22" i="20"/>
  <c r="G57" i="20"/>
  <c r="E5" i="14"/>
  <c r="C12" i="14" s="1"/>
  <c r="F16" i="14" s="1"/>
  <c r="E12" i="13"/>
  <c r="J12" i="13" s="1"/>
  <c r="E3" i="19"/>
  <c r="I171" i="18"/>
  <c r="K30" i="18" s="1"/>
  <c r="I168" i="18"/>
  <c r="I172" i="18"/>
  <c r="K29" i="18" s="1"/>
  <c r="I170" i="18"/>
  <c r="I169" i="18"/>
  <c r="D27" i="30" l="1"/>
  <c r="D35" i="30" s="1"/>
  <c r="J18" i="20" s="1"/>
  <c r="J19" i="20" s="1"/>
  <c r="J22" i="20" s="1"/>
  <c r="D24" i="30"/>
  <c r="E35" i="30" s="1"/>
  <c r="N18" i="20" s="1"/>
  <c r="D30" i="30"/>
  <c r="C35" i="30"/>
  <c r="G18" i="20" s="1"/>
  <c r="F17" i="14"/>
  <c r="F14" i="14"/>
  <c r="F15" i="14"/>
  <c r="K28" i="18"/>
  <c r="K31" i="18" s="1"/>
  <c r="H24" i="20" l="1"/>
  <c r="L24" i="20" s="1"/>
  <c r="L25" i="20" s="1"/>
  <c r="J38" i="20" s="1"/>
  <c r="E3" i="22" s="1"/>
  <c r="E4" i="22" s="1"/>
  <c r="C12" i="22" s="1"/>
  <c r="F20" i="22" s="1"/>
  <c r="C20" i="14"/>
  <c r="G209" i="20"/>
  <c r="G218" i="20" s="1"/>
  <c r="E143" i="20"/>
  <c r="E147" i="20" s="1"/>
  <c r="F16" i="22" l="1"/>
  <c r="F15" i="22"/>
  <c r="F18" i="22"/>
  <c r="F14" i="22"/>
  <c r="F17" i="22"/>
  <c r="F19" i="22"/>
  <c r="E6" i="14"/>
  <c r="S27" i="20"/>
  <c r="C23" i="22" l="1"/>
  <c r="E5" i="22" s="1"/>
  <c r="S26" i="20" s="1"/>
  <c r="G220" i="20"/>
  <c r="G222" i="20" s="1"/>
  <c r="J215" i="20" s="1"/>
  <c r="J18" i="13"/>
  <c r="J24" i="13" s="1"/>
  <c r="J26" i="13" s="1"/>
  <c r="J31" i="13" s="1"/>
  <c r="O37" i="13" s="1"/>
  <c r="S28" i="20"/>
  <c r="E142" i="20"/>
  <c r="E148" i="20" s="1"/>
  <c r="G147" i="20" s="1"/>
  <c r="AM246" i="20"/>
  <c r="I45" i="3"/>
  <c r="C101" i="3"/>
  <c r="C106" i="13"/>
  <c r="A43" i="13" s="1"/>
  <c r="S31" i="20" l="1"/>
  <c r="S34" i="20" s="1"/>
  <c r="S37" i="20" s="1"/>
  <c r="J213" i="20"/>
  <c r="J212" i="20"/>
  <c r="J214" i="20"/>
  <c r="J216" i="20"/>
  <c r="J34" i="13"/>
  <c r="Q2" i="13" s="1"/>
  <c r="O38" i="13"/>
  <c r="P39" i="13" s="1"/>
  <c r="O40" i="13"/>
  <c r="P40" i="13" s="1"/>
  <c r="E146" i="20"/>
  <c r="E4" i="19"/>
  <c r="C12" i="19" s="1"/>
  <c r="C3" i="29" l="1"/>
  <c r="Z273" i="20"/>
  <c r="Z274" i="20" s="1"/>
  <c r="AA275" i="20" s="1"/>
  <c r="S15" i="13"/>
  <c r="Q16" i="13" s="1"/>
  <c r="Q17" i="13" s="1"/>
  <c r="Q19" i="13" s="1"/>
  <c r="S23" i="13" s="1"/>
  <c r="Z24" i="13" s="1"/>
  <c r="Z32" i="13" s="1"/>
  <c r="AA8" i="13"/>
  <c r="AA2" i="13"/>
  <c r="C98" i="13"/>
  <c r="C102" i="13" s="1"/>
  <c r="Q3" i="13"/>
  <c r="S2" i="13" s="1"/>
  <c r="AA3" i="13"/>
  <c r="AB6" i="13"/>
  <c r="AA6" i="13" s="1"/>
  <c r="AC3" i="13" s="1"/>
  <c r="AC4" i="13" s="1"/>
  <c r="P42" i="13"/>
  <c r="P43" i="13" s="1"/>
  <c r="J38" i="13" s="1"/>
  <c r="J39" i="13" s="1"/>
  <c r="F19" i="19"/>
  <c r="F18" i="19"/>
  <c r="F20" i="19"/>
  <c r="F15" i="19"/>
  <c r="F17" i="19"/>
  <c r="F16" i="19"/>
  <c r="F14" i="19"/>
  <c r="Z276" i="20" l="1"/>
  <c r="AA276" i="20" s="1"/>
  <c r="AA278" i="20" s="1"/>
  <c r="AA279" i="20" s="1"/>
  <c r="S41" i="20" s="1"/>
  <c r="AL240" i="20"/>
  <c r="AL241" i="20"/>
  <c r="AL242" i="20"/>
  <c r="AL238" i="20"/>
  <c r="F3" i="29"/>
  <c r="AC2" i="13"/>
  <c r="AA25" i="13"/>
  <c r="AA26" i="13" s="1"/>
  <c r="AA27" i="13" s="1"/>
  <c r="AL245" i="20"/>
  <c r="AL243" i="20"/>
  <c r="AB238" i="20"/>
  <c r="AL244" i="20"/>
  <c r="AB239" i="20"/>
  <c r="AL239" i="20" s="1"/>
  <c r="AL246" i="20"/>
  <c r="AL247" i="20"/>
  <c r="C23" i="19"/>
  <c r="E5" i="19" s="1"/>
  <c r="K22" i="18" s="1"/>
  <c r="AN238" i="20" l="1"/>
  <c r="G20" i="29"/>
  <c r="G21" i="29" s="1"/>
  <c r="G23" i="29" s="1"/>
  <c r="H27" i="29" s="1"/>
  <c r="E19" i="29"/>
  <c r="C20" i="29" s="1"/>
  <c r="C21" i="29" s="1"/>
  <c r="C23" i="29" s="1"/>
  <c r="E27" i="29" s="1"/>
  <c r="AD251" i="20"/>
  <c r="AB252" i="20" s="1"/>
  <c r="AB253" i="20" s="1"/>
  <c r="AB255" i="20" s="1"/>
  <c r="AD259" i="20" s="1"/>
  <c r="AN239" i="20"/>
  <c r="AN240" i="20" s="1"/>
  <c r="F6" i="29"/>
  <c r="F11" i="29"/>
  <c r="C4" i="29"/>
  <c r="F4" i="29" s="1"/>
  <c r="H3" i="29" s="1"/>
  <c r="E43" i="20"/>
  <c r="C8" i="29"/>
  <c r="C13" i="29"/>
  <c r="AD238" i="20"/>
  <c r="AD242" i="20"/>
  <c r="AB242" i="20" s="1"/>
  <c r="AD240" i="20" s="1"/>
  <c r="E21" i="6"/>
  <c r="AN243" i="20"/>
  <c r="AN244" i="20" s="1"/>
  <c r="AK252" i="20"/>
  <c r="AK253" i="20" s="1"/>
  <c r="AK255" i="20" s="1"/>
  <c r="AL259" i="20" s="1"/>
  <c r="K27" i="18"/>
  <c r="K32" i="18" s="1"/>
  <c r="K35" i="18" s="1"/>
  <c r="AK260" i="20" l="1"/>
  <c r="AL261" i="20" s="1"/>
  <c r="AL262" i="20" s="1"/>
  <c r="E3" i="29"/>
  <c r="F31" i="29"/>
  <c r="G32" i="29" s="1"/>
  <c r="G33" i="29" s="1"/>
  <c r="G34" i="29" s="1"/>
  <c r="F8" i="29"/>
  <c r="E6" i="29"/>
  <c r="E11" i="29"/>
  <c r="F13" i="29"/>
  <c r="H9" i="29" s="1"/>
  <c r="H11" i="29" s="1"/>
  <c r="AN249" i="20"/>
  <c r="AN250" i="20" s="1"/>
  <c r="AB265" i="20" s="1"/>
  <c r="F165" i="18"/>
  <c r="F174" i="18" s="1"/>
  <c r="P37" i="18"/>
  <c r="P38" i="18" s="1"/>
  <c r="Q39" i="18" s="1"/>
  <c r="AB2" i="18"/>
  <c r="AL263" i="20" l="1"/>
  <c r="G6" i="29"/>
  <c r="H4" i="29"/>
  <c r="AB268" i="20"/>
  <c r="V274" i="20" s="1"/>
  <c r="AK268" i="20"/>
  <c r="AB8" i="18"/>
  <c r="R2" i="18"/>
  <c r="R3" i="18"/>
  <c r="T15" i="18"/>
  <c r="R16" i="18" s="1"/>
  <c r="R17" i="18" s="1"/>
  <c r="R19" i="18" s="1"/>
  <c r="T23" i="18" s="1"/>
  <c r="AA24" i="18" s="1"/>
  <c r="AA32" i="18" s="1"/>
  <c r="D99" i="18"/>
  <c r="D103" i="18" s="1"/>
  <c r="P40" i="18"/>
  <c r="Q40" i="18" s="1"/>
  <c r="Q42" i="18" s="1"/>
  <c r="Q43" i="18" s="1"/>
  <c r="AC6" i="18"/>
  <c r="AB6" i="18" s="1"/>
  <c r="AD3" i="18" s="1"/>
  <c r="AD4" i="18" s="1"/>
  <c r="AB3" i="18"/>
  <c r="AD2" i="18" s="1"/>
  <c r="H6" i="29" l="1"/>
  <c r="H16" i="29" s="1"/>
  <c r="C39" i="29" s="1"/>
  <c r="K39" i="18"/>
  <c r="K40" i="18" s="1"/>
  <c r="T2" i="18"/>
  <c r="AB25" i="18"/>
  <c r="AB26" i="18" s="1"/>
  <c r="AB27" i="18" s="1"/>
  <c r="C42" i="29" l="1"/>
  <c r="Q6" i="13"/>
  <c r="S4" i="13" s="1"/>
  <c r="C45" i="29" l="1"/>
  <c r="C46" i="29" s="1"/>
  <c r="C47" i="29" s="1"/>
  <c r="C49" i="29" s="1"/>
  <c r="J43" i="20" s="1"/>
  <c r="S43" i="20" s="1"/>
  <c r="T32" i="20"/>
  <c r="P33" i="20" s="1"/>
  <c r="T33" i="20" s="1"/>
  <c r="R34" i="20" s="1"/>
  <c r="R35" i="20" s="1"/>
  <c r="R36" i="20" s="1"/>
  <c r="R37" i="20" s="1"/>
  <c r="R38" i="20" s="1"/>
  <c r="R39" i="20" s="1"/>
  <c r="R40" i="20" s="1"/>
  <c r="R41" i="20" s="1"/>
  <c r="E22" i="6" l="1"/>
  <c r="D43" i="20"/>
  <c r="I43" i="20" s="1"/>
  <c r="M43" i="20" s="1"/>
  <c r="R43" i="20" s="1"/>
  <c r="D44" i="20" s="1"/>
  <c r="H44" i="20" s="1"/>
  <c r="M44" i="20" s="1"/>
  <c r="R44" i="20" s="1"/>
  <c r="R6" i="18"/>
  <c r="T4" i="18" s="1"/>
  <c r="AB10" i="18"/>
  <c r="AD7" i="18" s="1"/>
  <c r="AA10" i="13"/>
  <c r="AC7" i="13" s="1"/>
  <c r="N43" i="20" l="1"/>
  <c r="AD8" i="18"/>
  <c r="AD13" i="18" s="1"/>
  <c r="AD14" i="18" s="1"/>
  <c r="R29" i="18" s="1"/>
  <c r="R32" i="18" s="1"/>
  <c r="L38" i="18" s="1"/>
  <c r="K41" i="18" s="1"/>
  <c r="AC8" i="13"/>
  <c r="AC13" i="13" s="1"/>
  <c r="AC14" i="13" s="1"/>
  <c r="Q29" i="13" s="1"/>
  <c r="Q32" i="13" s="1"/>
  <c r="K38" i="13" s="1"/>
  <c r="J40" i="13" s="1"/>
  <c r="S6" i="13" l="1"/>
  <c r="AB10" i="13"/>
  <c r="J41" i="13"/>
  <c r="C97" i="13"/>
  <c r="J42" i="13"/>
  <c r="F20" i="6" s="1"/>
  <c r="F91" i="6" s="1"/>
  <c r="K42" i="18"/>
  <c r="D98" i="18"/>
  <c r="AC10" i="18"/>
  <c r="K43" i="18"/>
  <c r="T6" i="18"/>
  <c r="C103" i="13" l="1"/>
  <c r="E102" i="13" s="1"/>
  <c r="C101" i="13"/>
  <c r="D104" i="18"/>
  <c r="F103" i="18" s="1"/>
  <c r="D102" i="18"/>
  <c r="F4" i="3"/>
  <c r="F6" i="3" s="1"/>
  <c r="I15" i="3" s="1"/>
  <c r="I17" i="3" s="1"/>
  <c r="E13" i="3" s="1"/>
  <c r="E4" i="13"/>
  <c r="E6" i="13" s="1"/>
  <c r="E4" i="5"/>
  <c r="E6" i="5" s="1"/>
  <c r="I137" i="6" s="1"/>
  <c r="D137" i="6" s="1"/>
  <c r="G4" i="20"/>
  <c r="S4" i="20" s="1"/>
  <c r="F3" i="7"/>
  <c r="F4" i="18"/>
  <c r="F6" i="18" s="1"/>
  <c r="F5" i="7" l="1"/>
  <c r="E6" i="7" s="1"/>
  <c r="E4" i="7"/>
  <c r="E35" i="3"/>
  <c r="E10" i="3"/>
  <c r="E43" i="3"/>
  <c r="E5" i="3"/>
  <c r="J61" i="3"/>
  <c r="E34" i="3"/>
  <c r="F33" i="3"/>
  <c r="E16" i="3"/>
  <c r="E38" i="3"/>
  <c r="F34" i="3"/>
  <c r="E14" i="3"/>
  <c r="A46" i="3"/>
  <c r="E24" i="3"/>
  <c r="E11" i="3"/>
  <c r="E8" i="3"/>
  <c r="E20" i="3"/>
  <c r="E21" i="3"/>
  <c r="C56" i="3"/>
  <c r="E56" i="3" s="1"/>
  <c r="E31" i="3"/>
  <c r="E27" i="3"/>
  <c r="E18" i="3"/>
  <c r="E39" i="3"/>
  <c r="E25" i="3"/>
  <c r="E22" i="3"/>
  <c r="E30" i="3"/>
  <c r="E33" i="3"/>
  <c r="G187" i="3" s="1"/>
  <c r="G189" i="3" s="1"/>
  <c r="E4" i="3"/>
  <c r="E37" i="3"/>
  <c r="E17" i="3"/>
  <c r="E23" i="3"/>
  <c r="I61" i="3"/>
  <c r="E19" i="3"/>
  <c r="F35" i="3"/>
  <c r="E12" i="3"/>
  <c r="E15" i="3"/>
  <c r="E40" i="3"/>
  <c r="E29" i="3"/>
  <c r="E6" i="3" l="1"/>
  <c r="E28" i="3"/>
  <c r="C57" i="3" s="1"/>
  <c r="D61" i="3" s="1"/>
  <c r="C61" i="3" s="1"/>
  <c r="C58" i="3" s="1"/>
  <c r="E58" i="3" s="1"/>
  <c r="E32" i="3"/>
  <c r="F32" i="3" s="1"/>
  <c r="I43" i="3"/>
  <c r="C76" i="3"/>
  <c r="C78" i="3"/>
  <c r="J42" i="3"/>
  <c r="C73" i="3"/>
  <c r="C75" i="3"/>
  <c r="C74" i="3"/>
  <c r="C81" i="3"/>
  <c r="C79" i="3"/>
  <c r="C77" i="3"/>
  <c r="C72" i="3"/>
  <c r="C59" i="3" l="1"/>
  <c r="E59" i="3" s="1"/>
  <c r="L92" i="3" s="1"/>
  <c r="E36" i="3"/>
  <c r="E57" i="3"/>
  <c r="E72" i="3"/>
  <c r="E73" i="3"/>
  <c r="E74" i="3" s="1"/>
  <c r="J43" i="3"/>
  <c r="L43" i="3" s="1"/>
  <c r="J48" i="3"/>
  <c r="J44" i="3" s="1"/>
  <c r="L44" i="3" s="1"/>
  <c r="L93" i="3" l="1"/>
  <c r="S94" i="3" s="1"/>
  <c r="AG93" i="3"/>
  <c r="AK95" i="3" s="1"/>
  <c r="L46" i="3"/>
  <c r="E41" i="3" s="1"/>
  <c r="D86" i="3" s="1"/>
  <c r="E94" i="3" s="1"/>
  <c r="AA94" i="3" l="1"/>
  <c r="AA95" i="3" s="1"/>
  <c r="T94" i="3"/>
  <c r="T95" i="3" s="1"/>
  <c r="O94" i="3"/>
  <c r="O95" i="3" s="1"/>
  <c r="X94" i="3"/>
  <c r="X95" i="3" s="1"/>
  <c r="AC94" i="3"/>
  <c r="AC95" i="3" s="1"/>
  <c r="AD94" i="3"/>
  <c r="AD95" i="3" s="1"/>
  <c r="AF94" i="3"/>
  <c r="AF95" i="3" s="1"/>
  <c r="L94" i="3"/>
  <c r="L95" i="3" s="1"/>
  <c r="Y94" i="3"/>
  <c r="V94" i="3"/>
  <c r="V95" i="3" s="1"/>
  <c r="Q94" i="3"/>
  <c r="Q95" i="3" s="1"/>
  <c r="N94" i="3"/>
  <c r="B109" i="3"/>
  <c r="B113" i="3" s="1"/>
  <c r="C86" i="3"/>
  <c r="C87" i="3" s="1"/>
  <c r="C89" i="3" s="1"/>
  <c r="D93" i="3" s="1"/>
  <c r="E95" i="3" s="1"/>
  <c r="B106" i="3"/>
  <c r="E42" i="3"/>
  <c r="D80" i="3"/>
  <c r="C80" i="3" s="1"/>
  <c r="E77" i="3" s="1"/>
  <c r="D76" i="3"/>
  <c r="E45" i="3"/>
  <c r="B108" i="3" s="1"/>
  <c r="B114" i="3" s="1"/>
  <c r="D113" i="3" s="1"/>
  <c r="E44" i="3"/>
  <c r="S95" i="3"/>
  <c r="Y96" i="3" l="1"/>
  <c r="AD96" i="3"/>
  <c r="D78" i="3"/>
  <c r="Z95" i="3"/>
  <c r="O96" i="3"/>
  <c r="U95" i="3"/>
  <c r="T96" i="3"/>
  <c r="N96" i="3"/>
  <c r="Y95" i="3"/>
  <c r="X96" i="3"/>
  <c r="R95" i="3"/>
  <c r="AB95" i="3"/>
  <c r="S96" i="3"/>
  <c r="N95" i="3"/>
  <c r="AG95" i="3"/>
  <c r="P95" i="3"/>
  <c r="W95" i="3"/>
  <c r="AC96" i="3"/>
  <c r="M95" i="3"/>
  <c r="AE95" i="3"/>
  <c r="B112" i="3"/>
  <c r="E78" i="3"/>
  <c r="E83" i="3" s="1"/>
  <c r="E84" i="3" s="1"/>
  <c r="C100" i="3" s="1"/>
  <c r="C103" i="3" s="1"/>
  <c r="L97" i="3" l="1"/>
  <c r="B6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USS</author>
  </authors>
  <commentList>
    <comment ref="B3" authorId="0" shapeId="0" xr:uid="{00000000-0006-0000-0100-000001000000}">
      <text>
        <r>
          <rPr>
            <b/>
            <sz val="8"/>
            <color indexed="81"/>
            <rFont val="Tahoma"/>
            <family val="2"/>
          </rPr>
          <t xml:space="preserve">DECRETO 3032 DE 2013
Artículo 3. Trabajador por cuenta propia. Para los efectos del cálculo del Impuesto Mínimo Alternativo Simplificado (IMAS), de conformidad con lo establecido en los artículos 336 a 341 del Estatuto Tributario, ul1a persona natural residente en el país se clasifica como trabajador por cuenta propia si en el respectivo año gravable cumple la totalidad de las siguientes condiciones: 
*Sus ingresos provienen, en una proporción igual o superior a un ochenta por ciento (80%), de la. realización de solo una de las actividades económicas señaladas en el artículo 340 del Estatuto Tributario;
Presta el servicio por su cuenta y riesgo;
Su Renta Gravable Alternativa -RGA- es inferior a veintisiete mil (27.000) UVT.
El patrimonio líquido declarado en el periodo gravable anterior es inferior a doce mil (12.000) UVT.
</t>
        </r>
        <r>
          <rPr>
            <sz val="8"/>
            <color indexed="81"/>
            <rFont val="Tahoma"/>
            <family val="2"/>
          </rPr>
          <t xml:space="preserve">
</t>
        </r>
      </text>
    </comment>
    <comment ref="E10" authorId="0" shapeId="0" xr:uid="{00000000-0006-0000-0100-000002000000}">
      <text>
        <r>
          <rPr>
            <b/>
            <sz val="8"/>
            <color indexed="81"/>
            <rFont val="Tahoma"/>
            <family val="2"/>
          </rPr>
          <t>ARTÍCULO 339. Determinación de la Renta Gravable Alternativa. Para la determinación de la Renta Gravable Alternativa, según lo dispuesto en el artículo 337 de este Estatuto, las personas naturales clasificadas en la categoría de trabajadores por cuenta propia cuyos ingresos brutos en el respectivo año gravable sean iguales o superiores a 1.400 UVT, e inferiores a 27.000 UVT</t>
        </r>
        <r>
          <rPr>
            <sz val="8"/>
            <color indexed="81"/>
            <rFont val="Tahoma"/>
            <family val="2"/>
          </rPr>
          <t xml:space="preserve">
</t>
        </r>
      </text>
    </comment>
    <comment ref="B12" authorId="0" shapeId="0" xr:uid="{00000000-0006-0000-0100-00000300000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4" authorId="0" shapeId="0" xr:uid="{00000000-0006-0000-0100-00000400000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E28" authorId="0" shapeId="0" xr:uid="{00000000-0006-0000-0100-000005000000}">
      <text>
        <r>
          <rPr>
            <b/>
            <sz val="8"/>
            <color indexed="81"/>
            <rFont val="Tahoma"/>
            <family val="2"/>
          </rPr>
          <t xml:space="preserve">ACTIVIDAD PARA RGA DESDE IMAS 
En
UVT En pesos con
UVT 2013 En pesos con
UVT 2014 
Actividades deportivas y otras actividades de esparcimiento 4.057 $108.894.000 $111.507.000 1,77% x (RGA en UVT - 4.057) 
Agropecuario, silvicultura y pesca 7.143 $191.725.000 $196.325.000 1,23% x (RGA en UVT - 7.143) 
Comercio al por mayor 4.057 $108.894.000 $111.507.000 0,82% x (RGA en UVT - 4.057) 
Comercio al por menor 5.409 $145.183.000 $148.666.000 0,82% x (RGA en UVT - 5.409) 
Comercio de vehículos automotores, accesorios y productos conexos 4.549 $122.100.000 $125.029.000 0,95% x (RGA en UVT - 4.549) 
Construcción 2.090 $56.098.000 $57.444.000 2,17% x (RGA en UVT - 2.090) 
Electricidad, gas y vapor 3.934 $105.592.000 $108.126.000 2,97% x (RGA en UVT - 3.934) 
Fabricación de productos minerales y otros 4.795 $128.703.000 $131.791.000 2,18% x (RGA en UVT - 4.795) 
Fabricación de sustancias químicas 4.549 $122.100.000 $125.029.000 2,77% x (RGA en UVT - 4.549) 
Industria de la madera, corcho y papel 4.549 $122.100.000 $125.029.000 2,3% x (RGA en UVT - 4.549) 
Manufactura alimentos 4.549 $122.100.000 $125.029.000 1,13% x (RGA en UVT - 4.549) 
Manufactura textiles, prendas de vestir y cuero 4.303 $115.497.000 $118.268.000 2,93% x (RGA en UVT - 4.303) 
Minería 4.057 $108.894.000 $111.507.000 4,96% x (RGA en UVT - 4.057) 
Servicio de transporte, almacenamiento y comunicaciones 4.795 $128.703.000 $131.791.000 2,79% x (RGA en UVT - 4.795) 
Servicios de hoteles, restaurantes y similares 3.934 $105.592.000 $108.126.000 1,55% x (RGA en UVT - 3.934) 
Servicios financieros 1.844 $49.495.000 $50.682.000 6,4% x (RGA en UVT - 1.844) 
</t>
        </r>
        <r>
          <rPr>
            <sz val="8"/>
            <color indexed="81"/>
            <rFont val="Tahoma"/>
            <family val="2"/>
          </rPr>
          <t xml:space="preserve">
</t>
        </r>
      </text>
    </comment>
    <comment ref="M43" authorId="0" shapeId="0" xr:uid="{00000000-0006-0000-0100-000006000000}">
      <text>
        <r>
          <rPr>
            <b/>
            <sz val="8"/>
            <color indexed="81"/>
            <rFont val="Tahoma"/>
            <family val="2"/>
          </rPr>
          <t>USS:</t>
        </r>
        <r>
          <rPr>
            <sz val="8"/>
            <color indexed="81"/>
            <rFont val="Tahoma"/>
            <family val="2"/>
          </rPr>
          <t xml:space="preserve">
IMPTO NETO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C8" authorId="0" shapeId="0" xr:uid="{BBA0DE54-6294-4CC2-8C8B-B5FDC0F446AC}">
      <text>
        <r>
          <rPr>
            <b/>
            <sz val="9"/>
            <color indexed="81"/>
            <rFont val="Tahoma"/>
            <family val="2"/>
          </rPr>
          <t>Hp:</t>
        </r>
        <r>
          <rPr>
            <sz val="9"/>
            <color indexed="81"/>
            <rFont val="Tahoma"/>
            <family val="2"/>
          </rPr>
          <t xml:space="preserve">
</t>
        </r>
      </text>
    </comment>
    <comment ref="C10" authorId="0" shapeId="0" xr:uid="{599129BA-FED8-4C5D-B0DC-E6D29508BF03}">
      <text>
        <r>
          <rPr>
            <b/>
            <sz val="9"/>
            <color indexed="81"/>
            <rFont val="Tahoma"/>
            <family val="2"/>
          </rPr>
          <t>ART 55 E.T.N.
Las cotizaciones voluntarias al régimen de ahorro individual con solidaridad son un ingreso no constitutivo de renta ni de ganancia ocasional para el aportante, en un porcentaje que no exceda el veinticinco por ciento (25%) del ingreso laboral o tributario anual, limitado a 2.500 UVT.</t>
        </r>
        <r>
          <rPr>
            <sz val="9"/>
            <color indexed="81"/>
            <rFont val="Tahoma"/>
            <family val="2"/>
          </rPr>
          <t xml:space="preserve">
</t>
        </r>
      </text>
    </comment>
    <comment ref="C22" authorId="0" shapeId="0" xr:uid="{6CC08EC9-6CE6-4DA7-BC9F-3AC4B91D9D5D}">
      <text>
        <r>
          <rPr>
            <b/>
            <sz val="9"/>
            <color indexed="81"/>
            <rFont val="Tahoma"/>
            <family val="2"/>
          </rPr>
          <t xml:space="preserve">INCISO 2
Los aportes a título de cesantía, realizados por los partícipes independientes, serán deducibles de la renta hasta la suma de dos mil quinientas (2.500) UVT, sin que excedan de un doceavo del ingreso gravable del respectivo año.
</t>
        </r>
        <r>
          <rPr>
            <sz val="9"/>
            <color indexed="81"/>
            <rFont val="Tahoma"/>
            <family val="2"/>
          </rPr>
          <t xml:space="preserve">
</t>
        </r>
      </text>
    </comment>
    <comment ref="C24" authorId="0" shapeId="0" xr:uid="{64926DF4-5FA2-41BF-A15E-936B3C31DD78}">
      <text>
        <r>
          <rPr>
            <b/>
            <sz val="9"/>
            <color indexed="81"/>
            <rFont val="Tahoma"/>
            <charset val="1"/>
          </rPr>
          <t>Los aportes voluntarios que haga el trabajador, el empleador, o los aportes del partícipe independiente a los seguros privados de pensiones, a los fondos de pensiones voluntarias y obligatorias, administrados por las entidades vigiladas por la Superintendencia Financiera de Colombia, no harán parte de la base para aplicar la retención en la fuente y serán considerados como una renta exenta</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Administrador</author>
    <author>USER</author>
    <author>YOIBER OJEDA</author>
  </authors>
  <commentList>
    <comment ref="B4" authorId="0" shapeId="0" xr:uid="{00000000-0006-0000-1100-00000100000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2. Rentas de capital: las obtenidas por concepto de intereses, rendimientos financieros, arrendamientos, regalías y explotación de la propiedad intelectual.
</t>
        </r>
        <r>
          <rPr>
            <b/>
            <sz val="11"/>
            <color indexed="10"/>
            <rFont val="Tahoma"/>
            <family val="2"/>
          </rPr>
          <t>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D11" authorId="1" shapeId="0" xr:uid="{00000000-0006-0000-1100-000002000000}">
      <text>
        <r>
          <rPr>
            <b/>
            <sz val="9"/>
            <color indexed="81"/>
            <rFont val="Tahoma"/>
            <family val="2"/>
          </rPr>
          <t>SI NO CUMPLE CON LA PERMANENCIA</t>
        </r>
        <r>
          <rPr>
            <sz val="9"/>
            <color indexed="81"/>
            <rFont val="Tahoma"/>
            <family val="2"/>
          </rPr>
          <t xml:space="preserve">
</t>
        </r>
      </text>
    </comment>
    <comment ref="C71" authorId="0" shapeId="0" xr:uid="{00000000-0006-0000-1100-00000300000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82" authorId="2" shapeId="0" xr:uid="{00000000-0006-0000-1100-000004000000}">
      <text>
        <r>
          <rPr>
            <b/>
            <sz val="9"/>
            <color indexed="81"/>
            <rFont val="Tahoma"/>
            <family val="2"/>
          </rPr>
          <t>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3.</t>
        </r>
        <r>
          <rPr>
            <b/>
            <sz val="11"/>
            <color indexed="10"/>
            <rFont val="Tahoma"/>
            <family val="2"/>
          </rPr>
          <t xml:space="preserve">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YOIBER OJEDA</author>
    <author>Administrador</author>
  </authors>
  <commentList>
    <comment ref="D2" authorId="0" shapeId="0" xr:uid="{00000000-0006-0000-0D00-000001000000}">
      <text>
        <r>
          <rPr>
            <b/>
            <sz val="14"/>
            <color indexed="81"/>
            <rFont val="Tahoma"/>
            <family val="2"/>
          </rPr>
          <t>MATEO 16:16-17
16 Respondió Simón Pedro y dijo: ¡Tú eres el aCristo, el Hijo del Dios viviente! 17 Entonces, respondiendo Jesús, le dijo: Bienaventurado eres, Simón hijo de Jonás, porque no te lo areveló carne ni sangre, sino mi Padre que está en los cielos.</t>
        </r>
        <r>
          <rPr>
            <sz val="9"/>
            <color indexed="81"/>
            <rFont val="Tahoma"/>
            <family val="2"/>
          </rPr>
          <t xml:space="preserve">
</t>
        </r>
      </text>
    </comment>
    <comment ref="B4" authorId="1" shapeId="0" xr:uid="{00000000-0006-0000-0D00-00000200000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t>
        </r>
        <r>
          <rPr>
            <b/>
            <sz val="11"/>
            <color indexed="10"/>
            <rFont val="Tahoma"/>
            <family val="2"/>
          </rPr>
          <t>2. Rentas de capital: las obtenidas por concepto de intereses, rendimientos financieros, arrendamientos, regalías y explotación de la propiedad intelectual.</t>
        </r>
        <r>
          <rPr>
            <b/>
            <sz val="9"/>
            <color indexed="81"/>
            <rFont val="Tahoma"/>
            <family val="2"/>
          </rPr>
          <t xml:space="preserve">
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C9" authorId="1" shapeId="0" xr:uid="{00000000-0006-0000-0D00-000003000000}">
      <text>
        <r>
          <rPr>
            <b/>
            <sz val="9"/>
            <color indexed="81"/>
            <rFont val="Tahoma"/>
            <family val="2"/>
          </rPr>
          <t xml:space="preserve">DECRETO  728 DE 2022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2021, las utilidades que los fondos mutuos de inversión, fondos de inversión y fondos de valores distribuyan o abonen en cuenta a sus afiliados, personas naturales y sucesiones ilíquidas, no obligadas a llevar contabilidad, no constituye renta ni ganancia ocasional el Cien por ciento (100 %), del valor de los rendimientos financieros recibidos por el fondo, correspondiente al componente inflacionario, de acuerdo con lo dispuesto en los artículos 39, 40-1 Y 41 del Estatuto Tributario." </t>
        </r>
        <r>
          <rPr>
            <sz val="9"/>
            <color indexed="81"/>
            <rFont val="Tahoma"/>
            <family val="2"/>
          </rPr>
          <t xml:space="preserve">
</t>
        </r>
      </text>
    </comment>
    <comment ref="C37" authorId="1" shapeId="0" xr:uid="{00000000-0006-0000-0D00-00000400000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47" authorId="0" shapeId="0" xr:uid="{00000000-0006-0000-0D00-000005000000}">
      <text>
        <r>
          <rPr>
            <b/>
            <sz val="9"/>
            <color indexed="81"/>
            <rFont val="Tahoma"/>
            <family val="2"/>
          </rPr>
          <t xml:space="preserve">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t>
        </r>
        <r>
          <rPr>
            <b/>
            <sz val="11"/>
            <color indexed="10"/>
            <rFont val="Tahoma"/>
            <family val="2"/>
          </rPr>
          <t xml:space="preserve">
3.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B4" authorId="0" shapeId="0" xr:uid="{00000000-0006-0000-0E00-000001000000}">
      <text>
        <r>
          <rPr>
            <b/>
            <sz val="11"/>
            <color indexed="81"/>
            <rFont val="Tahoma"/>
            <family val="2"/>
          </rPr>
          <t>Art. 342. Ingresos de las rentas de dividendos y participaciones.
Son ingresos de esta cédula los recibidos por concepto de dividendos y participaciones, y constituyen renta gravable en cabeza de los socios, accionistas, comuneros, asociados, suscriptores y similares, que sean personas naturales residentes y sucesiones ilíquidas de causantes que al momento de su muerte eran residentes, recibidos de distribuciones provenientes de sociedades y entidades nacionales, y de sociedades y entidades extranjeras.</t>
        </r>
        <r>
          <rPr>
            <sz val="9"/>
            <color indexed="81"/>
            <rFont val="Tahoma"/>
            <family val="2"/>
          </rPr>
          <t xml:space="preserve">
</t>
        </r>
      </text>
    </comment>
    <comment ref="C6" authorId="0" shapeId="0" xr:uid="{00000000-0006-0000-0E00-00000200000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USS</author>
  </authors>
  <commentList>
    <comment ref="B13" authorId="0" shapeId="0" xr:uid="{00000000-0006-0000-0B00-00000100000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5" authorId="0" shapeId="0" xr:uid="{00000000-0006-0000-0B00-00000200000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J42" authorId="0" shapeId="0" xr:uid="{00000000-0006-0000-0B00-000003000000}">
      <text>
        <r>
          <rPr>
            <b/>
            <sz val="8"/>
            <color indexed="81"/>
            <rFont val="Tahoma"/>
            <family val="2"/>
          </rPr>
          <t>USS:</t>
        </r>
        <r>
          <rPr>
            <sz val="8"/>
            <color indexed="81"/>
            <rFont val="Tahoma"/>
            <family val="2"/>
          </rPr>
          <t xml:space="preserve">
IMPTO NETO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B4" authorId="0" shapeId="0" xr:uid="{00000000-0006-0000-1200-000001000000}">
      <text>
        <r>
          <rPr>
            <b/>
            <sz val="9"/>
            <color indexed="81"/>
            <rFont val="Tahoma"/>
            <family val="2"/>
          </rPr>
          <t>Art. 337 E.T. Ingresos de las rentas de pensiones.
Son ingresos de esta cédula las pensiones de jubilación, invalidez, vejez, de sobrevivientes y sobre riesgos laborales, así como aquellas provenientes de indemnizaciones sustitutivas de las pensiones o las devoluciones de saldos de ahorro pensional.</t>
        </r>
        <r>
          <rPr>
            <sz val="9"/>
            <color indexed="81"/>
            <rFont val="Tahoma"/>
            <family val="2"/>
          </rPr>
          <t xml:space="preserve">
</t>
        </r>
      </text>
    </comment>
    <comment ref="C6" authorId="0" shapeId="0" xr:uid="{00000000-0006-0000-1200-00000200000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 ref="D6" authorId="0" shapeId="0" xr:uid="{00000000-0006-0000-1200-000003000000}">
      <text>
        <r>
          <rPr>
            <b/>
            <sz val="9"/>
            <color indexed="81"/>
            <rFont val="Tahoma"/>
            <family val="2"/>
          </rPr>
          <t>INC. 2 NUM 2 ART 1.2.1.20.2 DUR 1625 DE 2016 SUSTITUIDO ART 6 DR 2250 DE 2017
Aquellos ingresos obtenidos por los conceptos mencionados  anteriormente y que correspondan a rentas de fuente extranjera, se reconocerán en esta cédula, pero no les será aplicable la limitación establecida en el numeral 5 del artículo 206 del Estatuto Tributario, de conformidad con el parágrafo 3 del artículo 206 del Estatuto tributario. Lo anterior, sin perjuicio de lo establecido en los Convenios para evitar la doble imposición suscritos por Colombia.</t>
        </r>
        <r>
          <rPr>
            <sz val="9"/>
            <color indexed="81"/>
            <rFont val="Tahoma"/>
            <family val="2"/>
          </rPr>
          <t xml:space="preserve">
</t>
        </r>
      </text>
    </comment>
    <comment ref="D17" authorId="0" shapeId="0" xr:uid="{00000000-0006-0000-1200-000004000000}">
      <text>
        <r>
          <rPr>
            <b/>
            <sz val="9"/>
            <color indexed="81"/>
            <rFont val="Tahoma"/>
            <family val="2"/>
          </rPr>
          <t>INC. 2 ART 337 E.T.
Para efectos de establecer la renta líquida cedular, del total de ingresos se restarán los ingresos no constitutivos de renta y las rentas exentas, considerando los límites previstos en este Estatuto, y especialmente las rentas exentas a las que se refiere el numeral 5del artículo 206.</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USS</author>
  </authors>
  <commentList>
    <comment ref="F4" authorId="0" shapeId="0" xr:uid="{00000000-0006-0000-0200-000001000000}">
      <text>
        <r>
          <rPr>
            <b/>
            <sz val="22"/>
            <color indexed="81"/>
            <rFont val="Tahoma"/>
            <family val="2"/>
          </rPr>
          <t>AGUACHICA, QUE LINDA ERES</t>
        </r>
        <r>
          <rPr>
            <sz val="8"/>
            <color indexed="81"/>
            <rFont val="Tahoma"/>
            <family val="2"/>
          </rPr>
          <t xml:space="preserve">
</t>
        </r>
      </text>
    </comment>
    <comment ref="J9" authorId="0" shapeId="0" xr:uid="{00000000-0006-0000-0200-000002000000}">
      <text>
        <r>
          <rPr>
            <b/>
            <sz val="8"/>
            <color indexed="81"/>
            <rFont val="Tahoma"/>
            <family val="2"/>
          </rPr>
          <t xml:space="preserve">INC 1 ART 331 E.T.
Las ganancias ocasionales contenidas en el Título III del Libro I de este Estatuto, no hacen parte de la base gravable del Impuesto Mínimo Alternativo Nacional (IMAN).
INC 2 ART 331 E.T.
Dentro de los ingresos brutos de que trata este artículo, se entienden incluidos los ingresos obtenidos por el empleado por la realización de actividades económicas y la prestación de servicios personales por su propia cuenta y riesgo, siempre que se cumpla con el porcentaje señalado en el artículo 329 de este Estatuto.
</t>
        </r>
        <r>
          <rPr>
            <sz val="8"/>
            <color indexed="81"/>
            <rFont val="Tahoma"/>
            <family val="2"/>
          </rPr>
          <t xml:space="preserve">
</t>
        </r>
      </text>
    </comment>
    <comment ref="F22" authorId="0" shapeId="0" xr:uid="{00000000-0006-0000-0200-000003000000}">
      <text>
        <r>
          <rPr>
            <b/>
            <sz val="16"/>
            <color indexed="81"/>
            <rFont val="Tahoma"/>
            <family val="2"/>
          </rPr>
          <t xml:space="preserve">PROVERBIOS
13:20 El que anda con sabios, sabio será; 
Mas el que se junta con necios será quebrantado.
</t>
        </r>
        <r>
          <rPr>
            <sz val="16"/>
            <color indexed="81"/>
            <rFont val="Tahoma"/>
            <family val="2"/>
          </rPr>
          <t xml:space="preserve">
</t>
        </r>
      </text>
    </comment>
    <comment ref="C88" authorId="0" shapeId="0" xr:uid="{00000000-0006-0000-0200-000004000000}">
      <text>
        <r>
          <rPr>
            <b/>
            <sz val="8"/>
            <color indexed="81"/>
            <rFont val="Tahoma"/>
            <family val="2"/>
          </rPr>
          <t xml:space="preserve">ARTÍCULO 150. Pérdidas sufridas por personas naturales en actividades agropecuarias. Pérdidas sufridas por personas naturales en actividades agropecuarias. Las pérdidas de personas naturales y sucesiones ilíquidas en empresas agropecuarias serán deducibles en los cinco años siguientes a su ocurrencia, siempre y cuando que se deduzcan exclusivamente de rentas de igual naturaleza y las operaciones de la empresa estén contabilizadas de conformidad con los principios de contabilidad generalmente aceptados. Esta deducción se aplicará sin perjuicio de la renta presuntiva.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YOIBER OJEDA</author>
    <author>usuario</author>
  </authors>
  <commentList>
    <comment ref="B2" authorId="0" shapeId="0" xr:uid="{00000000-0006-0000-0600-00000100000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1" shapeId="0" xr:uid="{00000000-0006-0000-0600-00000200000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 ref="H12" authorId="2" shapeId="0" xr:uid="{00000000-0006-0000-0600-00000300000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Administrador</author>
    <author>USER</author>
    <author>YOIBER OJEDA</author>
    <author>usuario</author>
  </authors>
  <commentList>
    <comment ref="B2" authorId="0" shapeId="0" xr:uid="{00000000-0006-0000-0700-00000100000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G4" authorId="1" shapeId="0" xr:uid="{00000000-0006-0000-0700-000002000000}">
      <text>
        <r>
          <rPr>
            <b/>
            <sz val="9"/>
            <color indexed="81"/>
            <rFont val="Tahoma"/>
            <family val="2"/>
          </rPr>
          <t>SALMO 32:8
Te haré entender, y te enseñaré el camino en que debes andar;
Sobre ti fijaré mis ojos.</t>
        </r>
      </text>
    </comment>
    <comment ref="M5" authorId="2" shapeId="0" xr:uid="{00000000-0006-0000-0700-000003000000}">
      <text>
        <r>
          <rPr>
            <b/>
            <sz val="12"/>
            <color indexed="81"/>
            <rFont val="Tahoma"/>
            <family val="2"/>
          </rPr>
          <t>MATEO 6:24
24 Ninguno puede servir a dos señores; porque o aborrecerá al uno y amará al otro, o estimará al uno y menospreciará al otro. No podéis servir a Dios y a las riquezas</t>
        </r>
        <r>
          <rPr>
            <sz val="9"/>
            <color indexed="81"/>
            <rFont val="Tahoma"/>
            <family val="2"/>
          </rPr>
          <t xml:space="preserve">
</t>
        </r>
      </text>
    </comment>
    <comment ref="B23" authorId="2" shapeId="0" xr:uid="{00000000-0006-0000-0700-000004000000}">
      <text>
        <r>
          <rPr>
            <b/>
            <sz val="9"/>
            <color indexed="81"/>
            <rFont val="Tahoma"/>
            <family val="2"/>
          </rPr>
          <t>LUCAS 11:27-28
27 Mientras él decía estas cosas, una mujer de entre la multitud levantó la voz y le dijo: Bienaventurado el vientre que te trajo, y los senos que mamaste. 28 Y él dijo: Antes bienaventurados los que oyen la palabra de Dios, y la guardan.</t>
        </r>
        <r>
          <rPr>
            <sz val="9"/>
            <color indexed="81"/>
            <rFont val="Tahoma"/>
            <family val="2"/>
          </rPr>
          <t xml:space="preserve">
</t>
        </r>
      </text>
    </comment>
    <comment ref="B33" authorId="3" shapeId="0" xr:uid="{00000000-0006-0000-0700-00000500000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 ref="G48" authorId="2" shapeId="0" xr:uid="{00000000-0006-0000-0700-00000600000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USS</author>
  </authors>
  <commentList>
    <comment ref="B4" authorId="0" shapeId="0" xr:uid="{00000000-0006-0000-0800-000001000000}">
      <text>
        <r>
          <rPr>
            <b/>
            <sz val="18"/>
            <color indexed="81"/>
            <rFont val="Tahoma"/>
            <family val="2"/>
          </rPr>
          <t xml:space="preserve">PROVERBIOS
22:16 El que oprime al pobre para aumentar sus ganancias,
O que da al rico, ciertamente se empobrecerá. 
Preceptos y amonestaciones
</t>
        </r>
        <r>
          <rPr>
            <sz val="18"/>
            <color indexed="81"/>
            <rFont val="Tahoma"/>
            <family val="2"/>
          </rPr>
          <t xml:space="preserve">
</t>
        </r>
      </text>
    </comment>
    <comment ref="B25" authorId="0" shapeId="0" xr:uid="{00000000-0006-0000-0800-000002000000}">
      <text>
        <r>
          <rPr>
            <b/>
            <sz val="8"/>
            <color indexed="81"/>
            <rFont val="Tahoma"/>
            <family val="2"/>
          </rPr>
          <t>SI DECIDE LLEVAR CONTABILIDAD NO ESTANDO OBLIGADO A ELLO</t>
        </r>
        <r>
          <rPr>
            <sz val="8"/>
            <color indexed="81"/>
            <rFont val="Tahoma"/>
            <family val="2"/>
          </rPr>
          <t xml:space="preserve">
</t>
        </r>
      </text>
    </comment>
    <comment ref="D28" authorId="0" shapeId="0" xr:uid="{00000000-0006-0000-0800-000003000000}">
      <text>
        <r>
          <rPr>
            <b/>
            <sz val="8"/>
            <color indexed="81"/>
            <rFont val="Tahoma"/>
            <family val="2"/>
          </rPr>
          <t>RESPONDA:  S
SI LAS POSEYO DURANTE EL AÑO 2019.
DE LO CONTRARIO N</t>
        </r>
        <r>
          <rPr>
            <sz val="8"/>
            <color indexed="81"/>
            <rFont val="Tahoma"/>
            <family val="2"/>
          </rPr>
          <t xml:space="preserve">
</t>
        </r>
      </text>
    </comment>
    <comment ref="D30" authorId="0" shapeId="0" xr:uid="{00000000-0006-0000-0800-000004000000}">
      <text>
        <r>
          <rPr>
            <b/>
            <sz val="8"/>
            <color indexed="81"/>
            <rFont val="Tahoma"/>
            <family val="2"/>
          </rPr>
          <t>RESPONDA:  S
SI LAS POSEYO DURANTE EL AÑO 2019.
DE LO CONTRARIO N</t>
        </r>
        <r>
          <rPr>
            <sz val="8"/>
            <color indexed="81"/>
            <rFont val="Tahoma"/>
            <family val="2"/>
          </rPr>
          <t xml:space="preserve">
</t>
        </r>
      </text>
    </comment>
    <comment ref="E50" authorId="0" shapeId="0" xr:uid="{00000000-0006-0000-0800-00000500000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E59" authorId="0" shapeId="0" xr:uid="{00000000-0006-0000-0800-00000600000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B128" authorId="0" shapeId="0" xr:uid="{00000000-0006-0000-0800-000007000000}">
      <text>
        <r>
          <rPr>
            <b/>
            <sz val="8"/>
            <color indexed="81"/>
            <rFont val="Tahoma"/>
            <family val="2"/>
          </rPr>
          <t xml:space="preserve">ARTÍCULO 283. Requisitos para su aceptación. Para que proceda el reconocimiento de las deudas, el contribuyente está obligado:
1. A conservar los documentos correspondientes a la cancelación de la deuda, por el término señalado en el artículo 632.
PARÁGRAFO. </t>
        </r>
        <r>
          <rPr>
            <b/>
            <u/>
            <sz val="8"/>
            <color indexed="81"/>
            <rFont val="Tahoma"/>
            <family val="2"/>
          </rPr>
          <t>Los contribuyentes que no estén obligados a llevar libros de contabilidad, sólo podrán solicitar los pasivos que estén debidamente respaldados por documentos de fecha cierta. En los demás casos, los pasivos deben estar respaldados por documentos idóneos y con el lleno de todas las formalidades exigidas para la contabilidad.</t>
        </r>
        <r>
          <rPr>
            <b/>
            <sz val="8"/>
            <color indexed="81"/>
            <rFont val="Tahoma"/>
            <family val="2"/>
          </rPr>
          <t xml:space="preserve">
</t>
        </r>
        <r>
          <rPr>
            <sz val="8"/>
            <color indexed="81"/>
            <rFont val="Tahoma"/>
            <family val="2"/>
          </rPr>
          <t xml:space="preserve">
ARTÍCULO 770. Prueba de pasivos. Los contribuyentes que no estén obligados a llevar libros de contabilidad, sólo podrán solicitar pasivos que estén debidamente respaldados por documentos de fecha cierta. En los demás casos, los pasivos deben estar respaldados por documentos idóneos y con el lleno de todas las formalidades exigidas para la contabilidad.
ARTÍCULO 767. Fecha cierta de los documentos privados. Un documento privado, cualquiera que sea su naturaleza, tiene fecha cierta o auténtica, desde cuando ha sido registrado o presentado ante un notario, juez o autoridad administrativa, siempre que lleve la constancia y fecha de tal registro o presentación.
</t>
        </r>
      </text>
    </comment>
    <comment ref="D137" authorId="0" shapeId="0" xr:uid="{00000000-0006-0000-0800-000008000000}">
      <text>
        <r>
          <rPr>
            <b/>
            <sz val="8"/>
            <color indexed="81"/>
            <rFont val="Tahoma"/>
            <family val="2"/>
          </rPr>
          <t xml:space="preserve">ARTÍCULO 236. Renta por comparación patrimonial. Cuando la suma de la renta gravable, las rentas exentas y la ganancia ocasional neta resultare inferior a la diferencia entre el patrimonio líquido del último período gravable y el patrimonio líquido del período inmediatamente anterior, dicha diferencia se considera renta gravable, a menos que el contribuyente demuestre que el aumento patrimonial obedece a causas justificativas.
ARTÍCULO 237. Ajustes para el cálculo. Para efectos de la determinación de la renta por comparación de patrimonios, a la renta gravable se adicionará el valor de la ganancia ocasional neta y las rentas exentas.
De esta suma, se sustrae el valor de los impuestos de renta y complementarios pagados durante el año gravable.
En lo concerniente al patrimonio se harán previamente los ajustes por valorizaciones y desvalorizaciones nominales.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A2" authorId="0" shapeId="0" xr:uid="{00000000-0006-0000-0900-00000100000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0" shapeId="0" xr:uid="{00000000-0006-0000-0900-00000200000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USS</author>
    <author>Equipo</author>
    <author>USER</author>
    <author>USUARIO</author>
    <author>Usuario</author>
    <author>Administrador</author>
    <author>Colossus User</author>
    <author>Hp</author>
    <author>YOIBER OJEDA</author>
  </authors>
  <commentList>
    <comment ref="C5" authorId="0" shapeId="0" xr:uid="{00000000-0006-0000-0A00-000001000000}">
      <text>
        <r>
          <rPr>
            <b/>
            <sz val="20"/>
            <color indexed="81"/>
            <rFont val="Tahoma"/>
            <family val="2"/>
          </rPr>
          <t>ESTA HERRAMIENTA ES PARA HONRA Y GLORIA DE NUESTRO SEÑOR JESUS CRISTO</t>
        </r>
        <r>
          <rPr>
            <sz val="8"/>
            <color indexed="81"/>
            <rFont val="Tahoma"/>
            <family val="2"/>
          </rPr>
          <t xml:space="preserve">
</t>
        </r>
      </text>
    </comment>
    <comment ref="C7" authorId="1" shapeId="0" xr:uid="{00000000-0006-0000-0A00-000002000000}">
      <text>
        <r>
          <rPr>
            <b/>
            <sz val="9"/>
            <color indexed="81"/>
            <rFont val="Tahoma"/>
            <family val="2"/>
          </rPr>
          <t xml:space="preserve">JUAN
8:31 Dijo entonces Jesús a los judíos que habían creído en él: Si vosotros permaneciereis en mi palabra, seréis verdaderamente mis discípulos; 
8:32 y conoceréis la verdad, y la verdad os hará libres. </t>
        </r>
        <r>
          <rPr>
            <sz val="9"/>
            <color indexed="81"/>
            <rFont val="Tahoma"/>
            <family val="2"/>
          </rPr>
          <t xml:space="preserve">
</t>
        </r>
      </text>
    </comment>
    <comment ref="E9" authorId="0" shapeId="0" xr:uid="{00000000-0006-0000-0A00-000003000000}">
      <text>
        <r>
          <rPr>
            <b/>
            <sz val="12"/>
            <color indexed="81"/>
            <rFont val="Tahoma"/>
            <family val="2"/>
          </rPr>
          <t>FORMATO
D/M/A</t>
        </r>
        <r>
          <rPr>
            <sz val="8"/>
            <color indexed="81"/>
            <rFont val="Tahoma"/>
            <family val="2"/>
          </rPr>
          <t xml:space="preserve">
</t>
        </r>
      </text>
    </comment>
    <comment ref="C10" authorId="0" shapeId="0" xr:uid="{00000000-0006-0000-0A00-000004000000}">
      <text>
        <r>
          <rPr>
            <b/>
            <sz val="16"/>
            <color indexed="81"/>
            <rFont val="Tahoma"/>
            <family val="2"/>
          </rPr>
          <t>DIGITE LA FECHA DE VENCIMIENTO
FORMATO
D/M/A</t>
        </r>
        <r>
          <rPr>
            <sz val="16"/>
            <color indexed="81"/>
            <rFont val="Tahoma"/>
            <family val="2"/>
          </rPr>
          <t xml:space="preserve">
</t>
        </r>
      </text>
    </comment>
    <comment ref="E13" authorId="0" shapeId="0" xr:uid="{00000000-0006-0000-0A00-000005000000}">
      <text>
        <r>
          <rPr>
            <b/>
            <sz val="12"/>
            <color indexed="81"/>
            <rFont val="Tahoma"/>
            <family val="2"/>
          </rPr>
          <t>FORMATO
D/M/A</t>
        </r>
        <r>
          <rPr>
            <sz val="8"/>
            <color indexed="81"/>
            <rFont val="Tahoma"/>
            <family val="2"/>
          </rPr>
          <t xml:space="preserve">
</t>
        </r>
      </text>
    </comment>
    <comment ref="C14" authorId="2" shapeId="0" xr:uid="{00000000-0006-0000-0A00-000006000000}">
      <text>
        <r>
          <rPr>
            <b/>
            <sz val="14"/>
            <color indexed="81"/>
            <rFont val="Tahoma"/>
            <family val="2"/>
          </rPr>
          <t>SI EL SALDO ES A FAVOR REGISTRELO NEGATIVAMENTE</t>
        </r>
        <r>
          <rPr>
            <sz val="9"/>
            <color indexed="81"/>
            <rFont val="Tahoma"/>
            <family val="2"/>
          </rPr>
          <t xml:space="preserve">
</t>
        </r>
      </text>
    </comment>
    <comment ref="C17" authorId="0" shapeId="0" xr:uid="{00000000-0006-0000-0A00-000007000000}">
      <text>
        <r>
          <rPr>
            <b/>
            <sz val="8"/>
            <color indexed="81"/>
            <rFont val="Tahoma"/>
            <family val="2"/>
          </rPr>
          <t>FORMATO
D/M/A</t>
        </r>
        <r>
          <rPr>
            <sz val="8"/>
            <color indexed="81"/>
            <rFont val="Tahoma"/>
            <family val="2"/>
          </rPr>
          <t xml:space="preserve">
</t>
        </r>
      </text>
    </comment>
    <comment ref="C20" authorId="0" shapeId="0" xr:uid="{00000000-0006-0000-0A00-00000800000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20" authorId="0" shapeId="0" xr:uid="{00000000-0006-0000-0A00-00000900000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22" authorId="0" shapeId="0" xr:uid="{00000000-0006-0000-0A00-00000A000000}">
      <text>
        <r>
          <rPr>
            <b/>
            <sz val="8"/>
            <color indexed="81"/>
            <rFont val="Tahoma"/>
            <family val="2"/>
          </rPr>
          <t>SI ES LA INICIAL ANOTE 1
SI ES LA SEGUNDA ANOTE 2
SI ES LA TERCERA O MAS ANOTE 3</t>
        </r>
      </text>
    </comment>
    <comment ref="B28" authorId="0" shapeId="0" xr:uid="{00000000-0006-0000-0A00-00000B000000}">
      <text>
        <r>
          <rPr>
            <b/>
            <sz val="16"/>
            <color indexed="81"/>
            <rFont val="Tahoma"/>
            <family val="2"/>
          </rPr>
          <t xml:space="preserve">MATEO
7:7 Pedid, y se os dará; buscad, y hallaréis; llamad, y se os abrirá.
7:8 Porque todo aquel que pide, recibe; y el que busca, halla; y al que llama, se le abrirá.
</t>
        </r>
        <r>
          <rPr>
            <sz val="16"/>
            <color indexed="81"/>
            <rFont val="Tahoma"/>
            <family val="2"/>
          </rPr>
          <t xml:space="preserve">
</t>
        </r>
      </text>
    </comment>
    <comment ref="B29" authorId="0" shapeId="0" xr:uid="{00000000-0006-0000-0A00-00000C000000}">
      <text>
        <r>
          <rPr>
            <b/>
            <sz val="8"/>
            <color indexed="81"/>
            <rFont val="Tahoma"/>
            <family val="2"/>
          </rPr>
          <t xml:space="preserve">ARTÍCULO 103 E.T. Rentas de trabajo. Se consideran rentas exclusivas de trabajo, las obtenidas por personas naturales por concepto de salarios, comisiones, prestaciones sociales, viáticos, gastos de representación, honorarios, emolumentos eclesiásticos, compensaciones recibidas por el trabajo asociado cooperativo y en general, las compensaciones por servicios personales.
PARÁGRAFO 1. Para que sean consideradas como rentas de trabajo las compensaciones recibidas por el trabajo asociado cooperativo, la precooperativa o cooperativa de trabajo asociado, deberá tener registrados sus regímenes de trabajo y compensaciones en el Ministerio de Trabajo y Seguridad Social y los trabajadores asociados de aquellas deberán estar vinculados a regímenes de seguridad social en salud y pensiones aceptados por la Ley, o tener el carácter de pensionados o con asignación de retiro de acuerdo con los regímenes especiales establecidos por la Ley. Igualmente deberán estar vinculados al sistema general de riesgos profesionales.
PARÁGRAFO 2. Las compensaciones recibidas por el trabajo asociado cooperativo están gravadas con el impuesto a la renta y complementarios en los mismos términos, condiciones y excepciones establecidos en el Estatuto Tributario para las rentas exentas de trabajo provenientes de la relación laboral asalariada.
</t>
        </r>
        <r>
          <rPr>
            <sz val="8"/>
            <color indexed="81"/>
            <rFont val="Tahoma"/>
            <family val="2"/>
          </rPr>
          <t xml:space="preserve">
</t>
        </r>
      </text>
    </comment>
    <comment ref="B30" authorId="3" shapeId="0" xr:uid="{67F49B7A-C674-4347-9615-056D8190E56B}">
      <text>
        <r>
          <rPr>
            <b/>
            <sz val="9"/>
            <color indexed="81"/>
            <rFont val="Tahoma"/>
            <family val="2"/>
          </rPr>
          <t xml:space="preserve">DECRETO 886 DE 2006
Artículo 3º. Emolumentos Eclesiásticos. Para efectos de la retención en la fuente de que trata el presente decreto, se entienden por emolumentos eclesiásticos, todo pago o abono en cuenta, en dinero o en especie, realizados en forma directa o indirecta, tales como compensaciones, retribuciones, ofrendas, donaciones, o cualquier otra forma que utilicen las iglesias, confesiones y denominaciones religiosas o los demás agentes de retención, cuya finalidad sea compensar o retribuir el servicio personal del ministro del culto, independientemente de la denominación que se le otorgue, y de la orientación o credo religioso que profese. 
</t>
        </r>
        <r>
          <rPr>
            <sz val="9"/>
            <color indexed="81"/>
            <rFont val="Tahoma"/>
            <family val="2"/>
          </rPr>
          <t xml:space="preserve">
</t>
        </r>
      </text>
    </comment>
    <comment ref="B32" authorId="0" shapeId="0" xr:uid="{00000000-0006-0000-0A00-00000D000000}">
      <text>
        <r>
          <rPr>
            <b/>
            <sz val="14"/>
            <color indexed="81"/>
            <rFont val="Tahoma"/>
            <family val="2"/>
          </rPr>
          <t>PRESTACIONES LEGALES</t>
        </r>
        <r>
          <rPr>
            <sz val="14"/>
            <color indexed="81"/>
            <rFont val="Tahoma"/>
            <family val="2"/>
          </rPr>
          <t xml:space="preserve">
   PRIMAS DE SERVICIOS
   VACACIONES
   PRIMA DE NAVIDAD</t>
        </r>
        <r>
          <rPr>
            <sz val="8"/>
            <color indexed="81"/>
            <rFont val="Tahoma"/>
            <family val="2"/>
          </rPr>
          <t xml:space="preserve">
</t>
        </r>
        <r>
          <rPr>
            <b/>
            <sz val="14"/>
            <color indexed="81"/>
            <rFont val="Tahoma"/>
            <family val="2"/>
          </rPr>
          <t xml:space="preserve">PRESTACIONES CONVENCION COLECTIVA
   </t>
        </r>
        <r>
          <rPr>
            <sz val="14"/>
            <color indexed="81"/>
            <rFont val="Tahoma"/>
            <family val="2"/>
          </rPr>
          <t>PRIMA CONVENCIONAL
   PRIMA DE VACACIONES</t>
        </r>
      </text>
    </comment>
    <comment ref="B36" authorId="0" shapeId="0" xr:uid="{00000000-0006-0000-0A00-00000E000000}">
      <text>
        <r>
          <rPr>
            <sz val="8"/>
            <color indexed="81"/>
            <rFont val="Tahoma"/>
            <family val="2"/>
          </rPr>
          <t xml:space="preserve">Responda:
</t>
        </r>
        <r>
          <rPr>
            <b/>
            <sz val="10"/>
            <color indexed="81"/>
            <rFont val="Tahoma"/>
            <family val="2"/>
          </rPr>
          <t>S</t>
        </r>
        <r>
          <rPr>
            <sz val="8"/>
            <color indexed="81"/>
            <rFont val="Tahoma"/>
            <family val="2"/>
          </rPr>
          <t xml:space="preserve"> si es Magistrado y Fiscales, Juez de la Republica 
O Rector y Profesores de Universidad Publica.
</t>
        </r>
        <r>
          <rPr>
            <b/>
            <sz val="10"/>
            <color indexed="81"/>
            <rFont val="Tahoma"/>
            <family val="2"/>
          </rPr>
          <t>N</t>
        </r>
        <r>
          <rPr>
            <sz val="8"/>
            <color indexed="81"/>
            <rFont val="Tahoma"/>
            <family val="2"/>
          </rPr>
          <t xml:space="preserve"> si no es Magistrado y Fiscales, Juez de la Republica 
O Rector y Profesores de Universidad Publica.
</t>
        </r>
      </text>
    </comment>
    <comment ref="B39" authorId="4" shapeId="0" xr:uid="{00000000-0006-0000-0A00-00000F000000}">
      <text>
        <r>
          <rPr>
            <b/>
            <sz val="8"/>
            <color indexed="81"/>
            <rFont val="Tahoma"/>
            <family val="2"/>
          </rPr>
          <t>Usuario:</t>
        </r>
        <r>
          <rPr>
            <sz val="8"/>
            <color indexed="81"/>
            <rFont val="Tahoma"/>
            <family val="2"/>
          </rPr>
          <t xml:space="preserve">
para oficiales y suboficiales FFMM y de la POLINAL y los agentes de esta ultima</t>
        </r>
      </text>
    </comment>
    <comment ref="E44" authorId="0" shapeId="0" xr:uid="{00000000-0006-0000-0A00-000010000000}">
      <text>
        <r>
          <rPr>
            <b/>
            <sz val="8"/>
            <color indexed="81"/>
            <rFont val="Tahoma"/>
            <family val="2"/>
          </rPr>
          <t xml:space="preserve">PARA DETERMINAR LA PARTE EXENTA DE ESTE CONCEPTO SE DEBE REGISTRAR UN VALOR EN LA CELDA C24 DE ESTE APLICATIVO DE LO CONTRARIO SE TOMARA TODO EXENTO
ARTÍCULO 207-1. Exención de cesantías pagadas por fondos de cesantías. Cuando el fondo pague las cesantías, éstas serán exentas de acuerdo con lo previsto en el numeral 4 del artículo 206.
</t>
        </r>
        <r>
          <rPr>
            <sz val="8"/>
            <color indexed="81"/>
            <rFont val="Tahoma"/>
            <family val="2"/>
          </rPr>
          <t xml:space="preserve">
</t>
        </r>
      </text>
    </comment>
    <comment ref="B51" authorId="5" shapeId="0" xr:uid="{00000000-0006-0000-0A00-000011000000}">
      <text>
        <r>
          <rPr>
            <b/>
            <sz val="9"/>
            <color indexed="81"/>
            <rFont val="Tahoma"/>
            <family val="2"/>
          </rPr>
          <t xml:space="preserve">ART 206 E.T.
PARÁGRAFO 5o. 
La exención prevista en el numeral 10 también procede en relación con las rentas de trabajo que no provengan de una relación laboral o legal y reglamentaria.
ART 336 E.T.
INC 2 DEL NUM 4
En estos mismos términos también se podrán restar los costos y los gastos asociados a rentas de trabajo que no provengan de una relación laboral o legal y reglamentaria, caso en el cual los contribuyentes deberán optar entre restar los costos y gastos procedentes o la renta exenta prevista en el numeral 10 del artículo 206 del Estatuto Tributario conforme con lo dispuesto en el parágrafo 5 del mismo artículo.
</t>
        </r>
        <r>
          <rPr>
            <sz val="9"/>
            <color indexed="81"/>
            <rFont val="Tahoma"/>
            <family val="2"/>
          </rPr>
          <t xml:space="preserve">
</t>
        </r>
      </text>
    </comment>
    <comment ref="D61" authorId="6" shapeId="0" xr:uid="{00000000-0006-0000-0A00-000012000000}">
      <text>
        <r>
          <rPr>
            <b/>
            <sz val="8"/>
            <color indexed="81"/>
            <rFont val="Tahoma"/>
            <family val="2"/>
          </rPr>
          <t>Colossus User:</t>
        </r>
        <r>
          <rPr>
            <sz val="8"/>
            <color indexed="81"/>
            <rFont val="Tahoma"/>
            <family val="2"/>
          </rPr>
          <t xml:space="preserve">
RESPONDA </t>
        </r>
        <r>
          <rPr>
            <b/>
            <sz val="8"/>
            <color indexed="81"/>
            <rFont val="Tahoma"/>
            <family val="2"/>
          </rPr>
          <t>S</t>
        </r>
        <r>
          <rPr>
            <sz val="8"/>
            <color indexed="81"/>
            <rFont val="Tahoma"/>
            <family val="2"/>
          </rPr>
          <t xml:space="preserve"> SI CONSTITUYE GANANCIA OCASIONAL
RESPONDA </t>
        </r>
        <r>
          <rPr>
            <b/>
            <sz val="8"/>
            <color indexed="81"/>
            <rFont val="Tahoma"/>
            <family val="2"/>
          </rPr>
          <t>N</t>
        </r>
        <r>
          <rPr>
            <sz val="8"/>
            <color indexed="81"/>
            <rFont val="Tahoma"/>
            <family val="2"/>
          </rPr>
          <t xml:space="preserve"> NO CONSTITUYE GANANCIA OCASIONAL</t>
        </r>
      </text>
    </comment>
    <comment ref="B67" authorId="5" shapeId="0" xr:uid="{00000000-0006-0000-0A00-000013000000}">
      <text>
        <r>
          <rPr>
            <b/>
            <sz val="9"/>
            <color indexed="81"/>
            <rFont val="Tahoma"/>
            <family val="2"/>
          </rPr>
          <t>ARTICULO 307. GANANCIAS OCASIONALES EXENTAS. Las ganancias ocasionales que se enumeran a continuación están exentas del impuesto a las ganancias ocasionales:
1. El equivalente a las primeras trece mil (13.000) UVT del valor de un inmueble de vivienda de habitación de propiedad del causante.</t>
        </r>
        <r>
          <rPr>
            <sz val="9"/>
            <color indexed="81"/>
            <rFont val="Tahoma"/>
            <family val="2"/>
          </rPr>
          <t xml:space="preserve">
</t>
        </r>
        <r>
          <rPr>
            <b/>
            <sz val="9"/>
            <color indexed="81"/>
            <rFont val="Tahoma"/>
            <family val="2"/>
          </rPr>
          <t xml:space="preserve">NOTA:
SI LOS HEREDEROS Y/O LEGATARIOS QUE RECIBAN VARIOS INMUEBLES DE VIVIENDA URBANA DEBEN DETERMINAR CUAL ES EL QUE SE LE APLICA LA EXENCION, YA QUE LOS OTROS INMUEBLES SE LES APLICA:
 . EL NUMERAL 3 SI SON HEREDEROS
 . EL NUMERAL 4 SI SON LEGATARIOS </t>
        </r>
      </text>
    </comment>
    <comment ref="B69" authorId="5" shapeId="0" xr:uid="{00000000-0006-0000-0A00-000014000000}">
      <text>
        <r>
          <rPr>
            <b/>
            <sz val="9"/>
            <color indexed="81"/>
            <rFont val="Tahoma"/>
            <family val="2"/>
          </rPr>
          <t xml:space="preserve">ARTICULO 307. GANANCIAS OCASIONALES EXENTAS. Las ganancias ocasionales que se enumeran a continuación están exentas del impuesto a las ganancias ocasionales:
2. El equivalente a las primeras seis mil quinientas (6.500) UVT de bienes inmuebles diferentes a la vivienda de habitación de propiedad del causante. 
NOTA:
SI LOS HEREDEROS Y/O LEGATARIOS QUE RECIBAN VARIOS INMUEBLES DIFERENTES A VIVIENDA DE HABITACION DEL CAUSANTE DEBEN DETERMINAR CUAL ES EL QUE SE LE APLICA LA EXENCION, YA QUE LOS OTROS INMUEBLES SE LES APLICA:
 . EL NUMERAL 3 SI SON HEREDEROS
 . EL NUMERAL 4 SI SON LEGATARIOS </t>
        </r>
        <r>
          <rPr>
            <sz val="9"/>
            <color indexed="81"/>
            <rFont val="Tahoma"/>
            <family val="2"/>
          </rPr>
          <t xml:space="preserve">
</t>
        </r>
      </text>
    </comment>
    <comment ref="B72" authorId="0" shapeId="0" xr:uid="{00000000-0006-0000-0A00-000015000000}">
      <text>
        <r>
          <rPr>
            <b/>
            <sz val="8"/>
            <color indexed="81"/>
            <rFont val="Tahoma"/>
            <family val="2"/>
          </rPr>
          <t xml:space="preserve">Parágrafo 2 del artículo 67 de la ley 388 de 1997:
Artículo 67º.- Indemnización y forma de pago
Parágrafo 2º.- El ingreso obtenido por la enajenación de inmuebles a los cuales se refiere el presente Capítulo no constituye, para fines tributarios, renta gravable ni ganancia ocasional, siempre y cuando la negociación se realice por la vía de la enajenación voluntaria.
En el concepto # 070056 de 18 agosto de 2006, emitido por la división jurídica de la DIAN, ratifica lo anterior al establecer la vigencia del parágrafo 2 del artículo 67 de la ley 388 de 1997.
</t>
        </r>
        <r>
          <rPr>
            <sz val="8"/>
            <color indexed="81"/>
            <rFont val="Tahoma"/>
            <family val="2"/>
          </rPr>
          <t xml:space="preserve">
</t>
        </r>
      </text>
    </comment>
    <comment ref="E79" authorId="2" shapeId="0" xr:uid="{00000000-0006-0000-0A00-000016000000}">
      <text>
        <r>
          <rPr>
            <b/>
            <sz val="9"/>
            <color indexed="81"/>
            <rFont val="Tahoma"/>
            <family val="2"/>
          </rPr>
          <t>PARA DETERMINAR LA PARTE EXENTA DE ESTE CONCEPTO DEBE REGISTRAR UN VALOR EN LA CELDA C24 DE ESTE APLICATIVO DE LO CONTRARIO SE TOMARA TODO EXENTO</t>
        </r>
      </text>
    </comment>
    <comment ref="D80" authorId="0" shapeId="0" xr:uid="{00000000-0006-0000-0A00-000017000000}">
      <text>
        <r>
          <rPr>
            <b/>
            <sz val="14"/>
            <color indexed="81"/>
            <rFont val="Tahoma"/>
            <family val="2"/>
          </rPr>
          <t>RESPONDA
PERMANECIO POR MAS DE 10 AÑOS EN EL FONDO</t>
        </r>
        <r>
          <rPr>
            <sz val="14"/>
            <color indexed="81"/>
            <rFont val="Tahoma"/>
            <family val="2"/>
          </rPr>
          <t xml:space="preserve">
</t>
        </r>
      </text>
    </comment>
    <comment ref="D82" authorId="7" shapeId="0" xr:uid="{5E548F4C-AD74-4136-B6D7-45C20114996B}">
      <text>
        <r>
          <rPr>
            <b/>
            <sz val="9"/>
            <color indexed="81"/>
            <rFont val="Tahoma"/>
            <family val="2"/>
          </rPr>
          <t xml:space="preserve">Ir a la hoja:
DIVIDENDOS INCISO 2 ART 242 E.T. </t>
        </r>
        <r>
          <rPr>
            <sz val="9"/>
            <color indexed="81"/>
            <rFont val="Tahoma"/>
            <family val="2"/>
          </rPr>
          <t xml:space="preserve">
</t>
        </r>
      </text>
    </comment>
    <comment ref="D105" authorId="0" shapeId="0" xr:uid="{00000000-0006-0000-0A00-00001800000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06" authorId="0" shapeId="0" xr:uid="{00000000-0006-0000-0A00-000019000000}">
      <text>
        <r>
          <rPr>
            <b/>
            <sz val="8"/>
            <color indexed="81"/>
            <rFont val="Tahoma"/>
            <family val="2"/>
          </rPr>
          <t>E79 LO DIVIDIMOS ENTRE
(E33+E72+E42-SUMA(E46:E54)-SUMA(E58:E62)</t>
        </r>
      </text>
    </comment>
    <comment ref="D109" authorId="0" shapeId="0" xr:uid="{00000000-0006-0000-0A00-00001A00000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11" authorId="0" shapeId="0" xr:uid="{00000000-0006-0000-0A00-00001B000000}">
      <text>
        <r>
          <rPr>
            <b/>
            <sz val="8"/>
            <color indexed="81"/>
            <rFont val="Tahoma"/>
            <family val="2"/>
          </rPr>
          <t>E79 LO DIVIDIMOS ENTRE
(E33+E72+E42-SUMA(E46:E54)-SUMA(E58:E62)</t>
        </r>
      </text>
    </comment>
    <comment ref="C117" authorId="3" shapeId="0" xr:uid="{65FFBF21-57DA-4D25-9878-789B76CE141B}">
      <text>
        <r>
          <rPr>
            <b/>
            <sz val="9"/>
            <color indexed="81"/>
            <rFont val="Tahoma"/>
            <family val="2"/>
          </rPr>
          <t>Los pagos efectuados a terceras personas iguales o inferiores a 41 UVT por concepto de alimentación del trabajador o de su familia cuyo salario mensual no exceda de 310 UVT, no deberán ser incluidos como ingresos no constitutivos siempre y cuando el empleador no los hubiese reportado en la casilla 36 (Pagos por salarios) en el formato 220 (Certificado de ingresos y retenciones por rentas de trabajo y de pensiones).</t>
        </r>
        <r>
          <rPr>
            <sz val="9"/>
            <color indexed="81"/>
            <rFont val="Tahoma"/>
            <family val="2"/>
          </rPr>
          <t xml:space="preserve">
</t>
        </r>
      </text>
    </comment>
    <comment ref="D117" authorId="6" shapeId="0" xr:uid="{00000000-0006-0000-0A00-00001C000000}">
      <text>
        <r>
          <rPr>
            <sz val="8"/>
            <color indexed="81"/>
            <rFont val="Tahoma"/>
            <family val="2"/>
          </rPr>
          <t>RESPONDA S PARA DECIR SI
RESPONDA N PARA DECIR NO</t>
        </r>
      </text>
    </comment>
    <comment ref="B118" authorId="5" shapeId="0" xr:uid="{00000000-0006-0000-0A00-00001D000000}">
      <text>
        <r>
          <rPr>
            <b/>
            <sz val="9"/>
            <color indexed="81"/>
            <rFont val="Tahoma"/>
            <family val="2"/>
          </rPr>
          <t>SE DEBE DISCRIMINAR EL APORTE OBLIGATORIO EN SALUD DEPENDIENDO DE LA RENTA</t>
        </r>
        <r>
          <rPr>
            <sz val="9"/>
            <color indexed="81"/>
            <rFont val="Tahoma"/>
            <family val="2"/>
          </rPr>
          <t xml:space="preserve">
</t>
        </r>
      </text>
    </comment>
    <comment ref="B121" authorId="5" shapeId="0" xr:uid="{00000000-0006-0000-0A00-00001E000000}">
      <text>
        <r>
          <rPr>
            <b/>
            <sz val="9"/>
            <color indexed="81"/>
            <rFont val="Tahoma"/>
            <family val="2"/>
          </rPr>
          <t>SE DEBE DISCRIMINAR EL APORTE OBLIGATORIO EN PENSION DEPENDIENDO DE LA RENTA</t>
        </r>
        <r>
          <rPr>
            <sz val="9"/>
            <color indexed="81"/>
            <rFont val="Tahoma"/>
            <family val="2"/>
          </rPr>
          <t xml:space="preserve">
</t>
        </r>
      </text>
    </comment>
    <comment ref="D121" authorId="7" shapeId="0" xr:uid="{F879C12C-C3BA-493A-A0BE-ACD992F03B8E}">
      <text>
        <r>
          <rPr>
            <b/>
            <sz val="9"/>
            <color indexed="81"/>
            <rFont val="Tahoma"/>
            <family val="2"/>
          </rPr>
          <t>Fondo de Solidaridad pensional</t>
        </r>
      </text>
    </comment>
    <comment ref="B124" authorId="5" shapeId="0" xr:uid="{37ED9798-94D3-4385-8FC7-A32891BA2366}">
      <text>
        <r>
          <rPr>
            <b/>
            <sz val="9"/>
            <color indexed="81"/>
            <rFont val="Tahoma"/>
            <family val="2"/>
          </rPr>
          <t>SE DEBE DISCRIMINAR EL APORTE OBLIGATORIO EN PENSION DEPENDIENDO DE LA RENTA</t>
        </r>
        <r>
          <rPr>
            <sz val="9"/>
            <color indexed="81"/>
            <rFont val="Tahoma"/>
            <family val="2"/>
          </rPr>
          <t xml:space="preserve">
</t>
        </r>
      </text>
    </comment>
    <comment ref="B127" authorId="0" shapeId="0" xr:uid="{00000000-0006-0000-0A00-00001F000000}">
      <text>
        <r>
          <rPr>
            <b/>
            <sz val="8"/>
            <color indexed="81"/>
            <rFont val="Tahoma"/>
            <family val="2"/>
          </rPr>
          <t xml:space="preserve">ARTÍCULO 52. INCENTIVO A LA CAPITALIZACIÓN RURAL (ICR). 
El Incentivo a la Capitalización Rural (ICR) previsto en la Ley 101 de 1993, no constituye renta ni ganancia ocasional.
</t>
        </r>
        <r>
          <rPr>
            <sz val="8"/>
            <color indexed="81"/>
            <rFont val="Tahoma"/>
            <family val="2"/>
          </rPr>
          <t xml:space="preserve">
</t>
        </r>
      </text>
    </comment>
    <comment ref="B129" authorId="0" shapeId="0" xr:uid="{00000000-0006-0000-0A00-000020000000}">
      <text>
        <r>
          <rPr>
            <b/>
            <sz val="8"/>
            <color indexed="81"/>
            <rFont val="Tahoma"/>
            <family val="2"/>
          </rPr>
          <t xml:space="preserve">ARTÍCULO 47-1. Adicionado. Ley 223/1995, Art. 248. Donaciones para partidos, movimientos y campañas políticas. Las sumas que las personas naturales reciban de terceros, sean éstos personas naturales o jurídicas, destinadas en forma exclusiva a financiar el funcionamiento de partidos, movimientos políticos y grupos sociales que postulen candidatos y las que con el mismo fin reciban los candidatos cabezas de listas para la financiación de las campañas políticas para las elecciones populares previstas en la Constitución Nacional, no constituyen renta ni ganancia ocasional para el beneficiario si se demuestra que han sido utilizadas en estas actividades.
</t>
        </r>
        <r>
          <rPr>
            <sz val="8"/>
            <color indexed="81"/>
            <rFont val="Tahoma"/>
            <family val="2"/>
          </rPr>
          <t xml:space="preserve">
</t>
        </r>
      </text>
    </comment>
    <comment ref="B130" authorId="0" shapeId="0" xr:uid="{00000000-0006-0000-0A00-000021000000}">
      <text>
        <r>
          <rPr>
            <b/>
            <sz val="8"/>
            <color indexed="81"/>
            <rFont val="Tahoma"/>
            <family val="2"/>
          </rPr>
          <t xml:space="preserve">ARTÍCULO 47. Los gananciales. No constituye ganancia ocasional lo que se recibiere por concepto de gananciales, pero sí lo percibido como porción conyugal.
</t>
        </r>
        <r>
          <rPr>
            <sz val="8"/>
            <color indexed="81"/>
            <rFont val="Tahoma"/>
            <family val="2"/>
          </rPr>
          <t xml:space="preserve">
</t>
        </r>
      </text>
    </comment>
    <comment ref="D131" authorId="2" shapeId="0" xr:uid="{00000000-0006-0000-0A00-000022000000}">
      <text>
        <r>
          <rPr>
            <b/>
            <sz val="9"/>
            <color indexed="81"/>
            <rFont val="Tahoma"/>
            <family val="2"/>
          </rPr>
          <t>RESPONDA:
"S" SI CUMPLIO CON EL ART 45 E.T.</t>
        </r>
        <r>
          <rPr>
            <sz val="9"/>
            <color indexed="81"/>
            <rFont val="Tahoma"/>
            <family val="2"/>
          </rPr>
          <t xml:space="preserve">
"N" NO CUMPLIO CON EL ART 45 E.T.</t>
        </r>
      </text>
    </comment>
    <comment ref="B133" authorId="0" shapeId="0" xr:uid="{00000000-0006-0000-0A00-000023000000}">
      <text>
        <r>
          <rPr>
            <b/>
            <sz val="8"/>
            <color indexed="81"/>
            <rFont val="Tahoma"/>
            <family val="2"/>
          </rPr>
          <t xml:space="preserve">ARTÍCULO 38. El componente inflacionario de los rendimientos financieros percibidos por personas naturales y sucesiones ilíquidas. No constituye renta ni ganancia ocasional la parte que corresponda al componente inflacionario de los rendimientos financieros percibidos por personas naturales y sucesiones ilíquidas, que provengan de:
a. Entidades que estando sometidas a inspección y vigilancia de la Superintendencia Bancaria (Hoy Superintendencia Financiera de Colombia. Decreto 4327/2005, Art. 1) tengan por objeto propio intermediar en el mercado de recursos financieros
Inciso. Adicionado Ley 223/1995, Art. 262. Entidades vigiladas por el Departamento Administrativo Nacional de Cooperativas (Hoy Superintendencia de la Economía Solidaria. Ley 454/1998, Art. 33);
b. Títulos de deuda pública, y
c. Bonos y papeles comerciales de sociedades anónimas cuya emisión u oferta haya sido autorizada por la Comisión Nacional de Valores (Hoy Superintendencia Financiera de Colombia. Decreto 4327/2005, Art. 1).
</t>
        </r>
      </text>
    </comment>
    <comment ref="E133" authorId="5" shapeId="0" xr:uid="{00000000-0006-0000-0A00-000024000000}">
      <text>
        <r>
          <rPr>
            <b/>
            <sz val="9"/>
            <color indexed="81"/>
            <rFont val="Tahoma"/>
            <family val="2"/>
          </rPr>
          <t xml:space="preserve">DECRETO 569 DE 2018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2017, las utilidades que los fondos mutuos de inversión, fondos de inversión y fondos de valores distribuyan o abonen en cuenta a sus afiliados, personas naturales y sucesiones ilíquidas, </t>
        </r>
        <r>
          <rPr>
            <b/>
            <u/>
            <sz val="12"/>
            <color indexed="81"/>
            <rFont val="Tahoma"/>
            <family val="2"/>
          </rPr>
          <t>no obligadas a llevar contabilidad</t>
        </r>
        <r>
          <rPr>
            <b/>
            <sz val="9"/>
            <color indexed="81"/>
            <rFont val="Tahoma"/>
            <family val="2"/>
          </rPr>
          <t xml:space="preserve">, no constituye renta ni ganancia ocasional el sesenta y cuatro punto veintiuno por ciento (64.21 %), del valor de los rendimientos financieros recibidos por el fondo, correspondiente al componente inflacionario, de acuerdo con lo dispuesto en los artículos 39, 40-1 Y 41 del Estatuto Tributario."
</t>
        </r>
        <r>
          <rPr>
            <b/>
            <sz val="12"/>
            <color indexed="81"/>
            <rFont val="Tahoma"/>
            <family val="2"/>
          </rPr>
          <t xml:space="preserve">
SE DEBE CONTESTAR LA CASILLA E5 </t>
        </r>
      </text>
    </comment>
    <comment ref="B141" authorId="0" shapeId="0" xr:uid="{00000000-0006-0000-0A00-00002500000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D141" authorId="2" shapeId="0" xr:uid="{00000000-0006-0000-0A00-000026000000}">
      <text>
        <r>
          <rPr>
            <b/>
            <sz val="9"/>
            <color indexed="81"/>
            <rFont val="Tahoma"/>
            <family val="2"/>
          </rPr>
          <t>RESPONDER:
"S"
SISTEMA PERMANENTE
"N"
JUEGO DE INVENTARIO</t>
        </r>
        <r>
          <rPr>
            <sz val="9"/>
            <color indexed="81"/>
            <rFont val="Tahoma"/>
            <family val="2"/>
          </rPr>
          <t xml:space="preserve">
</t>
        </r>
      </text>
    </comment>
    <comment ref="B151" authorId="0" shapeId="0" xr:uid="{00000000-0006-0000-0A00-00002700000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B159" authorId="0" shapeId="0" xr:uid="{00000000-0006-0000-0A00-000028000000}">
      <text>
        <r>
          <rPr>
            <sz val="8"/>
            <color indexed="81"/>
            <rFont val="Tahoma"/>
            <family val="2"/>
          </rPr>
          <t xml:space="preserve">ARTÍCULO 95. RENTA BRUTA ESPECIAL EN LA ENAJENACIÓN DE ACTIVOS BIOLÓGICOS. &lt;Artículo adicionado por el artículo 57 de la Ley 1819 de 2016. El nuevo texto es el siguiente:&gt; La renta bruta especial en la enajenación de activos biológicos será la siguiente:
1. Para los obligados a llevar contabilidad se determina por la diferencia entre el ingreso realizado y los costos determinados de acuerdo con los artículos anteriores.
2. Para los no obligados a llevar contabilidad se determina por la diferencia entre el ingreso realizado y el costo de los activos biológicos. Para este efecto, el costo de los activos biológicos corresponde a los costos realizados por concepto de adquisición más costos de transformación, costos de siembra, los de cultivo, recolección, faena, entre otros asociados a la actividad económica y los efectuados para poner los productos en el lugar de su expendio, utilización o beneficio, debidamente soportados..
</t>
        </r>
      </text>
    </comment>
    <comment ref="B166" authorId="0" shapeId="0" xr:uid="{00000000-0006-0000-0A00-000029000000}">
      <text>
        <r>
          <rPr>
            <b/>
            <sz val="8"/>
            <color indexed="81"/>
            <rFont val="Tahoma"/>
            <family val="2"/>
          </rPr>
          <t>ARTÍCULO 92. ACTIVOS BIOLÓGICOS. &lt;Artículo adicionado por el artículo 57 de la Ley 1819 de 2016. El nuevo texto es el siguiente:&gt; Los activos biológicos, plantas o animales, se dividen en:
1. Productores porque cumplen con las siguientes características:
a) Se utiliza en la producción o suministro de productos agrícolas o pecuarios;
b) Se espera que produzca durante más de un periodo;
c) Existe una probabilidad remota de que sea vendida como producto agropecuario excepto por ventas incidentales de raleos y podas.
2. Consumibles porque proceden de activos biológicos productores o cuyo ciclo de producción sea inferior a un año y su vocación es ser:
a) Enajenados en el giro ordinario de los negocios, o
b) Consumidos por el mismo contribuyente, lo cual comprende el proceso de transformación posterior</t>
        </r>
      </text>
    </comment>
    <comment ref="D219" authorId="7" shapeId="0" xr:uid="{20B25ED3-E55A-4924-941A-C25E2A47F029}">
      <text>
        <r>
          <rPr>
            <sz val="9"/>
            <color indexed="81"/>
            <rFont val="Tahoma"/>
            <charset val="1"/>
          </rPr>
          <t xml:space="preserve">Componente Inflacionario
</t>
        </r>
      </text>
    </comment>
    <comment ref="B228" authorId="0" shapeId="0" xr:uid="{00000000-0006-0000-0A00-00002C000000}">
      <text>
        <r>
          <rPr>
            <b/>
            <sz val="8"/>
            <color indexed="81"/>
            <rFont val="Tahoma"/>
            <family val="2"/>
          </rPr>
          <t xml:space="preserve">ARTÍCULO 115. Deducción de impuestos pagados. Es deducible el cien por ciento (100%) de los impuestos de industria y comercio, avisos y tableros y predial, que efectivamente se hayan pagado durante el año o período gravable siempre y cuando tengan relación de causalidad con la actividad económica del contribuyente. La deducción de que trata el presente artículo en ningún caso podrá tratarse simultáneamente como costo y gasto de la respectiva empresa.
</t>
        </r>
        <r>
          <rPr>
            <sz val="8"/>
            <color indexed="81"/>
            <rFont val="Tahoma"/>
            <family val="2"/>
          </rPr>
          <t xml:space="preserve">
</t>
        </r>
      </text>
    </comment>
    <comment ref="B240" authorId="0" shapeId="0" xr:uid="{00000000-0006-0000-0A00-00002D000000}">
      <text>
        <r>
          <rPr>
            <b/>
            <sz val="8"/>
            <color indexed="81"/>
            <rFont val="Tahoma"/>
            <family val="2"/>
          </rPr>
          <t>ART 332 E.T.
e. Los pagos catastróficos en salud efectivamente certificados, no cubiertos por el plan obligatorio de salud POS, de cualquier régimen, o por los planes complementarios y de medicina prepagada, siempre que superen el 30% del ingreso bruto del contribuyente en el respectivo año o período gravable. La deducción anual de los pagos está limitada al menor valor entre el 60% del ingreso bruto del contribuyente en el respectivo período o 2.300 UVT*.
Es deduccible Para las persona que calsifican como empleado, no aplica Para Depuracion Ordinaria</t>
        </r>
        <r>
          <rPr>
            <sz val="8"/>
            <color indexed="81"/>
            <rFont val="Tahoma"/>
            <family val="2"/>
          </rPr>
          <t xml:space="preserve">
</t>
        </r>
      </text>
    </comment>
    <comment ref="D243" authorId="0" shapeId="0" xr:uid="{00000000-0006-0000-0A00-00002E000000}">
      <text>
        <r>
          <rPr>
            <sz val="8"/>
            <color indexed="81"/>
            <rFont val="Tahoma"/>
            <family val="2"/>
          </rPr>
          <t xml:space="preserve">ART 3 DECRETO xxxx DE 2024 No constituye  costo  ni  deducción  para  el  año  gravable 2023,  según  lo  señalado  en  los artículos 41,  81,  81-1  Y 118  del  Estatuto Tributario,  el  treinta y cuatro  punto cuarenta  por ciento (34,40%)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D244" authorId="0" shapeId="0" xr:uid="{00000000-0006-0000-0A00-00002F000000}">
      <text>
        <r>
          <rPr>
            <sz val="8"/>
            <color indexed="81"/>
            <rFont val="Tahoma"/>
            <family val="2"/>
          </rPr>
          <t xml:space="preserve">ART 3 DECRETO xxx DE 2024
No constituye  costo  ni  deducción  para  el  año  gravable 2023,  según  lo  señalado  en  los artículos 41,  81,  81-1  Y 118  del  Estatuto Tributario,  el  once  punto cero  cinco  por ciento (34,40%)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B245" authorId="0" shapeId="0" xr:uid="{00000000-0006-0000-0A00-000030000000}">
      <text>
        <r>
          <rPr>
            <b/>
            <sz val="8"/>
            <color indexed="81"/>
            <rFont val="Tahoma"/>
            <family val="2"/>
          </rPr>
          <t>ART 8 DECRETO 3750 DE 1986
La  deducción  prevista  en  el  artículo  anterior  en  el  caso  de  que  el crédito  haya  sido  otorgado  a  varias  personas,  se  aplicará  proporcionalmente  a cada  una  de  ellas.  Cuando  el  crédito  fuere  otorgado  a  ambos  cónyuges,  la deducción podrá ser solicitada en su totalidad en cabeza de uno de ellos siempre y cuando manifieste en su solicitud que el otro cónyuge no la ha solicitado. En el caso de los trabajadores que laboren para más de un patrono esta deducción sólo podrá ser solicitada ante uno de ellos.</t>
        </r>
        <r>
          <rPr>
            <sz val="8"/>
            <color indexed="81"/>
            <rFont val="Tahoma"/>
            <family val="2"/>
          </rPr>
          <t xml:space="preserve">
LIMITE DE 1,200 UVT SEGUN DECRETO 4711 DE 2005, ACTUALIZADO ART 51 DE LA LEY 1111 DE 2006</t>
        </r>
      </text>
    </comment>
    <comment ref="B247" authorId="7" shapeId="0" xr:uid="{0A4C27CE-79D8-49FE-8337-0AF59FC5B595}">
      <text>
        <r>
          <rPr>
            <b/>
            <sz val="9"/>
            <color indexed="81"/>
            <rFont val="Tahoma"/>
            <family val="2"/>
          </rPr>
          <t xml:space="preserve">PARA LA OPERATIVIDAD DEL APLICATIVO, ESTA VARIABLE SE TOMARA DE LA HOJA "RELACION DE DEPENDIENTES", YA QUE EN EL FORMULARIO DE LA DECLARACION EN LA HOJA DE RELACION DE LOS DEPENDIENTES DEL ART 387 E.T. NO APLICA </t>
        </r>
        <r>
          <rPr>
            <sz val="9"/>
            <color indexed="81"/>
            <rFont val="Tahoma"/>
            <family val="2"/>
          </rPr>
          <t xml:space="preserve">
</t>
        </r>
      </text>
    </comment>
    <comment ref="C247" authorId="0" shapeId="0" xr:uid="{00000000-0006-0000-0A00-000031000000}">
      <text>
        <r>
          <rPr>
            <b/>
            <sz val="8"/>
            <color indexed="81"/>
            <rFont val="Tahoma"/>
            <family val="2"/>
          </rPr>
          <t>ART. 387 E.T.
El trabajador podrá disminuir de su base de retención lo dispuesto en el inciso anterior; los pagos por salud, siempre que el valor a disminuir mensualmente, en este último caso, no supere 16 UVT* mensuales; y una deducción mensual de hasta el 10% del total de los ingresos brutos provenientes de la relación laboral o legal y reglamentaria del respectivo mes por concepto de dependientes, hasta un máximo de 32 UVT* mensuales. Las deducciones establecidas en este artículo se tendrán en cuenta en la declaración ordinaria del Impuesto sobre la Renta.</t>
        </r>
        <r>
          <rPr>
            <sz val="8"/>
            <color indexed="81"/>
            <rFont val="Tahoma"/>
            <family val="2"/>
          </rPr>
          <t xml:space="preserve">
</t>
        </r>
      </text>
    </comment>
    <comment ref="E247" authorId="0" shapeId="0" xr:uid="{00000000-0006-0000-0A00-000032000000}">
      <text>
        <r>
          <rPr>
            <sz val="14"/>
            <color indexed="81"/>
            <rFont val="Tahoma"/>
            <family val="2"/>
          </rPr>
          <t xml:space="preserve">SE RESPONDE DE ACUERDO A LA HOJA RELACION DEPENDIENTES:
</t>
        </r>
        <r>
          <rPr>
            <sz val="8"/>
            <color indexed="81"/>
            <rFont val="Tahoma"/>
            <family val="2"/>
          </rPr>
          <t xml:space="preserve">
</t>
        </r>
      </text>
    </comment>
    <comment ref="D248" authorId="7" shapeId="0" xr:uid="{02A65AE0-CF80-4B4D-8415-0F95046C092B}">
      <text>
        <r>
          <rPr>
            <b/>
            <sz val="9"/>
            <color indexed="81"/>
            <rFont val="Tahoma"/>
            <charset val="1"/>
          </rPr>
          <t>DEBE COINCIDIR CON CELDA C29 DE LA HOJA: RELACION DE DEPENDIENTES, DEBE LLENAR LA INFORMACION DE ESTA HOJA PARA QUE APLIQUE ESTA DEDUCCION</t>
        </r>
        <r>
          <rPr>
            <sz val="9"/>
            <color indexed="81"/>
            <rFont val="Tahoma"/>
            <charset val="1"/>
          </rPr>
          <t xml:space="preserve">
</t>
        </r>
      </text>
    </comment>
    <comment ref="B249" authorId="7" shapeId="0" xr:uid="{082EC3B7-86DA-4579-BD1E-7EDEA22A85CE}">
      <text>
        <r>
          <rPr>
            <sz val="9"/>
            <color indexed="81"/>
            <rFont val="Tahoma"/>
            <charset val="1"/>
          </rPr>
          <t xml:space="preserve">Registrar el valor certificado por la(s) Entidades Financeiras
</t>
        </r>
      </text>
    </comment>
    <comment ref="B254" authorId="7" shapeId="0" xr:uid="{28BEF3C3-F0A9-4FC3-8F99-A44B25B281A9}">
      <text>
        <r>
          <rPr>
            <b/>
            <sz val="9"/>
            <color indexed="81"/>
            <rFont val="Tahoma"/>
            <family val="2"/>
          </rPr>
          <t xml:space="preserve">ART 11 LEY 1715 DE 2014
Modificado art 175 ley 1955 de 2019
</t>
        </r>
        <r>
          <rPr>
            <sz val="9"/>
            <color indexed="81"/>
            <rFont val="Tahoma"/>
            <family val="2"/>
          </rPr>
          <t xml:space="preserve">
</t>
        </r>
      </text>
    </comment>
    <comment ref="B256" authorId="7" shapeId="0" xr:uid="{8FD19C9C-A4E9-4B8A-8F13-CB41FE75C332}">
      <text>
        <r>
          <rPr>
            <sz val="9"/>
            <color indexed="81"/>
            <rFont val="Tahoma"/>
            <family val="2"/>
          </rPr>
          <t xml:space="preserve">REGISTRE EL VALOR DE COMPRA
</t>
        </r>
      </text>
    </comment>
    <comment ref="E286" authorId="0" shapeId="0" xr:uid="{00000000-0006-0000-0A00-000033000000}">
      <text>
        <r>
          <rPr>
            <b/>
            <sz val="7"/>
            <color indexed="81"/>
            <rFont val="Tahoma"/>
            <family val="2"/>
          </rPr>
          <t>Este despacho mediante Concepto No. 017651 del 2000, señaló respecto del inciso 3 del artículo 126-1 del Estatuto Tributario lo siguiente: (…) 
La norma citada señala como ingreso no gravado el 30% del ingreso laboral o ingreso tributario según el caso, es de entender que se distingue cuando se trata de aportes voluntarios efectuados por asalariados y trabajadores independientes. Para      los asalariados constituye ingreso no gravado el 30% del ingreso laboral, decir, el cómputo se realiza sobre los ingresos derivados de un contrato laboral o de una relación legal o reglamentaria. Para los profesionales independientes el mencionado porcentaje se calcula sobre los ingresos tributarios del año.</t>
        </r>
        <r>
          <rPr>
            <b/>
            <sz val="8"/>
            <color indexed="81"/>
            <rFont val="Tahoma"/>
            <family val="2"/>
          </rPr>
          <t xml:space="preserve">
</t>
        </r>
        <r>
          <rPr>
            <sz val="8"/>
            <color indexed="81"/>
            <rFont val="Tahoma"/>
            <family val="2"/>
          </rPr>
          <t xml:space="preserve">
Así las cosas, no se pueden sumar los ingresos laborales e ingresos por otros conceptos como base para determinar el cálculo del 30% como ingreso no constitutivo de renta ni de ganancia ocasional cuando se realizan aportes voluntarios por asalariados a los fondos de pensiones de jubilación e invalidez, a los fondos de pensiones de que trata el D. 2513 de 1987, a los seguros privados de pensiones y a los fondos privados de pensiones en general. Se deben tomar, únicamente, los ingresos generados en la relación laboral.</t>
        </r>
      </text>
    </comment>
    <comment ref="B294" authorId="0" shapeId="0" xr:uid="{00000000-0006-0000-0A00-000034000000}">
      <text>
        <r>
          <rPr>
            <b/>
            <sz val="8"/>
            <color indexed="81"/>
            <rFont val="Tahoma"/>
            <family val="2"/>
          </rPr>
          <t xml:space="preserve">ARTÍCULO 303-1. GANANCIA OCASIONAL DERIVADA DE INDEMNIZACIONES POR CONCEPTO DE SEGUROS DE VIDA. &lt;Artículo modificado por el artículo 29 de la Ley 2277 de 2022. El nuevo texto es el siguiente:&gt;
Las indemnizaciones por seguros de vida están gravadas con la tarifa aplicable a las ganancias ocasionales, en el monto que supere tres mil doscientos cincuenta (3.250) UVT. El monto que no supere los tres mil doscientos cincuenta (3.250) UVT será considerado como una ganancia ocasional exenta.
</t>
        </r>
        <r>
          <rPr>
            <sz val="8"/>
            <color indexed="81"/>
            <rFont val="Tahoma"/>
            <family val="2"/>
          </rPr>
          <t xml:space="preserve">
</t>
        </r>
      </text>
    </comment>
    <comment ref="B295" authorId="0" shapeId="0" xr:uid="{00000000-0006-0000-0A00-00003500000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 Las indemnizaciones por accidente de trabajo o enfermedad.
2. Las indemnizaciones que impliquen protección a la maternidad.
3. Lo recibido por gastos de entierro del trabajador.
PARAGRAFO 1o. &lt;Parágrafo modificado por el artículo 96 de la Ley 223 de 1995. El nuevo texto es el siguiente:&gt; La exención prevista en los numerales 1, 2, 3, 4, y 6 de este artículo, opera únicamente sobre los valores que correspondan al mínimo legal de que tratan las normas laborales; el excedente no está exento del impuesto de renta y complementarios. </t>
        </r>
      </text>
    </comment>
    <comment ref="B299" authorId="0" shapeId="0" xr:uid="{00000000-0006-0000-0A00-000036000000}">
      <text>
        <r>
          <rPr>
            <b/>
            <sz val="7"/>
            <color indexed="81"/>
            <rFont val="Tahoma"/>
            <family val="2"/>
          </rPr>
          <t>ARTÍCULO 206. Rentas de trabajo exentas. Están gravados con el impuesto sobre la renta y complementarios la totalidad de los pagos o abonos en cuenta provenientes de la relación laboral o legal y reglamentaria, con excepción de los siguientes:
4. El auxilio de cesantía y los intereses sobre cesantías, siempre y cuando sean recibidas por trabajadores cuyo ingreso mensual promedio en los seis (6) últimos meses de vinculación laboral no exceda de 350 UVT*. Cuando el salario mensual promedio a que se refiere este numeral exceda de 350 UVT*, la parte no gravada se determinará así:</t>
        </r>
        <r>
          <rPr>
            <b/>
            <sz val="8"/>
            <color indexed="81"/>
            <rFont val="Tahoma"/>
            <family val="2"/>
          </rPr>
          <t xml:space="preserve">
SALARIO MENSUAL PROMEDIO
 PARTE NO GRAVADA
Entre 350 UVT* y 410 UVT*
UVT 2019, entre $11.994.500 y $14.050.700  el 90%
Entre 410 UVT* y 470 UVT*
UVT 2019, etre $14.050.700 y $16.106.900  el 80%
Entre 470 UVT* y 530 UVT*
UVT 2019, entre $16.106.900 y $18.163.100 el 60%
Entre 530 UVT* y 590 UVT*
UVT 2019, entre $18.163.100 y $20.219.300 el 40%
Entre 590 UVT* y 650 UVT*
UVT 2019, entre $20.219.300 y $22.275.500 el 20%
De 650 UVT* en adelante
UVT 2019, de $22.275.500 en adelante el 0%
</t>
        </r>
      </text>
    </comment>
    <comment ref="B301" authorId="0" shapeId="0" xr:uid="{00000000-0006-0000-0A00-00003700000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t>
        </r>
        <r>
          <rPr>
            <sz val="8"/>
            <color indexed="81"/>
            <rFont val="Tahoma"/>
            <family val="2"/>
          </rPr>
          <t xml:space="preserve">
5. Sustituido. Ley 223/1995, Art. 96. Las pensiones de jubilación, invalidez, vejez, de sobrevivientes y sobre riesgos profesionales, hasta el año gravable de 1997. A partir del 1º de enero de 1998 estarán gravadas sólo en la parte del pago mensual que exceda de 1.000 UVT*.
</t>
        </r>
      </text>
    </comment>
    <comment ref="B302" authorId="0" shapeId="0" xr:uid="{00000000-0006-0000-0A00-000038000000}">
      <text>
        <r>
          <rPr>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10. Modificado. Ley 1607/2012, Art. 6. El veinticinco por ciento (25%) del valor total de los pagos laborales, limitada mensualmente a 240 UVT*. El cálculo de esta renta exenta se efectuará una vez se detraiga del valor total de los pagos laborales recibidos por el trabajador, los ingresos no constitutivos de renta, las deducciones y las demás rentas exentas diferentes a la establecida en el presente numeral.
</t>
        </r>
      </text>
    </comment>
    <comment ref="B303" authorId="2" shapeId="0" xr:uid="{00000000-0006-0000-0A00-000039000000}">
      <text>
        <r>
          <rPr>
            <sz val="9"/>
            <color indexed="81"/>
            <rFont val="Tahoma"/>
            <family val="2"/>
          </rPr>
          <t xml:space="preserve">ART. 206 E.T.
Parágrafo 4°. La exención prevista en el numeral 10 procede también para las personas naturales clasificadas en la categoría de empleados cuyos pagos o abonos en cuenta no provengan de una relación laboral, o legal y reglamentaria, de conformidad con lo previsto en los artículos 329 y 383 del Estatuto Tributario. </t>
        </r>
        <r>
          <rPr>
            <u/>
            <sz val="9"/>
            <color indexed="81"/>
            <rFont val="Tahoma"/>
            <family val="2"/>
          </rPr>
          <t>Estos contribuyentes no podrán solicitar el reconocimiento fiscal de costos y gastos distintos de los permitidos a los trabajadores asalariados involucrados en la prestación de servicios personales o de la realización de actividades económicas por cuenta y riesgo del contratante</t>
        </r>
        <r>
          <rPr>
            <sz val="9"/>
            <color indexed="81"/>
            <rFont val="Tahoma"/>
            <family val="2"/>
          </rPr>
          <t xml:space="preserve">. Lo anterior no modificará el régimen del impuesto sobre las ventas aplicable a las personas naturales de que trata el presente parágrafo, ni afectará el derecho al descuento del impuesto sobre las ventas pagado en la adquisición de bienes corporales muebles y servicios, en los términos del artículo 488 del Estatuto Tributario, siempre y cuando se destinen a las operaciones gravadas con el impuesto sobre las ventas".
NOTA: La expresión subrayada fue declarada INEXEQUIBLE por la Corte Constitucional mediante sentencia C-668 de 2015.
</t>
        </r>
      </text>
    </comment>
    <comment ref="B308" authorId="0" shapeId="0" xr:uid="{00000000-0006-0000-0A00-00003A000000}">
      <text>
        <r>
          <rPr>
            <b/>
            <sz val="8"/>
            <color indexed="81"/>
            <rFont val="Tahoma"/>
            <family val="2"/>
          </rPr>
          <t xml:space="preserve">ARTICULO 307. GANANCIAS OCASIONALES EXENTAS. &lt;Artículo modificado por el artículo 30 de la Ley 2277 de 2022. El nuevo texto es el siguiente:&gt; Las ganancias ocasionales que se enumeran a continuación están exentas del impuesto a las ganancias ocasionales: 
1. El equivalente a las primeras trece mil (13.000) UVT del valor de un inmueble de vivienda de habitación de propiedad del causante. 
</t>
        </r>
        <r>
          <rPr>
            <sz val="8"/>
            <color indexed="81"/>
            <rFont val="Tahoma"/>
            <family val="2"/>
          </rPr>
          <t xml:space="preserve">
</t>
        </r>
      </text>
    </comment>
    <comment ref="B309" authorId="0" shapeId="0" xr:uid="{00000000-0006-0000-0A00-00003B000000}">
      <text>
        <r>
          <rPr>
            <b/>
            <sz val="8"/>
            <color indexed="81"/>
            <rFont val="Tahoma"/>
            <family val="2"/>
          </rPr>
          <t xml:space="preserve">ARTICULO 307. GANANCIAS OCASIONALES EXENTAS. &lt;Artículo modificado por el artículo 30 de la Ley 2277 de 2022. El nuevo texto es el siguiente:&gt; Las ganancias ocasionales que se enumeran a continuación están exentas del impuesto a las ganancias ocasionales: 
2. El equivalente a las primeras seis mil quinientas (6.500) UVT de bienes inmuebles diferentes a la vivienda de habitación de propiedad del causante. 
</t>
        </r>
      </text>
    </comment>
    <comment ref="B310" authorId="0" shapeId="0" xr:uid="{00000000-0006-0000-0A00-00003C000000}">
      <text>
        <r>
          <rPr>
            <b/>
            <sz val="8"/>
            <color indexed="81"/>
            <rFont val="Tahoma"/>
            <family val="2"/>
          </rPr>
          <t xml:space="preserve">ARTICULO 307. GANANCIAS OCASIONALES EXENTAS. &lt;Artículo modificado por el artículo 30 de la Ley 2277 de 2022. El nuevo texto es el siguiente:&gt; Las ganancias ocasionales que se enumeran a continuación están exentas del impuesto a las ganancias ocasionales:
3. El equivalente a las primeras tres mil doscientas cincuenta (3.250) UVT del valor de las asignaciones que por concepto de porción conyugal o de herencia o legado reciban el cónyuge supérstite y cada uno de los herederos o legatarios, según el caso. 
</t>
        </r>
        <r>
          <rPr>
            <sz val="8"/>
            <color indexed="81"/>
            <rFont val="Tahoma"/>
            <family val="2"/>
          </rPr>
          <t xml:space="preserve">
</t>
        </r>
      </text>
    </comment>
    <comment ref="B314" authorId="0" shapeId="0" xr:uid="{00000000-0006-0000-0A00-00003D000000}">
      <text>
        <r>
          <rPr>
            <b/>
            <sz val="8"/>
            <color indexed="81"/>
            <rFont val="Tahoma"/>
            <family val="2"/>
          </rPr>
          <t xml:space="preserve">ARTÍCULO 307. Sustituido. Ley 1607/2012, Art. 104. Ganancias ocasionales exentas. Las ganancias ocasionales que se enumeran a continuación están exentas del impuesto a las ganancias ocasionales:
4. El 20% del valor de los bienes y derechos recibidos por personas diferentes de los legitimarios y/o el cónyuge supérstite por concepto de herencias y legados, y el 20% de los bienes y derechos recibidos por concepto de donaciones y de otros actos jurídicos inter vivos celebrados a título gratuito, sin que dicha suma supere el equivalente a 2.290 UVT*.
</t>
        </r>
        <r>
          <rPr>
            <sz val="8"/>
            <color indexed="81"/>
            <rFont val="Tahoma"/>
            <family val="2"/>
          </rPr>
          <t xml:space="preserve">
</t>
        </r>
      </text>
    </comment>
    <comment ref="B327" authorId="0" shapeId="0" xr:uid="{00000000-0006-0000-0A00-00003E000000}">
      <text>
        <r>
          <rPr>
            <b/>
            <sz val="14"/>
            <color indexed="81"/>
            <rFont val="Tahoma"/>
            <family val="2"/>
          </rPr>
          <t>BUSCAR EL CONCEPTO</t>
        </r>
        <r>
          <rPr>
            <sz val="8"/>
            <color indexed="81"/>
            <rFont val="Tahoma"/>
            <family val="2"/>
          </rPr>
          <t xml:space="preserve">
</t>
        </r>
      </text>
    </comment>
    <comment ref="B343" authorId="0" shapeId="0" xr:uid="{00000000-0006-0000-0A00-00003F000000}">
      <text>
        <r>
          <rPr>
            <b/>
            <sz val="14"/>
            <color indexed="81"/>
            <rFont val="Tahoma"/>
            <family val="2"/>
          </rPr>
          <t>BUSCAR EL CONCEPTO</t>
        </r>
        <r>
          <rPr>
            <sz val="8"/>
            <color indexed="81"/>
            <rFont val="Tahoma"/>
            <family val="2"/>
          </rPr>
          <t xml:space="preserve">
</t>
        </r>
      </text>
    </comment>
    <comment ref="E343" authorId="0" shapeId="0" xr:uid="{00000000-0006-0000-0A00-000040000000}">
      <text>
        <r>
          <rPr>
            <sz val="8"/>
            <color indexed="81"/>
            <rFont val="Tahoma"/>
            <family val="2"/>
          </rPr>
          <t>Art. 254. Descuento por impuestos pagados en el exterior.
Artículo 254. Descuento por impuestos pagados en el exterior. Las personas naturales residentes en el país y las sociedades y entidades nacionales, que sean contribuyentes del impuesto sobre la renta y complementarios y que perciban rentas de fuente extranjera sujetas al impuesto sobre la renta en el país de origen, tienen derecho a descontar del monto del impuesto colombiano de renta y complementarios, el impuesto sobre la renta pagado en el país de origen, cualquiera sea su denominación, liquidado sobre esas mismas rentas el siguiente valor:
Descuento =         _______TRyC__ ______    * ImpExt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 ImpExt es el impuesto sobre la renta pagado en el extranjero, cualquiera sea
su denominación, liquidado sobre esas mismas rentas.
El valor del descuento en ningún caso podrá exceder el monto del impuesto sobre la renta complementarios que deba pagar el contribuyente en Colombia por esas mismas rentas.
Cuando se trate de dividendos o participaciones provenientes de sociedades domicíliadas en el exterior, habrá lugar a un descuento tributario en el impuesto sobre la renta y complementarios por los impuestos sobre la renta pagados en el exterior, de la siguiente forma:
a. El valor del descuento equivale al resultado de multiplicar el monto de lo.:. dividendos o participaciones por la tarifa del impuesto sobre la renta a la que hayar estado sometidas las utilidades que los generaron multiplicado por la proporción de que trata el literal h) de este inciso.
b. Cuando la sociedad que reparte los dividendos o participaciones gravados er Colombia haya recibido a su vez dividendos o participaciones de otras sociedades ubicadas en la misma o en otras jurisdicciones, el valor del descuento equivale a resultado de multiplicar el monto de los dividendos o participaciones percibidos po el contribuyente nacional, por la tarifa a la que hayan estado sometidas las utilidades que los generaron multiplicado por la proporción de que trata el literal h de este inciso.
c. Para tener derecho al descuento a que se refiere el literal a) del presente artículo, el contribuyente nacional debe poseer una participación directa en e capital de la sociedad de la cual recibe los dividendos oparticipaciones (excluyendo las acciones o participaciones sin derecho a voto). Para el caso del literal b), e contribuyente nacional deberá poseer indirectamente una participación en el capita de la subsidiaria o subsidiarias (excluyendo las acciones o participaciones sin derecho a voto). Las participaciones directas e indirectas señaladas en el presente literal deben corresponder a inversiones que constituyan activos fijos para el contribuyente en Colombia, en todo caso haber sido poseídas por un período no inferior a dos años.
d. Cuando los dividendos o participaciones percibidas por el contribuyente naciona hayan estado gravados en el país de origen el descuento se incrementará en el monto que resulte de multiplicar tal gravamen por la proporción de que trata el literal h) de este inciso.
e. En ningún caso el descuento a que se refiere este inciso, podrá exceder el monto del impuesto de renta y complementarios, generado en Colombia por tales dividendos.
f. Para tener derecho al descuento a que se refieren los literales a), b) y d), el contribuyente deberá probar el pago en cada jurisdicción aportando certificado fiscal del pago del impuesto expedido por la autoridad tributaria respectiva o en su defecto con prueba idónea.
g. Las reglas aquí previstas para el descuento tributario relacionado con dividendos o participaciones provenientes del exterior serán aplicables a los dividendos o participaciones que se perciban a partir de 1 de enero de 2015, cualquiera que sea el período o ejercicio financiero a que correspondan las utilidades que los generaron.
h. La proporción aplicable al descuento del impuesto sobre la renta y complementarios es la siguiente:
Proporción Aplicable =         _______TRyC__ ______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Parágrafo 1. El impuesto sobre la renta pagado en el exterior, podrá ser tratado como descuento en el año gravable en el cual se haya realizado el pago o en cualquiera de los cuatro (4) períodos gravables siguientes sin perjuicio de lo previsto en el artículo 259 de este Estatuto. En todo caso, el exceso de impuesto descontable que se trate como descuento en cualquiera de los cuatro (4) períodos gravables siguientes tiene como límite el impuesto sobre la renta y complementarios generado en Colombia sobre las rentas que dieron origen a dicho descuento y no podrá acumularse con el exceso de impuestos descontables originados en otras rentas gravadas en Colombia en distintos períodos.
Parágrafo Transitorio. El descuento tributario relacionado con dividendos o participaciones provenientes del exterior que fueron percibidas con anterioridad a 1 de enero de 2015 continuarán rigiéndose por lo dispuesto en el artículo 96 de la Ley 1607 de 2012.</t>
        </r>
      </text>
    </comment>
    <comment ref="B347" authorId="7" shapeId="0" xr:uid="{7B0C2869-CDEE-4B0E-95B8-CD203A4D5211}">
      <text>
        <r>
          <rPr>
            <b/>
            <sz val="8"/>
            <color indexed="81"/>
            <rFont val="Tahoma"/>
            <family val="2"/>
          </rPr>
          <t>ARTÍCULO 254-1. DESCUENTO TRIBUTARIO DETERMINADO A PARTIR DE LA RENTA LÍQUIDA CEDULAR DE DIVIDENDOS Y PARTICIPACIONES DE PERSONAS NATURALES RESIDENTES Y SUCESIONES ILÍQUIDAS DE CAUSANTES RESIDENTES. &lt;Artículo adicionado por el artículo 5 de la Ley 2277 de 2022. El nuevo texto es el siguiente:&gt; Las personas naturales residentes y sucesiones ilíquidas de causantes que al momento de su muerte eran residentes del país, y hayan percibido ingresos por concepto de dividendos y/o participaciones declarados en los términos del artículo 331 del Estatuto Tributario, podrán descontar de su impuesto sobre la renta, en ese mismo periodo, el valor que se determine de conformidad con la siguiente tabla:
Renta líquida cedular de dividendos y participaciones desde Renta líquida cedular de dividendos y participaciones hasta Descuento marginal Descuento
o 1.090 0% 0%
&gt;1.090 En adelante 19% (Renta líquida cedular de dividendos y participaciones en UVTmenos 1.090UVT)x 19%</t>
        </r>
      </text>
    </comment>
    <comment ref="D349" authorId="8" shapeId="0" xr:uid="{00000000-0006-0000-0A00-000041000000}">
      <text>
        <r>
          <rPr>
            <b/>
            <sz val="9"/>
            <color indexed="81"/>
            <rFont val="Tahoma"/>
            <family val="2"/>
          </rPr>
          <t>Digite el valor donado duarente el año gravable para que liquide el descuento del impuesto sobre la renta y complementarios, equivalente al 25% del valor donado en el año o período gravable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Administrador</author>
    <author>USER</author>
  </authors>
  <commentList>
    <comment ref="E5" authorId="0" shapeId="0" xr:uid="{00000000-0006-0000-0F00-000001000000}">
      <text>
        <r>
          <rPr>
            <b/>
            <sz val="9"/>
            <color indexed="81"/>
            <rFont val="Tahoma"/>
            <family val="2"/>
          </rPr>
          <t xml:space="preserve">JEREMIAS 33-3
</t>
        </r>
        <r>
          <rPr>
            <sz val="9"/>
            <color indexed="81"/>
            <rFont val="Tahoma"/>
            <family val="2"/>
          </rPr>
          <t xml:space="preserve">
</t>
        </r>
        <r>
          <rPr>
            <sz val="14"/>
            <color indexed="81"/>
            <rFont val="Tahoma"/>
            <family val="2"/>
          </rPr>
          <t>Clama a mí, y yo te responderé, y te enseñaré cosas grandes y ocultas que tú no conoces.</t>
        </r>
      </text>
    </comment>
    <comment ref="D35" authorId="1" shapeId="0" xr:uid="{00000000-0006-0000-0F00-000002000000}">
      <text>
        <r>
          <rPr>
            <b/>
            <sz val="9"/>
            <color indexed="81"/>
            <rFont val="Tahoma"/>
            <family val="2"/>
          </rPr>
          <t>ARTICULO 387. DEDUCCIONES QUE SE RESTARÁN DE LA BASE DE RETENCIÓN.</t>
        </r>
        <r>
          <rPr>
            <sz val="9"/>
            <color indexed="81"/>
            <rFont val="Tahoma"/>
            <family val="2"/>
          </rPr>
          <t xml:space="preserve">
INCISO 2
El trabajador podrá disminuir de su base de retención lo dispuesto en el inciso anterior; los pagos por salud, siempre que el valor a disminuir mensualmente, en este último caso, no supere dieciséis (16) UVT mensuales; </t>
        </r>
        <r>
          <rPr>
            <b/>
            <u/>
            <sz val="9"/>
            <color indexed="81"/>
            <rFont val="Tahoma"/>
            <family val="2"/>
          </rPr>
          <t>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t>
        </r>
        <r>
          <rPr>
            <sz val="9"/>
            <color indexed="81"/>
            <rFont val="Tahoma"/>
            <family val="2"/>
          </rPr>
          <t xml:space="preserve">. Los pagos por salud deberán cumplir las condiciones de control que señale el Gobierno Nacional:
LIMITE AÑO ES 384 UVT EN $ 13.159.680
</t>
        </r>
      </text>
    </comment>
    <comment ref="D36" authorId="1" shapeId="0" xr:uid="{00000000-0006-0000-0F00-000003000000}">
      <text>
        <r>
          <rPr>
            <b/>
            <sz val="9"/>
            <color indexed="81"/>
            <rFont val="Tahoma"/>
            <family val="2"/>
          </rPr>
          <t>ARTICULO 387. DEDUCCIONES QUE SE RESTARÁN DE LA BASE DE RETENCIÓN.</t>
        </r>
        <r>
          <rPr>
            <sz val="9"/>
            <color indexed="81"/>
            <rFont val="Tahoma"/>
            <family val="2"/>
          </rPr>
          <t xml:space="preserve">
INCISO 2
</t>
        </r>
        <r>
          <rPr>
            <b/>
            <u/>
            <sz val="9"/>
            <color indexed="81"/>
            <rFont val="Tahoma"/>
            <family val="2"/>
          </rPr>
          <t>El trabajador podrá disminuir de su base de retención lo dispuesto en el inciso anterior; los pagos por salud, siempre que el valor a disminuir mensualmente, en este último caso, no supere dieciséis (16) UVT mensuales;</t>
        </r>
        <r>
          <rPr>
            <sz val="9"/>
            <color indexed="81"/>
            <rFont val="Tahoma"/>
            <family val="2"/>
          </rPr>
          <t xml:space="preserve"> 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 Los pagos por salud deberán cumplir las condiciones de control que señale el Gobierno Nacional:
LIMITE ANUAL 192 UVT EN $ 6.579.840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8" authorId="0" shapeId="0" xr:uid="{C86B5108-C354-4CE7-A4AE-790AED26F531}">
      <text>
        <r>
          <rPr>
            <b/>
            <sz val="9"/>
            <color indexed="81"/>
            <rFont val="Tahoma"/>
            <family val="2"/>
          </rPr>
          <t>DEBE REGISTRAR
TOTAL DE DEPENDIENTES
EL DEL ART 387 E.T.
MAS LOS DEL ART 336 E.T.</t>
        </r>
        <r>
          <rPr>
            <sz val="9"/>
            <color indexed="81"/>
            <rFont val="Tahoma"/>
            <family val="2"/>
          </rPr>
          <t xml:space="preserve">
</t>
        </r>
      </text>
    </comment>
    <comment ref="C28" authorId="0" shapeId="0" xr:uid="{9D71A7B8-22DB-4085-AAA9-65ED4E996599}">
      <text>
        <r>
          <rPr>
            <b/>
            <sz val="9"/>
            <color indexed="81"/>
            <rFont val="Tahoma"/>
            <family val="2"/>
          </rPr>
          <t>SE DEBE REGISTRAR LOS DEPENDIENTES ADICIONALES AL DEL 387 E.T. OSEA MAXIMO 4 DEPENDIENTE SEGÚN EL ART 336 E.T.</t>
        </r>
      </text>
    </comment>
  </commentList>
</comments>
</file>

<file path=xl/sharedStrings.xml><?xml version="1.0" encoding="utf-8"?>
<sst xmlns="http://schemas.openxmlformats.org/spreadsheetml/2006/main" count="2273" uniqueCount="1016">
  <si>
    <t>PERIODO FISCAL</t>
  </si>
  <si>
    <t>INTERESES PRESTAMO DE VIVIENDA</t>
  </si>
  <si>
    <t>SALARIO MINIMO MENSUAL LEGAL VIGENTE</t>
  </si>
  <si>
    <t>SALARIO BASICO</t>
  </si>
  <si>
    <t>VIATICOS</t>
  </si>
  <si>
    <t>COMISIONES</t>
  </si>
  <si>
    <t>&gt;150</t>
  </si>
  <si>
    <t>&gt;360</t>
  </si>
  <si>
    <t>EXPRESADO EN UVT</t>
  </si>
  <si>
    <t>&gt;95</t>
  </si>
  <si>
    <t xml:space="preserve">UVT  $ </t>
  </si>
  <si>
    <t>RETENCION DEL PERIODO</t>
  </si>
  <si>
    <t>SON</t>
  </si>
  <si>
    <t>ELABORADO POR: Jorge Alexander Cáceres Pinto.  @-mail:caceresjorge82@hotmail.com</t>
  </si>
  <si>
    <t>Por intereses o corrección monetaria en virtud de préstamos para adquisición de vivienda</t>
  </si>
  <si>
    <t>TOTAL DEDUCCIONES</t>
  </si>
  <si>
    <t>LIMITES DE DEDUCCIONES</t>
  </si>
  <si>
    <t>PENSION VOLUNTARIA</t>
  </si>
  <si>
    <t>INGRESOS LABORALES</t>
  </si>
  <si>
    <t>PAGOS EN ESPECIE (BONO SODEXO ETC)</t>
  </si>
  <si>
    <t>LIMITES</t>
  </si>
  <si>
    <t>VALOR DEL BONO</t>
  </si>
  <si>
    <t>VALOR A ESCOGER</t>
  </si>
  <si>
    <t>LIMITE DE PENSION Y AFC</t>
  </si>
  <si>
    <t>LIMITE</t>
  </si>
  <si>
    <t>responda, estan soportados con factura de venta o documento equivalente a nombre empleador</t>
  </si>
  <si>
    <t>Las indemnizaciones por accidente de trabajo o enfermedad</t>
  </si>
  <si>
    <t>Las indemnizaciones que impliquen protección a la maternidad</t>
  </si>
  <si>
    <t>Lo recibido por gastos de entierro del trabajador</t>
  </si>
  <si>
    <t>LIMITE DE LA RENTA EXENTA ART206 # 10</t>
  </si>
  <si>
    <t>INGRESOS LABORALES AÑO ANTERIOR</t>
  </si>
  <si>
    <t>LIMITE Las indemnizaciones por accidente de trabajo o enfermedad</t>
  </si>
  <si>
    <t>LIMITE Las indemnizaciones que impliquen protección a la maternidad</t>
  </si>
  <si>
    <t>LIMITE Lo recibido por gastos de entierro del trabajador</t>
  </si>
  <si>
    <t>CONCEPTO</t>
  </si>
  <si>
    <t>VALOR</t>
  </si>
  <si>
    <t>CONSTITUYE O NO CONSTITUYE SALARIO</t>
  </si>
  <si>
    <t>Elaborado</t>
  </si>
  <si>
    <t>Docente Catedratico - UPC Aguachica - Cesar</t>
  </si>
  <si>
    <t>CONSTITUYEN SALARIO</t>
  </si>
  <si>
    <t>NO CONSTITUYEN SALARIOS</t>
  </si>
  <si>
    <t>VALOR DE LA UVT AÑO ANTERIOR</t>
  </si>
  <si>
    <t>VALOR DE LA UVT AÑO ACTUAL</t>
  </si>
  <si>
    <t>GASTOS DE REPRESENTACION (Rector y profesores de U oficiales)</t>
  </si>
  <si>
    <t>subsidio familiar, prima actividad militar, prima antigüedad, prima orden publico</t>
  </si>
  <si>
    <t>S</t>
  </si>
  <si>
    <t>N</t>
  </si>
  <si>
    <t>Los pagos por salud pregada,seguros de Salud</t>
  </si>
  <si>
    <t>1. Los hijos del contribuyente que tengan hasta 18 años de edad.</t>
  </si>
  <si>
    <t>3. Los hijos del contribuyente mayores de 23 años que se encuentren
en situación de dependencia originada en factores físicos o
psicológicos que sean certificados por Medicina Legal.</t>
  </si>
  <si>
    <t>5. Los padres y los hermanos del contribuyente que se encuentren en
situación de dependencia, sea por ausencia de ingresos o ingresos en
el año menores a doscientas sesenta (260) UVT, certificada por
contador público, o por dependencia originada en factores físicos o
psicológicos que sean certificados por Medicina Legal.</t>
  </si>
  <si>
    <t>APORTE A PENSION Y AFC</t>
  </si>
  <si>
    <t>PAGOS DE SALUD</t>
  </si>
  <si>
    <t>yoiberantonioojedapacheco@hotmail.com</t>
  </si>
  <si>
    <t>Dividendos y participaciones no gravados</t>
  </si>
  <si>
    <t>Indemnizaciones en dinero o en especie por seguro de daño</t>
  </si>
  <si>
    <t>Aportes obligatorios al sistema general de seguridad social a cargo del empleado</t>
  </si>
  <si>
    <t>Gastos de representación exentos</t>
  </si>
  <si>
    <t>Pérdidas por desastres o calamidades públicas</t>
  </si>
  <si>
    <t>Aportes obligatarios a seguridad social de un empleado del servicio doméstico</t>
  </si>
  <si>
    <t>Costo fiscal de los bienes enajenados</t>
  </si>
  <si>
    <t>Indemnizaciones por seguro de vida, por accidente de trabajo o enfermedad</t>
  </si>
  <si>
    <t>Licencia de maternidad y gastos funerarios</t>
  </si>
  <si>
    <t>Exceso del salario básico de oficiales y suboficiales de las FF.MM y la Policía Nacional</t>
  </si>
  <si>
    <t>Seguro por muerte y compensación por muerte de las FF.MM y la Policía Nacional</t>
  </si>
  <si>
    <t>Pagos catastróficos en salud efectivamente certificados no cubiertos por el POS</t>
  </si>
  <si>
    <t>Retiros  fondos de pensión de jubilación e invalidez; fondos de cesantías y cuentas AFC</t>
  </si>
  <si>
    <t>Renta gravable alternativa - RGA</t>
  </si>
  <si>
    <t>GANANCIA OCASIONAL</t>
  </si>
  <si>
    <t>LOTERIAS RIFAS APUESTA Y SIMILARES</t>
  </si>
  <si>
    <t>PORCION CONYUGAL</t>
  </si>
  <si>
    <t>DONACIONES Y DE OTROS ACTOS JURÍDICOS INTER VIVOS CELEBRADOS A TÍTULO GRATUITO</t>
  </si>
  <si>
    <t xml:space="preserve">OTROS INGRESOS </t>
  </si>
  <si>
    <t>MODELO APLICATIVO PARA DEPURAR RENTA Y COMPLEMENTARIOS</t>
  </si>
  <si>
    <t xml:space="preserve">PERSONA NATURAL </t>
  </si>
  <si>
    <t>UVT</t>
  </si>
  <si>
    <t>EN PESOS</t>
  </si>
  <si>
    <t>RENTA GRAVABLE ALTERNATIVA</t>
  </si>
  <si>
    <t>IMAN</t>
  </si>
  <si>
    <t>IMAS</t>
  </si>
  <si>
    <t>más de 13.643</t>
  </si>
  <si>
    <t>27% x RGA - 1.622</t>
  </si>
  <si>
    <t>DETERMINACION DE LA CALIDAD DE EMPLEADO SEGUN EL ART 329 E.T.</t>
  </si>
  <si>
    <t>EMPLEADO S/N EL ART 329 E.T.</t>
  </si>
  <si>
    <t>TOTAL DE OTROS INGRESOS</t>
  </si>
  <si>
    <t>TOTAL DE INGRESOS LABORALES</t>
  </si>
  <si>
    <t>Ingresos por ganancias ocasionales</t>
  </si>
  <si>
    <t>Costos por ganancias ocasionales</t>
  </si>
  <si>
    <t>Ganancias ocasionales exentas y no gravadas</t>
  </si>
  <si>
    <t>Ganancia ocasionales gravables</t>
  </si>
  <si>
    <t>Loteria, Rifas, Apuestas y Similares</t>
  </si>
  <si>
    <t>Otras</t>
  </si>
  <si>
    <t>VENTA DE ACTIVOS FIJOS # 1</t>
  </si>
  <si>
    <t>VENTA DE ACTIVOS FIJOS # 2</t>
  </si>
  <si>
    <t>TOTAL DE GANANCIA OCASIONAL EXENTA</t>
  </si>
  <si>
    <t xml:space="preserve">TOTAL INGRESOS </t>
  </si>
  <si>
    <t>GASTOS DE REPRESENTACION (Magistrados, fiscales,Rector y profesores de U oficiales)</t>
  </si>
  <si>
    <t>TOTAL DE RENTAS EXENTA</t>
  </si>
  <si>
    <t>SEGURO POR MUERTE Y COMPENSACIÓN POR MUERTE DE LAS FF.MM Y LA POLICÍA NACIONAL</t>
  </si>
  <si>
    <t>Impuesto sobre la renta mínimo alternativo simple - IMAS</t>
  </si>
  <si>
    <t>Impuesto de ganancias ocasionales</t>
  </si>
  <si>
    <t>Descuentos tributarios</t>
  </si>
  <si>
    <t>Total impuesto a cargo</t>
  </si>
  <si>
    <t>INDEMNIZACIONES EN DINERO O EN ESPECIE POR SEGURO DE DAÑO</t>
  </si>
  <si>
    <t>Total patrimonio bruto</t>
  </si>
  <si>
    <t>Deudas</t>
  </si>
  <si>
    <t>Total patrimonio líquido</t>
  </si>
  <si>
    <t>Patrimonio</t>
  </si>
  <si>
    <t>Ingresos por ganancias ocasionales en el país</t>
  </si>
  <si>
    <t xml:space="preserve">Ingresos por ganancias ocasionales en el exterior </t>
  </si>
  <si>
    <t>Total ingresos obtenidos período gravable</t>
  </si>
  <si>
    <t>Otras indemnizaciones Art 332 Lit. i)  ET.</t>
  </si>
  <si>
    <r>
      <t xml:space="preserve">Renta Gravable Alternativa  </t>
    </r>
    <r>
      <rPr>
        <sz val="8"/>
        <rFont val="Arial"/>
        <family val="2"/>
      </rPr>
      <t>(Base del IMAN)</t>
    </r>
  </si>
  <si>
    <t>Recibidos como empleado</t>
  </si>
  <si>
    <t>Ingresos</t>
  </si>
  <si>
    <t>Recibidos por pensiones jubilación, invalidez, vejez, de sobreviviente y riesgos profesionales</t>
  </si>
  <si>
    <t>Honorarios, comisiones y servicios</t>
  </si>
  <si>
    <t>Intereses y rendimientos financieros</t>
  </si>
  <si>
    <t>Dividendos y participaciones</t>
  </si>
  <si>
    <t>Otros (Arrendamientos, etc.)</t>
  </si>
  <si>
    <t>Obtenidos en el exterior</t>
  </si>
  <si>
    <t>Total ingresos recibidos por concepto de renta</t>
  </si>
  <si>
    <t>Determinación de la renta gravable alternativa - IMAN, para empleados</t>
  </si>
  <si>
    <t>Ganan. Ocasional</t>
  </si>
  <si>
    <t>No Constitut. renta ni Ganancia Ocasional</t>
  </si>
  <si>
    <t>Donaciones</t>
  </si>
  <si>
    <t>Pagos a terceros (Salud, educación y alimentación)</t>
  </si>
  <si>
    <t>Otros ingresos no constitutivos de renta</t>
  </si>
  <si>
    <t>Total ingresos no constitutivos de renta</t>
  </si>
  <si>
    <t>Total ingresos netos</t>
  </si>
  <si>
    <t>INTERESES Y RENDIMIENTOS FINANCIEROS</t>
  </si>
  <si>
    <t>Gastos de nómina incluidos los aportes a seguridad social y parafiscales</t>
  </si>
  <si>
    <t>Deducción por dependientes económicos</t>
  </si>
  <si>
    <t>Deducción por pagos de intereses de vivienda</t>
  </si>
  <si>
    <t>Otros costos y deducciones</t>
  </si>
  <si>
    <t>Costos y gastos incurridos en el exterior</t>
  </si>
  <si>
    <t>Total costos y deducciones</t>
  </si>
  <si>
    <t>Impuesto sobre la renta líquida gravable</t>
  </si>
  <si>
    <t>Descuentos</t>
  </si>
  <si>
    <t>Costos y deducciones</t>
  </si>
  <si>
    <t>Renta líquida ordinaria del ejercicio</t>
  </si>
  <si>
    <t>Compensaciones</t>
  </si>
  <si>
    <t>Pérdida líquida del ejercicio</t>
  </si>
  <si>
    <t>Renta líquida</t>
  </si>
  <si>
    <t>Renta presuntiva</t>
  </si>
  <si>
    <t>Renta exenta</t>
  </si>
  <si>
    <t>Renta</t>
  </si>
  <si>
    <t>Gastos de representación y otras rentas de trabajo</t>
  </si>
  <si>
    <t>Aportes obligatorios al fondo de pensión</t>
  </si>
  <si>
    <t>Aportes a fondos de pensiones voluntarios</t>
  </si>
  <si>
    <t>Aportes a cuentas AFC</t>
  </si>
  <si>
    <t>Otras rentas exentas</t>
  </si>
  <si>
    <t>Por pagos laborales (25%) y pensiones</t>
  </si>
  <si>
    <t>Total renta exenta</t>
  </si>
  <si>
    <t>Rentas gravables</t>
  </si>
  <si>
    <t>Renta líquida gravable</t>
  </si>
  <si>
    <t>SECCION DE RENTAS EXENTAS</t>
  </si>
  <si>
    <t>SECCION DE INGRESOS NO CONSTITUTIVOS DE RENTA NI GANANCIA OCASIONAL</t>
  </si>
  <si>
    <t>SECCION DE INGRESOS LABORALES</t>
  </si>
  <si>
    <t>SECCION OTROS INGRESOS</t>
  </si>
  <si>
    <t>Por impuestos pagados en el exterior de los literales a) a c) del art. 254 E.T.</t>
  </si>
  <si>
    <t>Por impuestos pagados en el exterior del literal d) del art. 254 E.T.</t>
  </si>
  <si>
    <t>Por impuestos pagados en el exterior, distintos a los registrados anteriormente</t>
  </si>
  <si>
    <t>Otros</t>
  </si>
  <si>
    <t>Total descuentos tributarios</t>
  </si>
  <si>
    <t>Liquidación privada</t>
  </si>
  <si>
    <t>Impuesto neto de renta</t>
  </si>
  <si>
    <t>Descuento por impuestos pagados en el exterior por ganancias ocasionales</t>
  </si>
  <si>
    <t>Impuesto Mínimo Alternativo Nacional -IMAN, empleados</t>
  </si>
  <si>
    <t>&gt;1090</t>
  </si>
  <si>
    <t>&gt;1700</t>
  </si>
  <si>
    <t>&gt;4100</t>
  </si>
  <si>
    <t xml:space="preserve">IMPUESTO DE RENTA </t>
  </si>
  <si>
    <t>Saldo a pagar por impuesto</t>
  </si>
  <si>
    <t>Sanciones</t>
  </si>
  <si>
    <t>Total saldo a pagar</t>
  </si>
  <si>
    <t>o Total saldo a favor</t>
  </si>
  <si>
    <t>GANANCIALES</t>
  </si>
  <si>
    <t>DONACIONES RECIBIDAS PARA CAMPAÑA POLÍTICA</t>
  </si>
  <si>
    <t>CESANTIAS E INTERES DE CESANTIAS</t>
  </si>
  <si>
    <t>NUM. 10 ART 206 E.T. 25% DE LOS PAGOS LABORALES</t>
  </si>
  <si>
    <t>PENSIONES DE JUBILACIÓN, INVALIDEZ, VEJEZ, DE SOBREVIVIENTES Y SOBRE RIESGOS PROFESIONALES</t>
  </si>
  <si>
    <t>RENTA EXENTA ART 206 NUM 10</t>
  </si>
  <si>
    <t>CONTRIBIUYENTE</t>
  </si>
  <si>
    <t>Gravamen Movimiento Financiero</t>
  </si>
  <si>
    <t>COSTOS</t>
  </si>
  <si>
    <t>INVENTARIO INICIAL</t>
  </si>
  <si>
    <t>COMPRAS NETAS</t>
  </si>
  <si>
    <t>COMPRAS BRUTAS</t>
  </si>
  <si>
    <t>MERCANCIAS DISPONIBLES PARA LA VENTA</t>
  </si>
  <si>
    <t>(Menos) Dev.en compra</t>
  </si>
  <si>
    <t>DE SIEMBRA</t>
  </si>
  <si>
    <t>DE CULTIVO</t>
  </si>
  <si>
    <t>DE RECOLECCION</t>
  </si>
  <si>
    <t>NECESARIOS PARA PONER LOS PRODUCTOS EN EL LUGAR DE SU EXPENDIO, UTILIZACIÓN O BENEFICIO</t>
  </si>
  <si>
    <t>DEMAS GANADO</t>
  </si>
  <si>
    <t>DEDUCCIONES</t>
  </si>
  <si>
    <t>Anticipo renta por el año gravable anterior</t>
  </si>
  <si>
    <t>Saldo a favor año gravable anterior sin solicitud de devolución o compensación</t>
  </si>
  <si>
    <t>Anticipo renta por el año gravable siguiente</t>
  </si>
  <si>
    <t>ACTIVIDAD GANADERA</t>
  </si>
  <si>
    <t>TOTAL INGRESOS NO CONSTITUTIVOS DE RENTA NI GANANCIA OCASIONAL</t>
  </si>
  <si>
    <t>PORCENTAJE DE INGRESOS NO EMPLEADO</t>
  </si>
  <si>
    <t>INGRESOS PARA DETERMINAR LA CALIDAD EMPLEADO</t>
  </si>
  <si>
    <t>SECCION DE RETENCION EN LA FUENTE</t>
  </si>
  <si>
    <t>Honorarios y comisiones</t>
  </si>
  <si>
    <t xml:space="preserve">Arrendamientos (Muebles e inmuebles) </t>
  </si>
  <si>
    <t>Compras</t>
  </si>
  <si>
    <t>Rendimientos financieros</t>
  </si>
  <si>
    <t>Transacciones con tarjetas débito y crédito</t>
  </si>
  <si>
    <t>Contratos de construcción</t>
  </si>
  <si>
    <t>IMPUESTO DE RENTA</t>
  </si>
  <si>
    <t>IMPUESTO DE GANANCIA OCASIONAL</t>
  </si>
  <si>
    <t>TOTAL DE RETENCIONES IMPUESTO DE RENTA</t>
  </si>
  <si>
    <t>TOTAL DE RETENCIONES IMPUESTO DE GANANCIA OCASIONAL</t>
  </si>
  <si>
    <t>Enajenación de activos fijos  de personas naturales ante notarios y autoridades de tránsito</t>
  </si>
  <si>
    <t>Loterías, rifas, apuestas y similares</t>
  </si>
  <si>
    <t>Porcion Conyugal, Herencia, legados y Donaciones</t>
  </si>
  <si>
    <t>CAJA</t>
  </si>
  <si>
    <t>CUENTA DE AHORROS</t>
  </si>
  <si>
    <t>Banco de Bogotá</t>
  </si>
  <si>
    <t>BANCO SANTANDER DE NEGOCIOS COLOMBIA S. A</t>
  </si>
  <si>
    <t>ENTIDAD</t>
  </si>
  <si>
    <t>NUMERO CUENTA</t>
  </si>
  <si>
    <t>Banco Popular</t>
  </si>
  <si>
    <t>Banco Santander</t>
  </si>
  <si>
    <t>Bancolombia</t>
  </si>
  <si>
    <t>Citibank</t>
  </si>
  <si>
    <t xml:space="preserve">Banco GNB </t>
  </si>
  <si>
    <t>Banco GNB Sudameris</t>
  </si>
  <si>
    <t>BBVA Colombia</t>
  </si>
  <si>
    <t>Banco de Occidente</t>
  </si>
  <si>
    <t>BCSC</t>
  </si>
  <si>
    <t>Davivienda</t>
  </si>
  <si>
    <t>Colpatria Red Multibanca</t>
  </si>
  <si>
    <t>Banagrario</t>
  </si>
  <si>
    <t>AV Villas</t>
  </si>
  <si>
    <t>Procredit</t>
  </si>
  <si>
    <t>Bancamía</t>
  </si>
  <si>
    <t>WWB</t>
  </si>
  <si>
    <t>Bancoomeva</t>
  </si>
  <si>
    <t>Finandina</t>
  </si>
  <si>
    <t>Banco Falabella</t>
  </si>
  <si>
    <t>Banco Pichincha</t>
  </si>
  <si>
    <t>Coopcentral</t>
  </si>
  <si>
    <t>Corficolombiana</t>
  </si>
  <si>
    <t>Banca de Inversión Bancolombia</t>
  </si>
  <si>
    <t>JP Morgan</t>
  </si>
  <si>
    <t>BNP Paribas</t>
  </si>
  <si>
    <t>ITAÚ BBA Colombia S.A.</t>
  </si>
  <si>
    <t>Cooperativa Financiera de Antioquia</t>
  </si>
  <si>
    <t>Cooperativa Financiera John F. Kennedy</t>
  </si>
  <si>
    <t>Cooperativa Financiera Coofinep</t>
  </si>
  <si>
    <t>Cooperativa Financiera Cotrafa</t>
  </si>
  <si>
    <t xml:space="preserve">Cooperativa Financiera Confiar </t>
  </si>
  <si>
    <t>Cooperativa Financiera Juriscoop</t>
  </si>
  <si>
    <t>Crediservir</t>
  </si>
  <si>
    <t>Cooprofesores</t>
  </si>
  <si>
    <t>Financiera Coomultrasan</t>
  </si>
  <si>
    <t>CUENTA CORRIENTE</t>
  </si>
  <si>
    <t>DEUDORES</t>
  </si>
  <si>
    <t>PRESTAMOS A TRABAJADORES</t>
  </si>
  <si>
    <t>CLIENTES</t>
  </si>
  <si>
    <t>INVERSIONES</t>
  </si>
  <si>
    <t>ACCIONES EN SOCIEDADES NACIONALES</t>
  </si>
  <si>
    <t>ACCIONES EN SOCIEDADES EXTRANJERAS</t>
  </si>
  <si>
    <t>CUOTAS O PORTES DE INTERSES SOCIAL  EN SOCIEDADES NACIONALES</t>
  </si>
  <si>
    <t>CUOTAS O PORTES DE INTERSES SOCIAL  EN SOCIEDADES EXTRANJERAS</t>
  </si>
  <si>
    <t>OTRAS INVERSIONES</t>
  </si>
  <si>
    <t>INVENTARIO</t>
  </si>
  <si>
    <t>SEMOVIENTES</t>
  </si>
  <si>
    <t>BOVINOS</t>
  </si>
  <si>
    <t>PORCINOS</t>
  </si>
  <si>
    <t>CAPRINOS</t>
  </si>
  <si>
    <t>OVINOS</t>
  </si>
  <si>
    <t>PRODUCTOS AGRICOLAS</t>
  </si>
  <si>
    <t>MERCANCIAS NO FABRICADAS POR LA EMPRESA</t>
  </si>
  <si>
    <t>MATERIA PRIMA</t>
  </si>
  <si>
    <t>PRODUCTOS EN PROCESO</t>
  </si>
  <si>
    <t>PRODUCTOS TERMINADOS</t>
  </si>
  <si>
    <t>ACTVOS FIJOS</t>
  </si>
  <si>
    <t xml:space="preserve">CASA </t>
  </si>
  <si>
    <t>APARTAMENTO</t>
  </si>
  <si>
    <t>LOCAL COMERCIAL</t>
  </si>
  <si>
    <t xml:space="preserve">FINCA </t>
  </si>
  <si>
    <t>LOTE</t>
  </si>
  <si>
    <t>BIENES INMUEBLES URBANOS</t>
  </si>
  <si>
    <t>CONJUNTO RESIDENCIAL</t>
  </si>
  <si>
    <t>MATRICULA INMOBILIARIA</t>
  </si>
  <si>
    <t>DIRECCION</t>
  </si>
  <si>
    <t>COSTO FISCAL</t>
  </si>
  <si>
    <t>CLASE</t>
  </si>
  <si>
    <t>CASA DE HABITACION</t>
  </si>
  <si>
    <t>BIENES INMUEBLES RURAL</t>
  </si>
  <si>
    <t>FINCA DEDICADA AL SECTOR AGROPECUARIO</t>
  </si>
  <si>
    <t>AUTOMOVIL</t>
  </si>
  <si>
    <t>CAMIONETA</t>
  </si>
  <si>
    <t>TRACTOMULA</t>
  </si>
  <si>
    <t>TRATO CAMION</t>
  </si>
  <si>
    <t>CAMION</t>
  </si>
  <si>
    <t>MOTOCICLETA</t>
  </si>
  <si>
    <t>CUATRIMOTO</t>
  </si>
  <si>
    <t xml:space="preserve">PLACA </t>
  </si>
  <si>
    <t>TRICIMOTO</t>
  </si>
  <si>
    <t>OTROS</t>
  </si>
  <si>
    <t>FLOTA Y EQUIPO DE TRANSPORTE</t>
  </si>
  <si>
    <t>OTROS ACTIVOS FIJOS</t>
  </si>
  <si>
    <t>DENOMINACION</t>
  </si>
  <si>
    <t>OTROS ACTIVOS</t>
  </si>
  <si>
    <t>TOTAL PATRIMONIO BRUTO</t>
  </si>
  <si>
    <t>PRESTACIONES LEGALES Y CONVENCION COLECTIVA</t>
  </si>
  <si>
    <t>PARTICIPACION BASICA, AUXILIOS Y BENEFICIOS</t>
  </si>
  <si>
    <t>INTERESES Y RENDIMIENTOS FINANCIEROS (COMPONENTE INFLACIONARIO)</t>
  </si>
  <si>
    <t>PRESTACIONES DE SERVICIOS TECNICOS Y/O PROFESIONALES</t>
  </si>
  <si>
    <t>s</t>
  </si>
  <si>
    <t>Indemnización por seguros de vida</t>
  </si>
  <si>
    <t>las indemnizaciones por accidente de trabajo o enfermedad</t>
  </si>
  <si>
    <t>EXCESO DEL SALARIO BÁSICO DE LOS OFICIALES Y SUBOFICIALES DE LAS FUERZAS MILITARES Y LA POLICÍA NACIONAL</t>
  </si>
  <si>
    <t>GO</t>
  </si>
  <si>
    <t>RTA</t>
  </si>
  <si>
    <t>LIMITE A APORTE A PENSION Y AFC</t>
  </si>
  <si>
    <t xml:space="preserve">LIMITE DE AFC </t>
  </si>
  <si>
    <t>LIMITE DE PENSION OBLIGATORIA</t>
  </si>
  <si>
    <t>MIN</t>
  </si>
  <si>
    <t>SECCION DE DESCUENTOS TRIBUTARIOS</t>
  </si>
  <si>
    <t>TOTAL DE DESCUENTOS TRIBUTARIOS</t>
  </si>
  <si>
    <t>PATRIMONIO BRUTO</t>
  </si>
  <si>
    <t>DEUDAS</t>
  </si>
  <si>
    <t>OBLIGACIONES FINANCIERAS</t>
  </si>
  <si>
    <t>CREDITO DE CONSUMO</t>
  </si>
  <si>
    <t>Otra Entidad</t>
  </si>
  <si>
    <t>Nº Obligacion</t>
  </si>
  <si>
    <t>CREDITO DE VIVIENDA</t>
  </si>
  <si>
    <t>CREDITO LEASING</t>
  </si>
  <si>
    <t>OTRAS LINEAS DE CREDITO</t>
  </si>
  <si>
    <t>MAQUINARIA, EQUIPO Y HERRAMIENTAS DEDICADAS A LA ACTIVIDAD AGRICOLA</t>
  </si>
  <si>
    <t>OBLIGACIONES FISCALES</t>
  </si>
  <si>
    <t>OTRAS OBLIGACIONES</t>
  </si>
  <si>
    <t>TOTAL DEUDAS</t>
  </si>
  <si>
    <t>RENTA POR COMPARACION PATRIMONIAL</t>
  </si>
  <si>
    <t>APLICA, REVISE</t>
  </si>
  <si>
    <t>NO APLICA</t>
  </si>
  <si>
    <t>IMAS PARA EMPLEADO</t>
  </si>
  <si>
    <t>Obtenidos en el exterior (Renta o Ganancia Ocasional)</t>
  </si>
  <si>
    <t>RENTA PRESUNTIVA</t>
  </si>
  <si>
    <t>ACCIONES</t>
  </si>
  <si>
    <t>CUOTAS O PARTES DE INTERES</t>
  </si>
  <si>
    <t>NIT</t>
  </si>
  <si>
    <t>ELAB. POR EL C.P. YOIBER ANTONIO OJEDA PACHECO - DOCENTE UNIVERSIDAD POPULAR DEL CESAR SECCIONAL AGUACHICA</t>
  </si>
  <si>
    <t>COMPENSACIONES</t>
  </si>
  <si>
    <t>EXCESO DE RENTA PRESUNTIVA SOBRE RENTA LIQUIDA ORDINARIA</t>
  </si>
  <si>
    <t>PÉRDIDAS SUFRIDAS EN ACTIVIDADES AGROPECUARIAS</t>
  </si>
  <si>
    <t>PAGOS CATASTROFICO</t>
  </si>
  <si>
    <t>2300 UVT</t>
  </si>
  <si>
    <t>60% DE I.B.</t>
  </si>
  <si>
    <t>VISITA MI CANAL EN YOUTUBE: YOIBER ANTONIO OJEDA PACHECO</t>
  </si>
  <si>
    <t>NOMBRE DEL CONTRIBUYENTE</t>
  </si>
  <si>
    <t>TOTAL COSTOS</t>
  </si>
  <si>
    <t>FORMATO 210</t>
  </si>
  <si>
    <t>TOTAL COSTOS Y DEDUCCIONES</t>
  </si>
  <si>
    <t>SALARIO MENSUAL PROMEDIO EN LOS SEIS (6) ÚLTIMOS MESES DE VINCULACIÓN LABORAL</t>
  </si>
  <si>
    <t>COSTO DE VENTA DE ACTIVOS FIJOS</t>
  </si>
  <si>
    <t>SALARIO BASICO, COMPENSACIONES O INTEGRAL</t>
  </si>
  <si>
    <t>VENTA DE INMUEBLES A ENTIDAD TERRITORIAL PARA OBRAS DE UTILIDAD COMUN-MEDIANTE NEGOCIACION DIRECTA</t>
  </si>
  <si>
    <t>DETERMINACION DE LA CALIDAD DE TRABAJADOR POR CUENTA PROPIA SEGUN EL ART 329 E.T.</t>
  </si>
  <si>
    <t>PORCENTAJE DE INGRESOS POR COMERCIO AL POR MENOR</t>
  </si>
  <si>
    <t>AGRICULTURA, SILVICULTURA Y PESCA</t>
  </si>
  <si>
    <t>TRABAJADOR POR CUENTA PROPIA S/N EL ART 329 E.T.</t>
  </si>
  <si>
    <t>SERVICIOS DE HOTELES, RESTAURANTES Y SIMILARES</t>
  </si>
  <si>
    <t>PORCENTAJE DE INGRESOS POR ACTIVIDAD GANADERA</t>
  </si>
  <si>
    <t>PORCENTAJE DE INGRESOS POR SERVICIOS DE HOTELES, RESTAURANTES Y SIMILARES</t>
  </si>
  <si>
    <t>PORCENTAJE DE INGRESOS POR AGRICULTURA, SILVICULTURA Y PESCA</t>
  </si>
  <si>
    <t>IMAS PARA TRABAJADOR POR CUENTA PROPIA</t>
  </si>
  <si>
    <t>INGRESOS BRUTOS DEL TRABAJADOR POR CUENTA PROPIA</t>
  </si>
  <si>
    <t>TARIFA DE IMPUESTO</t>
  </si>
  <si>
    <t>Menos devoluciones, Rebajas y descuentos para los Trabajadores por cuenta propia</t>
  </si>
  <si>
    <t>TOTAL INGRESOS NETOS</t>
  </si>
  <si>
    <t xml:space="preserve">Total de Ingresos Brutos Recibidos por Concepto de Renta </t>
  </si>
  <si>
    <t xml:space="preserve">OTROS  Ingresos Brutos Recibidos por Concepto de Renta </t>
  </si>
  <si>
    <t>limites</t>
  </si>
  <si>
    <t>ingresos Brutos</t>
  </si>
  <si>
    <t>PATRIMONIO LIQUIDO</t>
  </si>
  <si>
    <t>Total Patrimonio Bruto</t>
  </si>
  <si>
    <t>Patrimonio Liquido</t>
  </si>
  <si>
    <t>RGA</t>
  </si>
  <si>
    <t>0,82% x (RGA en UVT - 5.409)</t>
  </si>
  <si>
    <t>1,55% x (RGA en UVT - 3.934)</t>
  </si>
  <si>
    <t>1,23% x (RGA en UVT - 7.143)</t>
  </si>
  <si>
    <t>DE AGRICULTOR, SILVICULTURA Y PESCA</t>
  </si>
  <si>
    <t>ARRENDAMIENTO DE BIENES MUEBLES E INMUEBLES</t>
  </si>
  <si>
    <t>MEJORAS</t>
  </si>
  <si>
    <t>SERVICIO DE TRANSPORTE, ALMACENAMIENTO Y COMUNICACIONES</t>
  </si>
  <si>
    <t>COMERCIO DE VEHÍCULOS AUTOMOTORES, ACCESORIOS Y PRODUCTOS CONEXOS</t>
  </si>
  <si>
    <t>0,95% x (RGA en UVT - 4.549</t>
  </si>
  <si>
    <t>PORCENTAJE DE INGRESOS POR ACTIVIDAD SERVICIO DE TRANSPORTE, ALMACENAMIENTO Y COMUNICACIONES</t>
  </si>
  <si>
    <t>PORCENTAJE DE INGRESOS POR ACTIVIDAD COMERCIO DE VEHÍCULOS AUTOMOTORES, ACCESORIOS Y PRODUCTOS CONEXOS</t>
  </si>
  <si>
    <t>SANCION DE EXTEMPORANEIDA</t>
  </si>
  <si>
    <t>IMPTO A CARGO</t>
  </si>
  <si>
    <t>INGRESOS</t>
  </si>
  <si>
    <t>LIMITE 1</t>
  </si>
  <si>
    <t>LIMITE 2</t>
  </si>
  <si>
    <t>LIMITE 3</t>
  </si>
  <si>
    <t>FECHA DE VENCIMIENTO</t>
  </si>
  <si>
    <t>EXTEMPORANEA</t>
  </si>
  <si>
    <t>MESES O FRACCION DE MES DE EXTEMPORANEIDA</t>
  </si>
  <si>
    <t>LA DECLARACION ES DE CORRECCION</t>
  </si>
  <si>
    <t>FECHA DE PRESENTACION CORRECCION</t>
  </si>
  <si>
    <t>00</t>
  </si>
  <si>
    <t>OPORTUNA</t>
  </si>
  <si>
    <t>SANCION MINIMA</t>
  </si>
  <si>
    <t>VALOR DE LA UVT AÑO PRESENTACION</t>
  </si>
  <si>
    <t>RETIROS  FONDOS DE FONDOS DE CESANTÍAS</t>
  </si>
  <si>
    <t>RETIROS  FONDOS DE PENSIÓN DE JUBILACIÓN E INVALIDEZ Y CUENTAS AFC VOLUNTARIOS</t>
  </si>
  <si>
    <t>OTROS INGRESOS LABORALES - FORMATO 220</t>
  </si>
  <si>
    <t>NOTIFICARON EMPLAZAMIENTO PARA CORREGIR</t>
  </si>
  <si>
    <t>SANCION DE CORRECCION</t>
  </si>
  <si>
    <t>NO HAY EMPLAZAMIENTO</t>
  </si>
  <si>
    <t>HAY EMPLAZAMIENTO</t>
  </si>
  <si>
    <t>COSTO DE SERVICIO DE TRANSPORTE, ALMACENAMIENTO Y COMUNICACIONES</t>
  </si>
  <si>
    <t>SALARIOS Y DEMAS PAGOS LABORALES</t>
  </si>
  <si>
    <t>COMBUSTIBLE</t>
  </si>
  <si>
    <t>REPUESTO Y MANTENIMIENTO</t>
  </si>
  <si>
    <t>RENTAS EXENTAS DEL IMPUESTO DE RENTA</t>
  </si>
  <si>
    <t>RENTAS EXENTAS DEL IMPUESTO DEL IMPUESTO DE GANANCIA OCASIONAL</t>
  </si>
  <si>
    <t>Otras Deducciones</t>
  </si>
  <si>
    <t>ARL</t>
  </si>
  <si>
    <t>LA DECLARACION INICIAL O ANTERIOR FUE EXTEMPORANEA</t>
  </si>
  <si>
    <t>VALOR DE LA SANCION DE LA DECLARACION INICIAL O ANTERIOR PRESENTADA EXTEMPORANEAMENTE</t>
  </si>
  <si>
    <t>SANCION DE CORRECCION CUANDO LA INICIAL ES EXTEMPORANEA</t>
  </si>
  <si>
    <t>FECHA DE PRESENTACION INICIAL O DE CORRECCION</t>
  </si>
  <si>
    <t>SANCION DE EXTEMPORANEDAD</t>
  </si>
  <si>
    <t>SANCION EXTEMPORANEIDAD EN CORRECCION</t>
  </si>
  <si>
    <t>LA DECLARACION INICIAL ES</t>
  </si>
  <si>
    <t>FECHA DE VENCIMIENTO DE LA DECLARACION INICIAL O ANTERIOR QUE FUE EXTEMPORANEA</t>
  </si>
  <si>
    <t>FECHA DE PRESENTACION DE LA DECLARACION INICIAL O ANTERIOR QUE FUE EXTEMPORANEA</t>
  </si>
  <si>
    <t>DETERMINE SI ES OPORTUNA O EXTEMPORANEA SI LA DECLARACION ES LA INICIAL DE LO CONTRARIO COLOQUE 0 ( CERO ) EN LA FECHA DE PRESENTACION</t>
  </si>
  <si>
    <t>Concepto</t>
  </si>
  <si>
    <t>Últimos dos  dígitos del NIT</t>
  </si>
  <si>
    <t>Fechas de vencimiento</t>
  </si>
  <si>
    <t>Declaración y pago</t>
  </si>
  <si>
    <t>IMPUESTO A CARGO</t>
  </si>
  <si>
    <t>SALDO A FAVOR</t>
  </si>
  <si>
    <t xml:space="preserve">SI LA DECLARACION ES DE CORRECCION RESPONDA LAS SIGUIENTES PREGUNTAS </t>
  </si>
  <si>
    <t>SALDO A PAGAR O SALDO A FAVOR DE LA DECLARACION INICIAL O ANTERIOR</t>
  </si>
  <si>
    <t>SALDO A PAGAR</t>
  </si>
  <si>
    <t>ESTA DECLARACION DEBE REALIZARSE SEGÚN ART 589 E.T.</t>
  </si>
  <si>
    <t>YAOP</t>
  </si>
  <si>
    <t>Ingresos excluidos de la base Gravable (RGA) IMAS</t>
  </si>
  <si>
    <t>IVA</t>
  </si>
  <si>
    <t>CESANTIAS E INTERES DE CESANTIAS CANCELADAS AL TRABAJADOR</t>
  </si>
  <si>
    <t>Total impuesto Neto</t>
  </si>
  <si>
    <t>Menos: Ingresos Excluidos de la Base (RGA) del IMAS</t>
  </si>
  <si>
    <t xml:space="preserve">NUM. 10 ART 206 E.T. 25% DE LOS PAGOS S/N PARAGRAFO 4 </t>
  </si>
  <si>
    <t>EMPLEADO DE INGRESOS LABORALES Aporte Obligatorio a Salud Concepto DIAN # 43973 de mayo 28 de 2008, aclarado con el concepto 066667 de Julio 11 de 2008</t>
  </si>
  <si>
    <t>EMPLEADO DE INGRESOS HONORARIOS Y SERVICIOS - Aporte Obligatorio a Salud Concepto DIAN # 43973 de mayo 28 de 2008, aclarado con el concepto 066667 de Julio 11 de 2008</t>
  </si>
  <si>
    <t>PENSION OBLIGATORIA - PARA EMPLEADO POR INGRESOS LABORALES</t>
  </si>
  <si>
    <t>PENSION OBLIGATORIA - PARA EMPLEADO POR INGRESOS HONORARIOS Y SERVICIOS</t>
  </si>
  <si>
    <t>REPONDA SI LA DECLARACION TRIBUTARIA ACTUAL ES:</t>
  </si>
  <si>
    <t>LIMITE DESCUENTOS TRIBUTARIOS</t>
  </si>
  <si>
    <t>PRIMER LIMITE</t>
  </si>
  <si>
    <t>IMPUESTO POR RENTA PRESUNTIVA</t>
  </si>
  <si>
    <t>IMPUESTO DESPUES DE DESCUENTO</t>
  </si>
  <si>
    <t>LIMITE IMPTO POR PRESUNTIVA</t>
  </si>
  <si>
    <t>DESCUENTO A TOMAR</t>
  </si>
  <si>
    <t>RENTA EXENTA DEL 25 INGRESOS HONORARIOS</t>
  </si>
  <si>
    <t>INCRNG</t>
  </si>
  <si>
    <t>RENTA EXENTA</t>
  </si>
  <si>
    <t>BASE LIQUIDAR RENTA EXENTA</t>
  </si>
  <si>
    <t>DETERMINACION DE LOS DESCUENTOS TRIBUTARIOS</t>
  </si>
  <si>
    <t>Aportes Obligatorios al sistema de seguridad social a Cargo del Trabajador</t>
  </si>
  <si>
    <t>Total retenciones año gravable 2016</t>
  </si>
  <si>
    <t>Anticipo renta por el año gravable 2017</t>
  </si>
  <si>
    <t>Ingresos brutos por rentas de trabajo (art 103 E.T.)</t>
  </si>
  <si>
    <t>Honorarios</t>
  </si>
  <si>
    <t>Ingresos no constitutivos de renta</t>
  </si>
  <si>
    <t>Renta líquida (32 - 33)</t>
  </si>
  <si>
    <t>Rentas exentas de trabajo y deducciones  imputables</t>
  </si>
  <si>
    <t>Deducciones  imputables</t>
  </si>
  <si>
    <t>Salud Prepagada</t>
  </si>
  <si>
    <t>Rentas exentas de trabajo</t>
  </si>
  <si>
    <t xml:space="preserve">AFC </t>
  </si>
  <si>
    <t>GMF</t>
  </si>
  <si>
    <t>ART 387 E.T.</t>
  </si>
  <si>
    <t>ART 115 E.T.</t>
  </si>
  <si>
    <t>ART 126-1 E.T.</t>
  </si>
  <si>
    <t>ART 126-4 E.T.</t>
  </si>
  <si>
    <t>ART 206 E.T.</t>
  </si>
  <si>
    <t>ART 207-1 E.T.</t>
  </si>
  <si>
    <t>Rentas exentas de trabajo y deducciones  imputables (Limitadas)</t>
  </si>
  <si>
    <t>Renta líquida cedular de trabajo (34 - 36)</t>
  </si>
  <si>
    <t>RENTAS DE TRABAJO</t>
  </si>
  <si>
    <t>CONTRIBUYENTE</t>
  </si>
  <si>
    <t>ELABORADO POR: OJEDA PACHECO YOIBER ANTONIO</t>
  </si>
  <si>
    <t>TOTAL DE RENTAS EXENTAS Y DEDUCCIONES IMPUTABLES</t>
  </si>
  <si>
    <t>Ingresos brutos por rentas de pensiones del pais y del exterior</t>
  </si>
  <si>
    <t>Rentas exentas</t>
  </si>
  <si>
    <r>
      <t xml:space="preserve">A los ingresos provenientes de esta cédula cuando sea una
renta de fuente nacional, solo se les resta como renta exenta la que establece el numeral 5 del artículo 206 del Estatuto. En consecuencia, </t>
    </r>
    <r>
      <rPr>
        <sz val="12"/>
        <color rgb="FFFF0000"/>
        <rFont val="Arial"/>
        <family val="2"/>
      </rPr>
      <t xml:space="preserve">no se encuentra autorizada ninguna deducción, de conformidad con lo establecido en el inciso 2° del artículo 337 del Estatuto Tributario. </t>
    </r>
  </si>
  <si>
    <t>RENTAS DE PENSIONES</t>
  </si>
  <si>
    <t>DEPURACION RENTA CEDULA CAPITAL</t>
  </si>
  <si>
    <t>DEPURACION RENTA CEDULA PENSION</t>
  </si>
  <si>
    <r>
      <t>PENSIONES DE JUBILACIÓN, INVALIDEZ, VEJEZ, DE SOBREVIVIENTES Y SOBRE RIESGOS PROFESIONALES</t>
    </r>
    <r>
      <rPr>
        <b/>
        <sz val="9"/>
        <rFont val="Arial"/>
        <family val="2"/>
      </rPr>
      <t xml:space="preserve"> DE FUENTE NACIONAL</t>
    </r>
  </si>
  <si>
    <r>
      <t xml:space="preserve">PENSIONES DE JUBILACIÓN, INVALIDEZ, VEJEZ, DE SOBREVIVIENTES Y SOBRE RIESGOS PROFESIONALES </t>
    </r>
    <r>
      <rPr>
        <b/>
        <sz val="10"/>
        <rFont val="Arial"/>
        <family val="2"/>
      </rPr>
      <t>DE FUENTE EXTRANJERA</t>
    </r>
  </si>
  <si>
    <t>Ingresos brutos por rentas de Capital</t>
  </si>
  <si>
    <t>REGALIAS Y EXPLOTACION INTELECTUAL</t>
  </si>
  <si>
    <t>Intereses credito Vivivienda- Art. 119 E.T.</t>
  </si>
  <si>
    <t>Aporte a Cesantias - Inc. 6 Art 126-1 E.T.</t>
  </si>
  <si>
    <t>Costos y Gastos Procedentes</t>
  </si>
  <si>
    <t>COSTOS ARRENDAMIENTO DE BIENES MUEBLES E INMUEBLES</t>
  </si>
  <si>
    <t>RENTAS DE CAPITAL</t>
  </si>
  <si>
    <t>COSTO DE ARRENDAMIENTOS DE INMUEBLES Y/O MUEBLES</t>
  </si>
  <si>
    <t>SERVICIOS PUBLICOS</t>
  </si>
  <si>
    <t>PAGO DE LEASING OPERATIVO</t>
  </si>
  <si>
    <t>PAGO INMOBILIARIA INTERMEDIACION</t>
  </si>
  <si>
    <t>PAGO DE ARRENDAMIENTO DEL BIEN ARRENDADO</t>
  </si>
  <si>
    <t>MANTENIMIENTO Y ADECUACIONES</t>
  </si>
  <si>
    <t>GASTOS PROCEDENTES</t>
  </si>
  <si>
    <t>SALUD OBLIGATORIA</t>
  </si>
  <si>
    <t>DEDUCCIONES IMPUTABLES</t>
  </si>
  <si>
    <t>Gastos de nómina incluidos los aportes a seguridad social y parafiscales de los empleados</t>
  </si>
  <si>
    <r>
      <t xml:space="preserve">Impuestos Pagados </t>
    </r>
    <r>
      <rPr>
        <b/>
        <sz val="8"/>
        <rFont val="Arial"/>
        <family val="2"/>
      </rPr>
      <t>Diferente</t>
    </r>
    <r>
      <rPr>
        <sz val="8"/>
        <rFont val="Arial"/>
        <family val="2"/>
      </rPr>
      <t xml:space="preserve"> a Gravamen Movimiento Financiero</t>
    </r>
  </si>
  <si>
    <t>Impuestos Pagados Diferente a Gravamen Movimiento Financiero</t>
  </si>
  <si>
    <t>Arrendamiento muebles e inmuebles</t>
  </si>
  <si>
    <t>Servicios Publicos</t>
  </si>
  <si>
    <t>Servicios Generales</t>
  </si>
  <si>
    <t>Renta Liquida Pasivas de Capital - ECE</t>
  </si>
  <si>
    <t>Renta liquida Ordinaria del Ejercicio</t>
  </si>
  <si>
    <t>Perdida liquida Ordinaria del Ejercicio</t>
  </si>
  <si>
    <t>Compensacion de Perdidas de Ejercicios Anteriortes</t>
  </si>
  <si>
    <t>Renta líquida cedular de Capital (50 - 52) si 50 es igual a Cero (0), 53 es Igual a Cero</t>
  </si>
  <si>
    <t>Rentas exentas de Capital</t>
  </si>
  <si>
    <t>OJEDA PACHECO YOIBER ANTONIO</t>
  </si>
  <si>
    <t xml:space="preserve">        ELABORADO POR </t>
  </si>
  <si>
    <t>Renta líquida (38 - 39)</t>
  </si>
  <si>
    <t>Renta líquida cedular de Pension (40 - 41)</t>
  </si>
  <si>
    <t>Ingresos brutos por rentas No Laboral</t>
  </si>
  <si>
    <t>DE ACTIVIDAD GANADERA</t>
  </si>
  <si>
    <t>ELABORADO POR  OJEDA PACHECO YOIBER ANTONIO</t>
  </si>
  <si>
    <t>Las demas de los Art 36 al 57-2 E.T.</t>
  </si>
  <si>
    <t>Las demas de los Art 207-2 E.T.</t>
  </si>
  <si>
    <t>Renta Liquida Pasivas No Laborales - ECE</t>
  </si>
  <si>
    <t>Rentas exentas No Laborales y deducciones  imputables</t>
  </si>
  <si>
    <t>Rentas exentas No Laborales</t>
  </si>
  <si>
    <t>Rentas exentas No Laboral y deducciones  imputables (Limitadas)</t>
  </si>
  <si>
    <t>Renta líquida cedular No Laboral (50 - 52) si 50 es igual a Cero (0), 53 es Igual a Cero</t>
  </si>
  <si>
    <t>Renta líquida (54 - 55 - 56 - 57)</t>
  </si>
  <si>
    <t xml:space="preserve">Compensacion </t>
  </si>
  <si>
    <t>Renta liquida Gravables No Laborales</t>
  </si>
  <si>
    <t>Devoluciones, Rebajas y Descuentos</t>
  </si>
  <si>
    <t>SERVICIO DE TRANSPORTE, ALMACENAMIENTO, COMUNICACIONES E INTERMEDIACION</t>
  </si>
  <si>
    <t>Por intereses diferentes a los originados en préstamos para adquisición de vivienda</t>
  </si>
  <si>
    <t>TOTAL DE RENTA LIQUIDA</t>
  </si>
  <si>
    <t>LIQUIDACION IMPUESTO PARA RENTA CEDULA LABORAL Y RENTA DE PENSION</t>
  </si>
  <si>
    <t>IMPUESTO PARA RENTA CEDULA LABORAL Y RENTA DE PENSION</t>
  </si>
  <si>
    <t>RANGO # 1</t>
  </si>
  <si>
    <t>RANGO # 2</t>
  </si>
  <si>
    <t>RANGO # 3</t>
  </si>
  <si>
    <t>RANGO # 4</t>
  </si>
  <si>
    <t>LIQUIDACION IMPUESTO PARA RENTA CEDULA NO LABORAL Y RENTA DE CAPITAL</t>
  </si>
  <si>
    <t>&gt;600</t>
  </si>
  <si>
    <t>&gt;1000</t>
  </si>
  <si>
    <t>&gt;2000</t>
  </si>
  <si>
    <t>&gt;3000</t>
  </si>
  <si>
    <t>RANGO # 5</t>
  </si>
  <si>
    <t>&gt;4000</t>
  </si>
  <si>
    <t>RANGO # 6</t>
  </si>
  <si>
    <t>RENTA EXENTAS</t>
  </si>
  <si>
    <t>Total retenciones año gravable 2017</t>
  </si>
  <si>
    <t>Anticipo renta por el año gravable 2018</t>
  </si>
  <si>
    <t>RENTAS NO LABORAL</t>
  </si>
  <si>
    <t>Ingresos por ganancias ocasionales en el país y del exterior</t>
  </si>
  <si>
    <t>RENTA</t>
  </si>
  <si>
    <t>Total Renta liquida Cedulares sume 37+42+53+66+74</t>
  </si>
  <si>
    <t>Renta Presuntiva</t>
  </si>
  <si>
    <t>RENTA POR DIVIDENDOS Y PARTCIPACIONES</t>
  </si>
  <si>
    <t xml:space="preserve">Dividendos y participaciones 2016 y anteriores, y otros </t>
  </si>
  <si>
    <t xml:space="preserve">Renta líquida ordinaria año 2016 y anteriores (67 - 68) </t>
  </si>
  <si>
    <t>1a. Subcédula año 2017 y siguientes numeral 3 art. 49 del E.T.</t>
  </si>
  <si>
    <t xml:space="preserve">2a. Subcédula año 2017 y siguientes parágrafo 2  art. 49 del E.T. </t>
  </si>
  <si>
    <t>Renta líquida pasiva dividendos - ECE y/o recibidos del exterior</t>
  </si>
  <si>
    <t>Rentas exentas de la casilla 72</t>
  </si>
  <si>
    <t>Rentas líquidas gravables de dividendos y participaciones (69 + 70 + 71 + 72 - 73)</t>
  </si>
  <si>
    <t>UNIVERSIDAD POPULAR DEL CESAR SECCIONAL AGUACHICA</t>
  </si>
  <si>
    <r>
      <t xml:space="preserve">          </t>
    </r>
    <r>
      <rPr>
        <sz val="7"/>
        <color theme="0"/>
        <rFont val="Arial"/>
        <family val="2"/>
      </rPr>
      <t>ELABORADO  POR EL C.P. YOIBER ANTONIO OJEDA PACHECO</t>
    </r>
    <r>
      <rPr>
        <sz val="8"/>
        <color theme="0"/>
        <rFont val="Arial"/>
        <family val="2"/>
      </rPr>
      <t xml:space="preserve">-DOCENTE  </t>
    </r>
  </si>
  <si>
    <t>Impuestos Sobre las Rentas Liquidas Cedulares</t>
  </si>
  <si>
    <t xml:space="preserve">De trabajo y de pensiones </t>
  </si>
  <si>
    <t>De capital y no laborales</t>
  </si>
  <si>
    <t>Por dividendos y participaciones año 2016 – casilla 6</t>
  </si>
  <si>
    <t>Por dividendos y participaciones año 2017 y siguientes, 2a. Subcédula,  y otros</t>
  </si>
  <si>
    <t>Por dividendos y participaciones año 2017 y siguientes, 1a. Subcédula,</t>
  </si>
  <si>
    <t>Saldo a favor año 2016 sin solicitud de devolución o compensación</t>
  </si>
  <si>
    <t>Por impuestos pagados en el exterior</t>
  </si>
  <si>
    <t>Total impuesto sobre las rentas líquidas cedulares (Sume 81 a 85)</t>
  </si>
  <si>
    <t>Impuesto sobre la renta presuntiva</t>
  </si>
  <si>
    <t xml:space="preserve">Total impuesto sobre la renta líquida </t>
  </si>
  <si>
    <t>VENTAS DE ACTIVOS FIJOS</t>
  </si>
  <si>
    <t>ANTICIPO DE IMPUESTO</t>
  </si>
  <si>
    <t>LIQUIDACION DEL IMPUESTO SOBRE LA RENTA LIQUIDA ESPECIAL</t>
  </si>
  <si>
    <t>ARRIENDO LOCAL DEL CONSULTORIO, OFICINA, SEDE O LOCAL</t>
  </si>
  <si>
    <t>SERVICIOS PUBLICOS LOCAL DEL CONSULTORIO, OFICINA, SEDE O LOCAL</t>
  </si>
  <si>
    <t>SALARIOS EMPLEADOS LOCAL DEL CONSULTORIO, OFICINA, SEDE O LOCAL</t>
  </si>
  <si>
    <t>PRESTACIONES SOCIALES EMPLEADOS LOCAL DEL CONSULTORIO, OFICINA, SEDE O LOCAL</t>
  </si>
  <si>
    <t>SEGURIDAD SOCIAL Y APORTE PARAFISCALES EMPLEADOS LOCAL DEL CONSULTORIO, OFICINA, SEDE O LOCAL</t>
  </si>
  <si>
    <t>RENTAS POR DIVIDENDOS Y PARTICIPACIONES</t>
  </si>
  <si>
    <t>DEPURACION RENTA POR DIVIDENDOS Y PARTICIPACIONES</t>
  </si>
  <si>
    <t>DECRETADAS ASAMBLEA DE ACCIONISTAS O JUNTA DE SOCIOS DE AÑOS 2016 Y ANTERIORES</t>
  </si>
  <si>
    <t>CERTIFICADAS S/N NUM. 7 ART 49 E.T.</t>
  </si>
  <si>
    <t>DIVIDENDOS Y PARTICIPACIONES NO GRAVADOS CERTIFICADAS</t>
  </si>
  <si>
    <t>SECCION DE COSTOS / GASTOS PROCEDENTES / DEDUCCIONES IMPUTABLES</t>
  </si>
  <si>
    <t>SECCION DE DATOS FISCALES</t>
  </si>
  <si>
    <t>RENTA LIQUIDA GRAVABLE - RECUPERACION DE DEDUCCIONES</t>
  </si>
  <si>
    <t>CANON DE ARRENDAMIENTO DE MUEBLES</t>
  </si>
  <si>
    <t>Salarios</t>
  </si>
  <si>
    <t>servicios de Transporte</t>
  </si>
  <si>
    <t>OBLIGADO A LLEVAR CONTABILIDAD</t>
  </si>
  <si>
    <r>
      <t xml:space="preserve">Por intereses </t>
    </r>
    <r>
      <rPr>
        <b/>
        <sz val="8"/>
        <rFont val="Arial"/>
        <family val="2"/>
      </rPr>
      <t>diferentes</t>
    </r>
    <r>
      <rPr>
        <sz val="8"/>
        <rFont val="Arial"/>
        <family val="2"/>
      </rPr>
      <t xml:space="preserve"> a los originados en préstamos para adquisición de vivienda</t>
    </r>
  </si>
  <si>
    <t>CANON DE ARRENDAMIENTO DE FINCA</t>
  </si>
  <si>
    <t>INSUMOS Y MEDICAMENTOS GANADO BOVINO</t>
  </si>
  <si>
    <t>EQUIPO DE COMPUTACION</t>
  </si>
  <si>
    <t>MUEBLES Y ENSERES CASA DE HABITACION</t>
  </si>
  <si>
    <t>APORTE EN FONDO DE PENSIONES Y/O CESANTIAS</t>
  </si>
  <si>
    <t>JUEGO DE INVENTARIO</t>
  </si>
  <si>
    <t xml:space="preserve">DE COMERCIANTE </t>
  </si>
  <si>
    <t>SISTEMA PERMANENTE</t>
  </si>
  <si>
    <t>COMERCIO AL POR MENOR Y AL POR MAYOR</t>
  </si>
  <si>
    <t>CANON DE ARRENDAMIENTO DE INMUEBLES</t>
  </si>
  <si>
    <t>IMPUESTO PREDIAL</t>
  </si>
  <si>
    <t>TOTAL PENSION VOLUNTARIO Y AFC</t>
  </si>
  <si>
    <t>LIMITE DE TOTAL PENSION VOLUNTARIO Y AFC (30%)</t>
  </si>
  <si>
    <t>LIMITE DE TOTAL PENSION VOLUNTARIO Y AFC (3800 UVT)</t>
  </si>
  <si>
    <t>INDEMNIZACIONES EN DINERO O EN ESPECIE POR SEGURO DE DAÑO-DAÑO EMERGENTE</t>
  </si>
  <si>
    <t>INDEMNIZACIONES EN DINERO O EN ESPECIE POR SEGURO DE DAÑO(LUCRO CESANTE + DAÑO EMERGENTE)</t>
  </si>
  <si>
    <t>SEGURO POR MUERTE Y COMPENSACIÓN POR MUERTE DE LAS FF.MM  Y LA POLICÍA NACIONAL</t>
  </si>
  <si>
    <t>VENTAS DE ACTIVOS FIJOS POSEIDOS POR MENOS DE 2 AÑOS</t>
  </si>
  <si>
    <t xml:space="preserve">Obtenidos en el exterior </t>
  </si>
  <si>
    <t xml:space="preserve">Ingresos Obtenidos en el exterior </t>
  </si>
  <si>
    <t>COSTOS INGRESOS OBTENIDOS EN EL EXTERIOR</t>
  </si>
  <si>
    <t>Ingresos no constitutivos de renta, Costos y Gastos procedentes trabajadores Independiente</t>
  </si>
  <si>
    <t>TOTAL GASTOS PROCEDENTES</t>
  </si>
  <si>
    <t>Costos</t>
  </si>
  <si>
    <t>Saldo a favor año 2017 sin solicitud de devolución o compensación</t>
  </si>
  <si>
    <t>Total retenciones año gravable 2018</t>
  </si>
  <si>
    <t>Anticipo renta por el año gravable 2019</t>
  </si>
  <si>
    <t>TOTAL COSTOS TODAS LAS ACTIVIDADES</t>
  </si>
  <si>
    <t>Gastos procedentes</t>
  </si>
  <si>
    <t xml:space="preserve">Ingresos no constitutivos de renta, </t>
  </si>
  <si>
    <t>Costos y Deducciones procedentes (trabajadores Independiente)</t>
  </si>
  <si>
    <t>Renta líquida (31-32 - 33)</t>
  </si>
  <si>
    <t>Cedulas de Pensiones</t>
  </si>
  <si>
    <t>Cedula de Dividendos y participaciones</t>
  </si>
  <si>
    <t>Rentas exentas de la casilla 79</t>
  </si>
  <si>
    <t>Costos y deducciones Procedentes</t>
  </si>
  <si>
    <t>Rentas exentas y deducciones imputables
a las rentas no laborales</t>
  </si>
  <si>
    <t xml:space="preserve">Rentas exentas y deducciones imputables
(limitadas) </t>
  </si>
  <si>
    <t>Renta líquida cédula general (ver instructivo)</t>
  </si>
  <si>
    <t>Rentas exentas y deducciones imputables
limitadas (36 + 44 + 56)</t>
  </si>
  <si>
    <t>Renta líquida ordinaria cédula general
(61 - 62)</t>
  </si>
  <si>
    <t>Compensaciones por pérdidas rentas de capital</t>
  </si>
  <si>
    <t>Compensaciones por pérdidas rentas
no laborales</t>
  </si>
  <si>
    <t xml:space="preserve">Compensaciones por pérdidas año gravable 2016
y anteriores </t>
  </si>
  <si>
    <t>Compensaciones por exceso de renta presuntiva</t>
  </si>
  <si>
    <t>Renta liquida Gravables</t>
  </si>
  <si>
    <t>Renta líquida gravable cédula general
(63 + 66 - 64 - 65)</t>
  </si>
  <si>
    <t>CEDULA GENERAL</t>
  </si>
  <si>
    <t>General y de pensiones
(base casillas 67 + 73)</t>
  </si>
  <si>
    <t>o Renta presuntiva y de pensiones
(base casillas 68 + 73)</t>
  </si>
  <si>
    <t>Impuestos Sobre las Rentas Liquidas Gravable</t>
  </si>
  <si>
    <t>Total impuesto sobre las rentas líquidas
gravables (sume 85 a 89)</t>
  </si>
  <si>
    <t>General y de pensiones (base casillas 67 + 73)</t>
  </si>
  <si>
    <t>IMPUESTO PARA RENTA GENERAL Y DE PENSION</t>
  </si>
  <si>
    <t>&gt;8670</t>
  </si>
  <si>
    <t>&gt;18970</t>
  </si>
  <si>
    <t>&gt;31000</t>
  </si>
  <si>
    <t>RANGO # 7</t>
  </si>
  <si>
    <t>Saldo a pagar por impuesto
(98 + 102 - 99 - 100 - 101)</t>
  </si>
  <si>
    <t>Total saldo a pagar (98 + 102 + 104 - 99 - 100 - 101)</t>
  </si>
  <si>
    <t>Total saldo a favor
(99 + 100 + 101 - 98 - 102 - 104)</t>
  </si>
  <si>
    <t>Retenciones año gravable a declarar</t>
  </si>
  <si>
    <t xml:space="preserve">Saldo a favor del año gravable anterior sin
solicitud de devolución y/o compensación </t>
  </si>
  <si>
    <t>Anticipo renta liquidado año gravable anterior</t>
  </si>
  <si>
    <t>Compensaciones por pérdidas rentas no laborales</t>
  </si>
  <si>
    <t>Devoluciones, Rebajas y descuentos</t>
  </si>
  <si>
    <t>Renta líquida (69 - 70)</t>
  </si>
  <si>
    <t>Renta líquida cedular de Pension (71 - 72)</t>
  </si>
  <si>
    <t>Renta líquida (38-39-40)</t>
  </si>
  <si>
    <t>Renta líquida ordinaria del ejercicio (38 + 42 - 39 - 40 - 44)</t>
  </si>
  <si>
    <t>Pérdida líquida del ejercicio (39 + 40 - 38 - 42)</t>
  </si>
  <si>
    <t>Compensacion de Perdidas de rentas de Capital</t>
  </si>
  <si>
    <t>Renta líquida de capital (45 - 47)</t>
  </si>
  <si>
    <t>COMPENSACION DE PERDIDAS FISCALES - ART 150 E.T. RENTA LABORAL</t>
  </si>
  <si>
    <t>COMPENSACION DE PERDIDAS FISCALES - ART 150 E.T. RENTA DE CAPITAL</t>
  </si>
  <si>
    <t>COMPENSACION DE RENTA PRESUNTIVA</t>
  </si>
  <si>
    <t>Las donaciones efectuadas a entidades sin ánimo de lucro que hayan sido calificadas en el régimen especial del impuesto sobre la renta y complementarios y a las entidades no contribuyentes de que tratan los artículos 22 y 23 del Estatuto Tributario</t>
  </si>
  <si>
    <t xml:space="preserve">IMPUESTO BASICO DE RENTA </t>
  </si>
  <si>
    <t>DESCUENTOS TRIBUTARIOS</t>
  </si>
  <si>
    <t>TOTAL DE DESCUENTOS</t>
  </si>
  <si>
    <t>IMPUESTO BASICO DE RENTA DESPUES DE DESCUENTO</t>
  </si>
  <si>
    <t>IMPUESTO POR PRESUNTIVA</t>
  </si>
  <si>
    <t>LIMITE 75% IMPTO POR PRESUNTIVA</t>
  </si>
  <si>
    <t>%</t>
  </si>
  <si>
    <t>CESANTIAS E INTERES DE CESANTIAS RETIRADAS DEL FONDO</t>
  </si>
  <si>
    <t xml:space="preserve">PERSONA NATURAL Y ASIMILADAS DE RESIDENTES Y SUCESIONES </t>
  </si>
  <si>
    <t>ILIQUIDAS DE CAUSANTES RESIDENTES</t>
  </si>
  <si>
    <t>EFECTIVO Y EQUIVALENTE AL EFECTIVO</t>
  </si>
  <si>
    <t>PATRIMONIO</t>
  </si>
  <si>
    <t>Ingresos Brutos</t>
  </si>
  <si>
    <t>Ingresos No constitutivos de Renta</t>
  </si>
  <si>
    <t>Costos y Deducciones Procedentes</t>
  </si>
  <si>
    <t>Renta Liquida</t>
  </si>
  <si>
    <t>Renta Liquida Pasivas ECE</t>
  </si>
  <si>
    <t>Conceptos / Rentas</t>
  </si>
  <si>
    <t>Rentas de Trabajo</t>
  </si>
  <si>
    <t>Rentas No laborales</t>
  </si>
  <si>
    <t>Rentas De Capital</t>
  </si>
  <si>
    <t>RENTAS EXENTAS</t>
  </si>
  <si>
    <t>Aportes Voluntarios AFC, FVP y/o AVC</t>
  </si>
  <si>
    <t>Otras Rentas Exentas</t>
  </si>
  <si>
    <t>Total Rentas Exentas</t>
  </si>
  <si>
    <t>Deducciones Imputables</t>
  </si>
  <si>
    <t>Intereses de Vivienda</t>
  </si>
  <si>
    <t>Otras Deducciones Imputables</t>
  </si>
  <si>
    <t>Total de Deducciones Imputables</t>
  </si>
  <si>
    <t>Rentas Exentas y/o deduc. Imputables (Limitadas)</t>
  </si>
  <si>
    <t>Rentas Liquida Ordinaria del Ejercicio</t>
  </si>
  <si>
    <t>Perdida Liquida del Ejercicio</t>
  </si>
  <si>
    <t>Compensacion por Perdidas</t>
  </si>
  <si>
    <t>Renta Liquida Ordinaria</t>
  </si>
  <si>
    <t>DEPURACION RENTA GENERAL NO LABORAL</t>
  </si>
  <si>
    <t>DEPURACION RENTA GENERAL LABORAL</t>
  </si>
  <si>
    <t>Rentas exentas y deducciones  imputables</t>
  </si>
  <si>
    <t>Comp. Perdidas año 2018 y ant.</t>
  </si>
  <si>
    <t>R. liq. Ord. Cedula General</t>
  </si>
  <si>
    <t>R. liq. Grav. Cedula General</t>
  </si>
  <si>
    <t>Renta Gravables</t>
  </si>
  <si>
    <t>Ren. Ex. Y ded. Imp. Li.</t>
  </si>
  <si>
    <t>Ren. Liquida Ced. Gen</t>
  </si>
  <si>
    <t>Comp. Por Exc. Renta Presuntiva</t>
  </si>
  <si>
    <t>Renta líquida (99 - 100)</t>
  </si>
  <si>
    <t>Imp. Pagados en el Ext.</t>
  </si>
  <si>
    <t>Total Descuentos trib.</t>
  </si>
  <si>
    <t>Saldo a Pagar Por Impuesto</t>
  </si>
  <si>
    <t>Total Saldo a Pagar</t>
  </si>
  <si>
    <t>Total Saldo a Favor</t>
  </si>
  <si>
    <t>General y de pensiones
(base casillas 97 +103)</t>
  </si>
  <si>
    <t>Renta líquida (58-59-60)</t>
  </si>
  <si>
    <t>Renta líquida de capital (70 - 72)</t>
  </si>
  <si>
    <t>Renta líquida ordinaria del ejercicio (58 + 59 - 60 - 62 - 69)</t>
  </si>
  <si>
    <t>Pérdida líquida del ejercicio (60+62+69-58-59)</t>
  </si>
  <si>
    <t>COMPENSACION DE PERDIDAS FISCALES - ART 150 E.T. RENTA HONORARIOS</t>
  </si>
  <si>
    <t>TOTAL COSTOS Y GASTOS PROCEDENTES</t>
  </si>
  <si>
    <t>LIQUIDACION IMPUESTO DIVIDENDOS</t>
  </si>
  <si>
    <t>IMPUESTO DIVIDENDOS</t>
  </si>
  <si>
    <t>&gt;300</t>
  </si>
  <si>
    <t>RIOJAS QUINTERO MAIRA ALEJANDRA</t>
  </si>
  <si>
    <t>DATOS  DE LA DECLARACION AÑO 2022</t>
  </si>
  <si>
    <t>EMOLUMENTOS ECLESIASTICOS</t>
  </si>
  <si>
    <t>APOYOS EDUCATIVOS PARA FINANCIAR PROGRAMAS EDUCATIVOS</t>
  </si>
  <si>
    <t>COMPENSACIONES PERSONALES (HONORARIOS - SERVICIOS)</t>
  </si>
  <si>
    <t>SUBSIDIOS DE I.C.R.</t>
  </si>
  <si>
    <t>SUBSIDIOS I.C.R.</t>
  </si>
  <si>
    <t>DEPENDIENTES ART 387 E.T.</t>
  </si>
  <si>
    <t>DEPENDIENTES ART 336 E.T.</t>
  </si>
  <si>
    <t>Dependientes Art 387 ETN</t>
  </si>
  <si>
    <t>PADRES</t>
  </si>
  <si>
    <t>LIMITE DE TOTAL PENSION VOLUNTARIO Y AFC (30% X INGR. LABORAL)</t>
  </si>
  <si>
    <t>TOTAL PENSION VOLUNTARIO Y AFC - FVP - AVC</t>
  </si>
  <si>
    <t xml:space="preserve">AFC - FVP - AVC </t>
  </si>
  <si>
    <r>
      <t xml:space="preserve">APORTE VOLUNTARIO A CUENTA DE AHORRO PARA EL FOMENTO DE LA CONSTRUCCION - </t>
    </r>
    <r>
      <rPr>
        <b/>
        <sz val="6"/>
        <rFont val="Arial"/>
        <family val="2"/>
      </rPr>
      <t>AFC</t>
    </r>
    <r>
      <rPr>
        <sz val="6"/>
        <rFont val="Arial"/>
        <family val="2"/>
      </rPr>
      <t xml:space="preserve"> APORTES VOLUNTARIOS A LOS SEGUROS PRIVADOS DE PENSIONES – </t>
    </r>
    <r>
      <rPr>
        <b/>
        <sz val="6"/>
        <rFont val="Arial"/>
        <family val="2"/>
      </rPr>
      <t>FVP</t>
    </r>
    <r>
      <rPr>
        <sz val="6"/>
        <rFont val="Arial"/>
        <family val="2"/>
      </rPr>
      <t xml:space="preserve"> Y A LAS CUENTAS DE AHORRO VOLUNTARIO CONTRACTUAL – </t>
    </r>
    <r>
      <rPr>
        <b/>
        <sz val="6"/>
        <rFont val="Arial"/>
        <family val="2"/>
      </rPr>
      <t>AVC</t>
    </r>
  </si>
  <si>
    <t>COMPRAS Y SERVICIOS NUM 5 ART 336 E.T.N.</t>
  </si>
  <si>
    <t>DEPENDIENTES ART 336 E.T.N.</t>
  </si>
  <si>
    <t>LIMITE DEL 40% SIN INCLUIR DEDUCCIONES ART 336</t>
  </si>
  <si>
    <t>https://www.youtube.com/watch?v=5jx1pxgAOz0</t>
  </si>
  <si>
    <t>RENTAS  DE  TRABAJO</t>
  </si>
  <si>
    <t>LIMITE DE TOTAL PENSION VOLUNTARIO Y AFC (30% X INGR. CAPITAL)</t>
  </si>
  <si>
    <t>Los aportes a título de cesantía - independiente</t>
  </si>
  <si>
    <t>Rentas exentas de Pensiones</t>
  </si>
  <si>
    <t>Renta líquida cedular de Pension (101 - 102)</t>
  </si>
  <si>
    <t>DEPURACION RENTA DE TRABAJO QUE NO PROVENGAN DE UNA RELACION LABORAL O LEGAL Y REGLAMENTARIA</t>
  </si>
  <si>
    <t>HONORARIOS Y PRESTACION DE SERVICIOS QUE NO PROVENGAN DE UNA RELACION LABORAL O LEGAL Y REGLAMENTARIA</t>
  </si>
  <si>
    <t>PENSION OBLIGATORIA / FONDO DE SOLIDARIDAD</t>
  </si>
  <si>
    <t>LIMITE DE 1340 UVT SIN INCLUIR DEDUCCIONES ART 336</t>
  </si>
  <si>
    <t>DATOS DEL CONTRIBUYENTE Y DE LA DECLARACION AÑO 2023</t>
  </si>
  <si>
    <t>TOPE INDICATIVO - ART 336 - 1 E.T.N.</t>
  </si>
  <si>
    <t>SUPERA EL TOPE, DEBO MARCAR</t>
  </si>
  <si>
    <t>NO SUPERA EL TOPE, DEBO MARCAR</t>
  </si>
  <si>
    <t>LIMITE GENERAL 1340 UVT  + NUM 5 ART 336 ET</t>
  </si>
  <si>
    <t>Aporte Voluntario pension - Art 55 ETN</t>
  </si>
  <si>
    <t>APORTES VOLUNTARIOS A FONDO DE CESANTIAS</t>
  </si>
  <si>
    <t>Total de Rentas exentas</t>
  </si>
  <si>
    <t>APORTE DE CESANTIAS</t>
  </si>
  <si>
    <t>Aporte a FVP - AVC</t>
  </si>
  <si>
    <t>RENTAS DE TRABAJO QUE NO PROVIENEN DE UNA RELACION LABORAL O LEGAL Y REGLAMENTARIA</t>
  </si>
  <si>
    <t>INGRESOS BRUTOS</t>
  </si>
  <si>
    <t>INGRESOS NO CONSTITUTIVOS DE RENTA NI GANANCIA OCASIONAL</t>
  </si>
  <si>
    <t>HONORARIOS Y PRESTACION DEL SERVICIO</t>
  </si>
  <si>
    <t>HERMANOS (AS)</t>
  </si>
  <si>
    <t>HIJOS (AS)</t>
  </si>
  <si>
    <t>HIJOS (AS) Y PADRES</t>
  </si>
  <si>
    <t>ESPOSA (O), HIJOS (AS)  Y PADRES</t>
  </si>
  <si>
    <t>HIJOS (AS), PADRES Y HERMANOS</t>
  </si>
  <si>
    <t>PADRES Y HERMANOS (AS)</t>
  </si>
  <si>
    <t>ESPOSA (O), PADRES Y HERMANOS (AS)</t>
  </si>
  <si>
    <t>HIJOS (AS) Y HERMANOS (AS)</t>
  </si>
  <si>
    <t>ESPOSA (O)</t>
  </si>
  <si>
    <t>ESPOSA (O) E HIJOS (AS)</t>
  </si>
  <si>
    <t>4. 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</si>
  <si>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t>5. Los padres y los hermanos del contribuyente que se encuentren en situación de dependencia, sea por ausencia de ingresos o ingresos en el año menores a doscientas sesenta (260) UVT, certificada por contador público, o por dependencia originada en factores físicos o psicológicos que sean certificados por Medicina Legal.</t>
  </si>
  <si>
    <t>2. Los hijos del contribuyente con edad entre 18 y 23 años, cuando el padre o madre contribuyente persona natural se encuentre financiando su educación en instituciones formales de educación superior certificadas por el ICFES o la autoridad oficial correspondiente; o en los programas técnicos de educación no formal debidamente acreditados
por la autoridad competente.</t>
  </si>
  <si>
    <t>OTROS COSTOS</t>
  </si>
  <si>
    <t>Servicios</t>
  </si>
  <si>
    <t>RENTA DE TRABAJO QUE NO PROVIENEN DE RELACION LABORAL O LEGAL Y REGLAMENTARIA</t>
  </si>
  <si>
    <t>Uno porciento (1%) de las compras con factura electronica</t>
  </si>
  <si>
    <t>Imptos Pagados Diferente a Gravamen Movimiento Financiero</t>
  </si>
  <si>
    <t>ASISTENCIA TECNICA</t>
  </si>
  <si>
    <t>SERVICIOS PERSONALES</t>
  </si>
  <si>
    <t>COMPRA DE SEMILLA</t>
  </si>
  <si>
    <t>PATRIMONIO BRUTO AÑO 2022 - FORMATO 210 - RG 29</t>
  </si>
  <si>
    <t>IMPUESTO NETO DE RENTA AÑO 2022 - FORMATO 210 - RG 127</t>
  </si>
  <si>
    <t>PATRIMONIO LIQUIDO AÑO 2022- FORMATO 210 - RG 31</t>
  </si>
  <si>
    <t>ANTICIPO DE IMPUESTO RENTA AÑO 2022 - FORMATO 210 - RG 134</t>
  </si>
  <si>
    <t>SALDO A FAVOR AÑO 2022 - FORMATO 210 - RG 138</t>
  </si>
  <si>
    <r>
      <t>RENTAS DE TRABAJO</t>
    </r>
    <r>
      <rPr>
        <b/>
        <sz val="8"/>
        <color rgb="FFFF0000"/>
        <rFont val="Arial"/>
        <family val="2"/>
      </rPr>
      <t xml:space="preserve"> (HONORARIOS) </t>
    </r>
    <r>
      <rPr>
        <b/>
        <sz val="8"/>
        <color theme="1"/>
        <rFont val="Arial"/>
        <family val="2"/>
      </rPr>
      <t xml:space="preserve">QUE NO PROVIENEN DE RELACION LABORAL O LEGAL Y REGLAMENTARIA </t>
    </r>
    <r>
      <rPr>
        <b/>
        <sz val="8"/>
        <color rgb="FFFF0000"/>
        <rFont val="Arial"/>
        <family val="2"/>
      </rPr>
      <t>Y DECIDA NO</t>
    </r>
    <r>
      <rPr>
        <b/>
        <sz val="8"/>
        <color theme="1"/>
        <rFont val="Arial"/>
        <family val="2"/>
      </rPr>
      <t xml:space="preserve"> APLICAR LOS COSTOS Y GASTOS PROCEDENTE</t>
    </r>
  </si>
  <si>
    <r>
      <t>RENTAS DE TRABAJO</t>
    </r>
    <r>
      <rPr>
        <b/>
        <sz val="8"/>
        <color rgb="FFFF0000"/>
        <rFont val="Arial"/>
        <family val="2"/>
      </rPr>
      <t xml:space="preserve"> (HONORARIOS) </t>
    </r>
    <r>
      <rPr>
        <b/>
        <sz val="8"/>
        <color theme="1"/>
        <rFont val="Arial"/>
        <family val="2"/>
      </rPr>
      <t xml:space="preserve">QUE NO PROVIENEN DE RELACION LABORAL O LEGAL Y REGLAMENTARIA </t>
    </r>
    <r>
      <rPr>
        <b/>
        <sz val="8"/>
        <color rgb="FFFF0000"/>
        <rFont val="Arial"/>
        <family val="2"/>
      </rPr>
      <t>Y DECIDA</t>
    </r>
    <r>
      <rPr>
        <b/>
        <sz val="8"/>
        <color theme="1"/>
        <rFont val="Arial"/>
        <family val="2"/>
      </rPr>
      <t xml:space="preserve"> APLICAR LOS COSTOS Y GASTOS PROCEDENTE</t>
    </r>
  </si>
  <si>
    <r>
      <t>RENTAS DE TRABAJO</t>
    </r>
    <r>
      <rPr>
        <b/>
        <sz val="8"/>
        <color rgb="FFFF0000"/>
        <rFont val="Arial"/>
        <family val="2"/>
      </rPr>
      <t xml:space="preserve"> (SERVICIOS) </t>
    </r>
    <r>
      <rPr>
        <b/>
        <sz val="8"/>
        <color theme="1"/>
        <rFont val="Arial"/>
        <family val="2"/>
      </rPr>
      <t xml:space="preserve">QUE NO PROVIENEN DE RELACION LABORAL O LEGAL Y REGLAMENTARIA </t>
    </r>
    <r>
      <rPr>
        <b/>
        <sz val="8"/>
        <color rgb="FFFF0000"/>
        <rFont val="Arial"/>
        <family val="2"/>
      </rPr>
      <t>Y DECIDA NO</t>
    </r>
    <r>
      <rPr>
        <b/>
        <sz val="8"/>
        <color theme="1"/>
        <rFont val="Arial"/>
        <family val="2"/>
      </rPr>
      <t xml:space="preserve"> APLICAR LOS COSTOS Y GASTOS PROCEDENTE</t>
    </r>
  </si>
  <si>
    <r>
      <t>RENTAS DE TRABAJO</t>
    </r>
    <r>
      <rPr>
        <b/>
        <sz val="8"/>
        <color rgb="FFFF0000"/>
        <rFont val="Arial"/>
        <family val="2"/>
      </rPr>
      <t xml:space="preserve"> (SERVICIOS) </t>
    </r>
    <r>
      <rPr>
        <b/>
        <sz val="8"/>
        <color theme="1"/>
        <rFont val="Arial"/>
        <family val="2"/>
      </rPr>
      <t xml:space="preserve">QUE NO PROVIENEN DE RELACION LABORAL O LEGAL Y REGLAMENTARIA </t>
    </r>
    <r>
      <rPr>
        <b/>
        <sz val="8"/>
        <color rgb="FFFF0000"/>
        <rFont val="Arial"/>
        <family val="2"/>
      </rPr>
      <t xml:space="preserve">Y DECIDA </t>
    </r>
    <r>
      <rPr>
        <b/>
        <sz val="8"/>
        <color theme="1"/>
        <rFont val="Arial"/>
        <family val="2"/>
      </rPr>
      <t>APLICAR LOS COSTOS Y GASTOS PROCEDENTE</t>
    </r>
  </si>
  <si>
    <t>TOTAL DE RENTAS DE TRABAJO (HONORARIOS Y SERVICIOS) QUE NO PORVIENEN DE RELACION LABORAL O LEGAL Y REGLAMENTARIA  MAS COMISIONES.</t>
  </si>
  <si>
    <t>INMUEBLE DE VIVIENDA HABITACION DE PROPIEDAD DEL CAUSANTE</t>
  </si>
  <si>
    <t>INMUEBLE DIFERENTE A VIVIENDA DE HABITACION DE PROPIEDAD DEL CAUSANTE</t>
  </si>
  <si>
    <t>HERENCIA DIFERENTE A UNA VIVIENDA DE HABITACION DE PROPIEDAD DEL CAUSANTE</t>
  </si>
  <si>
    <t>LEGADO DIFERENTE A UNA VIVIENDA HABITACION DE PROPIEDAD DEL CAUSANTE</t>
  </si>
  <si>
    <t>INMUEBLE DIFERENTE A VIVIENDA DE HABITACION DE PROPIEDAD DEL CAUSANTE.</t>
  </si>
  <si>
    <t>HERENCIA DIFERENTE A UNA VIVIENDA HABITACION E INMUEBLE DIFERENTE A VIVIENDAD DE HABITACION DE PROPIEDAD DEL CAUSANTE</t>
  </si>
  <si>
    <t>LEGADO DIFERENTE A UNA VIVIENDA HABITACION Y UN INMUEBLE DIFERENTE A VIVIENDA DE HABITACION DE PROPIEDAD DEL CAUSANTE</t>
  </si>
  <si>
    <t>IVA EN LA IMPORTACIÓN, FORMACIÓN, CONSTRUCCIÓN O ADQUISICIÓN DE ACTIVOS FIJOS REALES PRODUCTIVOS - ART 258 - 1 E.T.N.</t>
  </si>
  <si>
    <t>SUBSIDIOS ICR</t>
  </si>
  <si>
    <t>OTROS INGRESOS</t>
  </si>
  <si>
    <t>SUBSIDIOS DE ICR</t>
  </si>
  <si>
    <t>Incentivos a la generación de energía eléctrica con fuentes no convencionales (FNCE) (Energia hidroeléctricos, la eólica, la geotérmica, la solar y los mares)</t>
  </si>
  <si>
    <t xml:space="preserve">Gastos laborales </t>
  </si>
  <si>
    <t>14. Dependientes</t>
  </si>
  <si>
    <t>241. Tipo de Documento del dependiente</t>
  </si>
  <si>
    <t>242. No. de Identificacion del dependiente</t>
  </si>
  <si>
    <t>11. Regsitro Civil de Nacimiento</t>
  </si>
  <si>
    <t>11. Registro Civil de Nacimiento</t>
  </si>
  <si>
    <t>1. Hijos del contribuyente hasta 18 años</t>
  </si>
  <si>
    <t>12. Tarjeta de Identidad</t>
  </si>
  <si>
    <t>2. Hijos del contribuyente entre 18 y 23 años</t>
  </si>
  <si>
    <t>13. Cedula de Ciudadania</t>
  </si>
  <si>
    <t>3. Hijos del Contribuyente mayores de 23 años dependientes</t>
  </si>
  <si>
    <t>14. Certificado de Registraduria sin Identificacion</t>
  </si>
  <si>
    <t>4. El conyuge o compañero(a) permanente</t>
  </si>
  <si>
    <t>287. Tipo de Documento del dependiente 2:</t>
  </si>
  <si>
    <t>288. No. de Identificacion del dependiente 2:</t>
  </si>
  <si>
    <t>21. Tarjeta de Extranjeria</t>
  </si>
  <si>
    <t>5. Padres y los hermanos dependiente</t>
  </si>
  <si>
    <t>22. Cedula de Extranjeria</t>
  </si>
  <si>
    <t>289. Parentesco 2</t>
  </si>
  <si>
    <t>31. NIT</t>
  </si>
  <si>
    <t>32. Tipo de Documento Desconocido</t>
  </si>
  <si>
    <t>41. Pasaporte</t>
  </si>
  <si>
    <t>290. Tipo de Documento del dependiente 3:</t>
  </si>
  <si>
    <t>291. No. de Identificacion del dependiente 3:</t>
  </si>
  <si>
    <t>42. Documento de Identificacion Extranjero</t>
  </si>
  <si>
    <t>292. Parentesco 3</t>
  </si>
  <si>
    <t>293. Tipo de Documento del dependiente 4:</t>
  </si>
  <si>
    <t>294. No. de Identificacion del dependiente 4:</t>
  </si>
  <si>
    <t>295. Parentesco 4</t>
  </si>
  <si>
    <t>357. Tipo de Documento dependiente asociado a la deduccion del 10%</t>
  </si>
  <si>
    <t>358. No. de Identificacion de dependiente asociado a la deduccion del 10%:</t>
  </si>
  <si>
    <t>359. Parentesco dependientes asociados a la deduccion del 10%:</t>
  </si>
  <si>
    <t>138. Numero de dependientes economicos</t>
  </si>
  <si>
    <t>139. Adicion por Dependientes a la casilla 92</t>
  </si>
  <si>
    <t>2a. Subcédula año 2017 y siguientes paragrafo 2 art. 49 del E.T.</t>
  </si>
  <si>
    <t>Dividendos y participaciones recibidas del exterior</t>
  </si>
  <si>
    <t>Renta líquida ordinaria año 2016 y anteriores - RG 106</t>
  </si>
  <si>
    <t xml:space="preserve">Renta líquida ordinaria año 2016 y anteriores (104 - 105) </t>
  </si>
  <si>
    <t>DIVIDENDOS Y PARTICIPACIONES DECRETADOS Y CERTIFICADOS</t>
  </si>
  <si>
    <t>Renta liquida gravable(Cedula General o renta presuntiva, de pensiones y de Dividendos y Participaciones, Art 241 E.T.</t>
  </si>
  <si>
    <t>Dividendos y Participaciones recibidos del exterior</t>
  </si>
  <si>
    <t>DEPURACION GANANCIA OCASIONAL</t>
  </si>
  <si>
    <t>Ingresos por Ganancias Ocasionales en el pais y el exterior</t>
  </si>
  <si>
    <t>Costos por Ganancias Ocasionales</t>
  </si>
  <si>
    <t>OJEDA PACHE</t>
  </si>
  <si>
    <t>Ganancias Ocasionales No gravadas y Exentas</t>
  </si>
  <si>
    <t>Ganancias Ocasionales gravadas</t>
  </si>
  <si>
    <t>VENTA DE ACTIVOS FIJOS POSEIDOS POR MAS DE 2 AÑOS</t>
  </si>
  <si>
    <t>CO  YOIBER  ANTONIO</t>
  </si>
  <si>
    <t xml:space="preserve">   ELABORADO POR: C.P.</t>
  </si>
  <si>
    <t>LOTERIAS, RIFAS,APUESTAS Y SIMILARES</t>
  </si>
  <si>
    <t>RENTA ORDINARIO</t>
  </si>
  <si>
    <t>11. Cedula de dividendos y participaciones:Otras Tarifas 2º Subcedula art 49 del E.T.</t>
  </si>
  <si>
    <t>Tarifa 1:</t>
  </si>
  <si>
    <t>Base 1:</t>
  </si>
  <si>
    <t>Impuesto Dividendo 1</t>
  </si>
  <si>
    <t>Tarifa 2:</t>
  </si>
  <si>
    <t>Tarifa 3:</t>
  </si>
  <si>
    <t>Tarifa 4:</t>
  </si>
  <si>
    <t>Tarifa 5:</t>
  </si>
  <si>
    <t>Tarifa 6:</t>
  </si>
  <si>
    <t>Base 2:</t>
  </si>
  <si>
    <t>Base 3:</t>
  </si>
  <si>
    <t>Base 4:</t>
  </si>
  <si>
    <t>Base 5:</t>
  </si>
  <si>
    <t>Base 6:</t>
  </si>
  <si>
    <t>Impuesto Dividendo 2</t>
  </si>
  <si>
    <t>Impuesto Dividendo 3</t>
  </si>
  <si>
    <t>Impuesto Dividendo 4</t>
  </si>
  <si>
    <t>Impuesto Dividendo 5</t>
  </si>
  <si>
    <t>Impuesto Dividendo 6</t>
  </si>
  <si>
    <t>Impuesto Dividendo 7</t>
  </si>
  <si>
    <t>Impuesto Dividendo 8</t>
  </si>
  <si>
    <t>Impuesto Dividendo 9</t>
  </si>
  <si>
    <t>Impuesto Dividendo 10</t>
  </si>
  <si>
    <t>Base 7:</t>
  </si>
  <si>
    <t>Base 8:</t>
  </si>
  <si>
    <t>Base 9:</t>
  </si>
  <si>
    <t>Base 10:</t>
  </si>
  <si>
    <t>Tarifa 7:</t>
  </si>
  <si>
    <t>Tarifa 8:</t>
  </si>
  <si>
    <t>Tarifa 9:</t>
  </si>
  <si>
    <t>Tarifa 10:</t>
  </si>
  <si>
    <t>PARA LA HONRA Y GLORIA DE NUESTRO SEÑOR JESUS CRISTO</t>
  </si>
  <si>
    <t>Dividendos y part y otros</t>
  </si>
  <si>
    <t>TOTAL DE RETENCIONES POR RENTA Y GANANCIA OCASIONAL AÑO 2023</t>
  </si>
  <si>
    <t>DETERMINADO A PARTIR DE LA RENTA LÍQUIDA CEDULAR DE DIVIDENDOS Y PARTICIPACIONES DE PERSONAS NATURALES RESIDENTES Y SUCESIONES ILÍQUIDAS DE CAUSANTES RESIDENTES - ART 254-1 - 1 E.T.N.</t>
  </si>
  <si>
    <t>LIQUIDACION DESCUENTOS TRIBUTARIOS DIVIDENDOS</t>
  </si>
  <si>
    <t>Rentas de trabajo que no provienen de relacion laboral o legal y regl.. (Art. 383 ET.)</t>
  </si>
  <si>
    <t>SECCION DE INGRESOS POR COMISIONES, SERVICIOS,  Y HONORARIOS SIN RELACION LABORAL O LEGAL Y REGLAMENTARIA</t>
  </si>
  <si>
    <t>PATRIMONIO LIQUIDO AÑO ANTERIOR</t>
  </si>
  <si>
    <t>IMPTO A CARGO AÑO ACTUAL</t>
  </si>
  <si>
    <t>SANCION UN MES POR INGRESOS</t>
  </si>
  <si>
    <t>SANCION UN MES POR PATRIMONIO LIQUIDO AÑO ANTERIOR</t>
  </si>
  <si>
    <t>TOTAL DE SANCIONES</t>
  </si>
  <si>
    <t>SANCION DE EXTEMPORANEIDAD</t>
  </si>
  <si>
    <t>ARRIENDO LOCAL COMERCIAL</t>
  </si>
  <si>
    <t>SALARIOS EMPLEADOS LOCAL COMERCIAL</t>
  </si>
  <si>
    <t>PRESTACIONES SOCIALES EMPLEADOS LOCAL COMERCIAL</t>
  </si>
  <si>
    <t>SEGURIDAD SOCIAL Y APORTE PARAFISCALES EMPLEADOS LOCAL COMERCIAL</t>
  </si>
  <si>
    <t>SERVICIOS PUBLICOS LOCAL COMERCIAL</t>
  </si>
  <si>
    <t>Combustible</t>
  </si>
  <si>
    <t>Mantenimiento y Reparaciones</t>
  </si>
  <si>
    <t>Gasto de Depreciacion</t>
  </si>
  <si>
    <t>Utiles, Papelerias y fotocopias</t>
  </si>
  <si>
    <t>Casino y Restaurante</t>
  </si>
  <si>
    <t>ART 111 LEY 1715 DE 2014</t>
  </si>
  <si>
    <t>Generacion de energia electrica con fuentes no convencionales (FNCE)</t>
  </si>
  <si>
    <t>Art 119 E.T.</t>
  </si>
  <si>
    <t>Art 126-1 Inc 6</t>
  </si>
  <si>
    <r>
      <t xml:space="preserve">          </t>
    </r>
    <r>
      <rPr>
        <b/>
        <sz val="7"/>
        <color theme="1"/>
        <rFont val="Arial"/>
        <family val="2"/>
      </rPr>
      <t>ELABORADO  POR EL C.P. YOIBER ANTONIO OJEDA PACHECO</t>
    </r>
    <r>
      <rPr>
        <b/>
        <sz val="8"/>
        <color theme="1"/>
        <rFont val="Arial"/>
        <family val="2"/>
      </rPr>
      <t xml:space="preserve">-DOCENTE  </t>
    </r>
  </si>
  <si>
    <t>Adicion por dependientes a la casilla 92</t>
  </si>
  <si>
    <t>Numero de dependientes economicos</t>
  </si>
  <si>
    <t>Aporte voluntario</t>
  </si>
  <si>
    <t>ud supero tope indicativo Art 336-1 ET Marque X</t>
  </si>
  <si>
    <t>RG 356</t>
  </si>
  <si>
    <t>HONORARIOS SIN COSTOS</t>
  </si>
  <si>
    <t>LIMITE  1340 UVT  SIN INCLUIR DEDUCCIONES ART 336 E.T.</t>
  </si>
  <si>
    <t>LIMITE DEL 40% SIN INCLUIR DEDUCCIONES ART 336 E.T.</t>
  </si>
  <si>
    <t>VALOR A RESTAR RG 92 FORMULARIO</t>
  </si>
  <si>
    <t>DEDUCCION ART 336 E.T.</t>
  </si>
  <si>
    <t xml:space="preserve">LIMITE GENERAL 1340 UVT </t>
  </si>
  <si>
    <t>PENSION OBLIGATORIA</t>
  </si>
  <si>
    <t>APORTE VOLUNTARIO PENSION Art 55 E.T.N.</t>
  </si>
  <si>
    <t>Renta líquida cedular de trabajo (41 - 42)</t>
  </si>
  <si>
    <t>Renta líquida (32 - 33 - 34)</t>
  </si>
  <si>
    <t>PENSION OBLIGATORIA - FONDO DE SOLIDARIDAD</t>
  </si>
  <si>
    <t>Renta líquida General Honorarios (53 - 57)</t>
  </si>
  <si>
    <t>Renta líquida (43 - 44 - 46)</t>
  </si>
  <si>
    <t>APORTE VOLUNTARIO PENSION -ART 55 3.T.</t>
  </si>
  <si>
    <t>Renta líquida (74 - 75 - 76 - 77)</t>
  </si>
  <si>
    <t>AHORRO PENSION VOLUNTARIO</t>
  </si>
  <si>
    <t>Renta líquida no laboral (82 - 84 )</t>
  </si>
  <si>
    <t>Pérdida líquida del ejercicio (75 + 76 + 77 + 81 - 74 - 79)</t>
  </si>
  <si>
    <t>Renta líquida ordinaria del ejercicio (78 + 79  - 81)</t>
  </si>
  <si>
    <t>APORTE OBLIGATORIO SALUD</t>
  </si>
  <si>
    <t>APORTE OBLIGATORIO PENSION</t>
  </si>
  <si>
    <t>APORTE VOLUNTARIO PENSION - Art 55 ETN</t>
  </si>
  <si>
    <t>COMPONENTE INFLACIONARIO</t>
  </si>
  <si>
    <t>Intereses credito Vivienda- Art. 119 E.T.</t>
  </si>
  <si>
    <t>AHORRO VOLUNTARIO PENSION</t>
  </si>
  <si>
    <t>FONDO DE SOLIDARIDAD PENSIONAL</t>
  </si>
  <si>
    <t>AHORRO VOLUNTARIO A PENSION</t>
  </si>
  <si>
    <t>ANTICIPO DE IMPTO AÑO 2024</t>
  </si>
  <si>
    <t>SALDO A FAVOR RENTA AÑO 2023</t>
  </si>
  <si>
    <t>SALDO A FAVOR IVA 2023</t>
  </si>
  <si>
    <t>OTRAS ESPECIES MENORES</t>
  </si>
  <si>
    <t>APLICA NUM 1 ART 640 E.T.</t>
  </si>
  <si>
    <t>APLICA NUM 2 ART 640 E.T.</t>
  </si>
  <si>
    <t xml:space="preserve">243. Parentesco </t>
  </si>
  <si>
    <t>ARTICULO 640 E.T.</t>
  </si>
  <si>
    <t>SANCION REDUCCIDA</t>
  </si>
  <si>
    <t>SANCION A REGISTRAR</t>
  </si>
  <si>
    <t>SANCION A REDUCCIDA</t>
  </si>
  <si>
    <t>RENTA LIQUIDA</t>
  </si>
  <si>
    <t>DEDUCCIONES IMPUTABLES MAS RENTAS EXENTAS</t>
  </si>
  <si>
    <t>DETERMINACION LIMITE DE DEDUCCIONES IMPUTABLES MAS RENTAS EXENTAS - CEDULA GENERAL</t>
  </si>
  <si>
    <t>HALLAMOS EL LIMITE</t>
  </si>
  <si>
    <t>DEVOLUCIONES, REBAJAS Y DESCUENTOS</t>
  </si>
  <si>
    <t>INGRESOS NETOS</t>
  </si>
  <si>
    <t>LIMITE DE 40% DE LOS INGRESOS NETOS</t>
  </si>
  <si>
    <t>LIMITE DE 1340 UVT</t>
  </si>
  <si>
    <t>LIMITE DE REFERENCIA</t>
  </si>
  <si>
    <t>DETERMINAMOS QUE LAS DEDUCCIONES IMPUTABLES MAS RENTAS EXENTAS NO SUPEREN EL LIMITE</t>
  </si>
  <si>
    <t>DETERMINAMOS IMPUTACION DE VALORES POR CEDULA</t>
  </si>
  <si>
    <t>CEDULA NO LABORAL</t>
  </si>
  <si>
    <t>1ERA CONDICION</t>
  </si>
  <si>
    <t>2DA CONDICION</t>
  </si>
  <si>
    <t>TOTAL DEDUCCIONES IMPUTABLES MAS RENTAS EXENTAS</t>
  </si>
  <si>
    <t>CEDULA CAPITAL</t>
  </si>
  <si>
    <t>RENTAS DE TRABAJO QUE NO PROVIENEN DE RELACION LABORAL O LEGAL Y REGLAMENTARIA</t>
  </si>
  <si>
    <t>VALOR A TOMAR</t>
  </si>
  <si>
    <t>EL LIMITE DE LA SUMA DE LAS DEDUCCIONES IMPUTABLES MAS RENTAS EXENTAS</t>
  </si>
  <si>
    <t>LIM. DEDUCCIONES IMPUTABLES MAS RENTAS EXENTAS</t>
  </si>
  <si>
    <t>https://www.youtube.com/watch?v=1MFZlGglvU8</t>
  </si>
  <si>
    <t>https://www.youtube.com/watch?v=SuRuYWMOyuU</t>
  </si>
  <si>
    <t>https://www.youtube.com/watch?v=jOxjUosbSFY</t>
  </si>
  <si>
    <t>https://www.youtube.com/watch?v=R7vMJRectMI</t>
  </si>
  <si>
    <t>https://www.youtube.com/watch?v=k5WXkCdSmmU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</si>
</sst>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3" formatCode="_-* #,##0.00_-;\-* #,##0.00_-;_-* &quot;-&quot;??_-;_-@_-"/>
    <numFmt numFmtId="164" formatCode="_-&quot;$&quot;* #,##0.00_-;\-&quot;$&quot;* #,##0.00_-;_-&quot;$&quot;* &quot;-&quot;??_-;_-@_-"/>
    <numFmt numFmtId="165" formatCode="_ &quot;$&quot;\ * #,##0.00_ ;_ &quot;$&quot;\ * \-#,##0.00_ ;_ &quot;$&quot;\ * &quot;-&quot;??_ ;_ @_ "/>
    <numFmt numFmtId="166" formatCode="_ * #,##0.00_ ;_ * \-#,##0.00_ ;_ * &quot;-&quot;??_ ;_ @_ "/>
    <numFmt numFmtId="167" formatCode="_-&quot;$&quot;* #,##0_-;\-&quot;$&quot;* #,##0_-;_-&quot;$&quot;* &quot;-&quot;??_-;_-@_-"/>
    <numFmt numFmtId="168" formatCode="_ * #,##0_ ;_ * \-#,##0_ ;_ * &quot;-&quot;??_ ;_ @_ "/>
    <numFmt numFmtId="169" formatCode="_ &quot;$&quot;\ * #,##0_ ;_ &quot;$&quot;\ * \-#,##0_ ;_ &quot;$&quot;\ * &quot;-&quot;??_ ;_ @_ "/>
    <numFmt numFmtId="170" formatCode="_-* #,##0.0_-;\-* #,##0.0_-;_-* &quot;-&quot;??_-;_-@_-"/>
    <numFmt numFmtId="171" formatCode="_-* #,##0_-;\-* #,##0_-;_-* &quot;-&quot;??_-;_-@_-"/>
    <numFmt numFmtId="172" formatCode="[$-240A]d&quot; de &quot;mmmm&quot; de &quot;yyyy;@"/>
    <numFmt numFmtId="173" formatCode="_-&quot;$&quot;* #,##0.0_-;\-&quot;$&quot;* #,##0.0_-;_-&quot;$&quot;* &quot;-&quot;??_-;_-@_-"/>
    <numFmt numFmtId="174" formatCode="0.000%"/>
    <numFmt numFmtId="175" formatCode="00000"/>
  </numFmts>
  <fonts count="103"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name val="Arial"/>
      <family val="2"/>
    </font>
    <font>
      <sz val="10"/>
      <name val="Arial"/>
      <family val="2"/>
    </font>
    <font>
      <b/>
      <sz val="12"/>
      <name val="Arial"/>
      <family val="2"/>
    </font>
    <font>
      <b/>
      <sz val="14"/>
      <name val="Arial"/>
      <family val="2"/>
    </font>
    <font>
      <sz val="8"/>
      <name val="Arial"/>
      <family val="2"/>
    </font>
    <font>
      <b/>
      <sz val="8"/>
      <name val="Arial"/>
      <family val="2"/>
    </font>
    <font>
      <sz val="10"/>
      <name val="Arial"/>
      <family val="2"/>
    </font>
    <font>
      <sz val="10"/>
      <name val="Lucida Calligraphy"/>
      <family val="4"/>
    </font>
    <font>
      <sz val="8"/>
      <color indexed="81"/>
      <name val="Tahoma"/>
      <family val="2"/>
    </font>
    <font>
      <b/>
      <sz val="8"/>
      <color indexed="81"/>
      <name val="Tahoma"/>
      <family val="2"/>
    </font>
    <font>
      <b/>
      <sz val="9"/>
      <name val="Arial"/>
      <family val="2"/>
    </font>
    <font>
      <b/>
      <sz val="11"/>
      <name val="Arial"/>
      <family val="2"/>
    </font>
    <font>
      <sz val="10"/>
      <name val="Arial"/>
      <family val="2"/>
    </font>
    <font>
      <sz val="14"/>
      <name val="Arial"/>
      <family val="2"/>
    </font>
    <font>
      <sz val="10"/>
      <name val="Arial"/>
      <family val="2"/>
    </font>
    <font>
      <sz val="16"/>
      <name val="Arial"/>
      <family val="2"/>
    </font>
    <font>
      <b/>
      <sz val="7"/>
      <name val="Arial"/>
      <family val="2"/>
    </font>
    <font>
      <sz val="22"/>
      <name val="Arial"/>
      <family val="2"/>
    </font>
    <font>
      <sz val="20"/>
      <name val="Arial"/>
      <family val="2"/>
    </font>
    <font>
      <b/>
      <sz val="10"/>
      <color indexed="81"/>
      <name val="Tahoma"/>
      <family val="2"/>
    </font>
    <font>
      <sz val="11"/>
      <name val="Arial"/>
      <family val="2"/>
    </font>
    <font>
      <sz val="7"/>
      <name val="Arial"/>
      <family val="2"/>
    </font>
    <font>
      <sz val="6"/>
      <name val="Arial"/>
      <family val="2"/>
    </font>
    <font>
      <sz val="10"/>
      <name val="Arial"/>
      <family val="2"/>
    </font>
    <font>
      <b/>
      <u/>
      <sz val="8"/>
      <color indexed="81"/>
      <name val="Tahoma"/>
      <family val="2"/>
    </font>
    <font>
      <sz val="10"/>
      <name val="Arial"/>
      <family val="2"/>
    </font>
    <font>
      <b/>
      <sz val="20"/>
      <name val="Arial"/>
      <family val="2"/>
    </font>
    <font>
      <b/>
      <sz val="7"/>
      <color indexed="81"/>
      <name val="Tahoma"/>
      <family val="2"/>
    </font>
    <font>
      <b/>
      <sz val="9"/>
      <color indexed="81"/>
      <name val="Tahoma"/>
      <family val="2"/>
    </font>
    <font>
      <b/>
      <sz val="14"/>
      <color indexed="81"/>
      <name val="Tahoma"/>
      <family val="2"/>
    </font>
    <font>
      <b/>
      <sz val="16"/>
      <name val="Arial"/>
      <family val="2"/>
    </font>
    <font>
      <u/>
      <sz val="7.5"/>
      <color indexed="12"/>
      <name val="Arial"/>
      <family val="2"/>
    </font>
    <font>
      <b/>
      <u/>
      <sz val="12"/>
      <color indexed="81"/>
      <name val="Tahoma"/>
      <family val="2"/>
    </font>
    <font>
      <sz val="14"/>
      <color indexed="81"/>
      <name val="Tahoma"/>
      <family val="2"/>
    </font>
    <font>
      <sz val="10"/>
      <name val="Arial"/>
      <family val="2"/>
    </font>
    <font>
      <b/>
      <sz val="20"/>
      <color indexed="81"/>
      <name val="Tahoma"/>
      <family val="2"/>
    </font>
    <font>
      <b/>
      <sz val="22"/>
      <color indexed="81"/>
      <name val="Tahoma"/>
      <family val="2"/>
    </font>
    <font>
      <b/>
      <sz val="6"/>
      <name val="Arial"/>
      <family val="2"/>
    </font>
    <font>
      <b/>
      <sz val="16"/>
      <color indexed="81"/>
      <name val="Tahoma"/>
      <family val="2"/>
    </font>
    <font>
      <sz val="16"/>
      <color indexed="81"/>
      <name val="Tahoma"/>
      <family val="2"/>
    </font>
    <font>
      <b/>
      <sz val="18"/>
      <color indexed="81"/>
      <name val="Tahoma"/>
      <family val="2"/>
    </font>
    <font>
      <sz val="18"/>
      <color indexed="81"/>
      <name val="Tahoma"/>
      <family val="2"/>
    </font>
    <font>
      <b/>
      <sz val="22"/>
      <name val="Arial"/>
      <family val="2"/>
    </font>
    <font>
      <b/>
      <sz val="24"/>
      <name val="Arial"/>
      <family val="2"/>
    </font>
    <font>
      <b/>
      <sz val="12"/>
      <color indexed="81"/>
      <name val="Tahoma"/>
      <family val="2"/>
    </font>
    <font>
      <sz val="48"/>
      <name val="Arial"/>
      <family val="2"/>
    </font>
    <font>
      <sz val="10"/>
      <name val="Arial"/>
      <family val="2"/>
    </font>
    <font>
      <b/>
      <sz val="15"/>
      <name val="Arial"/>
      <family val="2"/>
    </font>
    <font>
      <sz val="10"/>
      <name val="Arial"/>
      <family val="2"/>
    </font>
    <font>
      <b/>
      <sz val="12"/>
      <color indexed="9"/>
      <name val="Arial"/>
      <family val="2"/>
    </font>
    <font>
      <sz val="9"/>
      <color indexed="81"/>
      <name val="Tahoma"/>
      <family val="2"/>
    </font>
    <font>
      <u/>
      <sz val="9"/>
      <color indexed="81"/>
      <name val="Tahoma"/>
      <family val="2"/>
    </font>
    <font>
      <sz val="10"/>
      <name val="Arial"/>
      <family val="2"/>
    </font>
    <font>
      <u/>
      <sz val="10"/>
      <color theme="10"/>
      <name val="Arial"/>
      <family val="2"/>
    </font>
    <font>
      <u/>
      <sz val="11"/>
      <color theme="10"/>
      <name val="Calibri"/>
      <family val="2"/>
      <scheme val="minor"/>
    </font>
    <font>
      <sz val="11"/>
      <color theme="1"/>
      <name val="Calibri"/>
      <family val="2"/>
      <scheme val="minor"/>
    </font>
    <font>
      <sz val="10"/>
      <color rgb="FFFF0000"/>
      <name val="Arial"/>
      <family val="2"/>
    </font>
    <font>
      <sz val="8"/>
      <color theme="1"/>
      <name val="Calibri"/>
      <family val="2"/>
      <scheme val="minor"/>
    </font>
    <font>
      <b/>
      <sz val="11"/>
      <color theme="1"/>
      <name val="Calibri"/>
      <family val="2"/>
      <scheme val="minor"/>
    </font>
    <font>
      <sz val="8"/>
      <color rgb="FFFF0000"/>
      <name val="Arial"/>
      <family val="2"/>
    </font>
    <font>
      <b/>
      <sz val="8"/>
      <color theme="1"/>
      <name val="Arial"/>
      <family val="2"/>
    </font>
    <font>
      <b/>
      <sz val="14"/>
      <color theme="1"/>
      <name val="Arial"/>
      <family val="2"/>
    </font>
    <font>
      <sz val="10"/>
      <color theme="1"/>
      <name val="Arial"/>
      <family val="2"/>
    </font>
    <font>
      <b/>
      <sz val="20"/>
      <color theme="1"/>
      <name val="Arial"/>
      <family val="2"/>
    </font>
    <font>
      <sz val="12"/>
      <color theme="1"/>
      <name val="Arial"/>
      <family val="2"/>
    </font>
    <font>
      <sz val="8"/>
      <color theme="1"/>
      <name val="Arial"/>
      <family val="2"/>
    </font>
    <font>
      <sz val="10"/>
      <color rgb="FF66FF66"/>
      <name val="Arial"/>
      <family val="2"/>
    </font>
    <font>
      <sz val="22"/>
      <color theme="1"/>
      <name val="Arial"/>
      <family val="2"/>
    </font>
    <font>
      <b/>
      <sz val="8"/>
      <color theme="0"/>
      <name val="Arial"/>
      <family val="2"/>
    </font>
    <font>
      <b/>
      <sz val="9"/>
      <color rgb="FFFF0000"/>
      <name val="Arial"/>
      <family val="2"/>
    </font>
    <font>
      <b/>
      <sz val="10"/>
      <color rgb="FFFF0000"/>
      <name val="Arial"/>
      <family val="2"/>
    </font>
    <font>
      <sz val="12"/>
      <name val="Arial"/>
      <family val="2"/>
    </font>
    <font>
      <b/>
      <sz val="12"/>
      <color theme="1"/>
      <name val="Arial"/>
      <family val="2"/>
    </font>
    <font>
      <sz val="18"/>
      <name val="Arial"/>
      <family val="2"/>
    </font>
    <font>
      <sz val="12"/>
      <color rgb="FFFF0000"/>
      <name val="Arial"/>
      <family val="2"/>
    </font>
    <font>
      <sz val="8"/>
      <color theme="0"/>
      <name val="Arial"/>
      <family val="2"/>
    </font>
    <font>
      <sz val="7"/>
      <color theme="0"/>
      <name val="Arial"/>
      <family val="2"/>
    </font>
    <font>
      <sz val="10"/>
      <color theme="0"/>
      <name val="Arial"/>
      <family val="2"/>
    </font>
    <font>
      <b/>
      <sz val="11"/>
      <color indexed="81"/>
      <name val="Tahoma"/>
      <family val="2"/>
    </font>
    <font>
      <b/>
      <u/>
      <sz val="9"/>
      <color indexed="81"/>
      <name val="Tahoma"/>
      <family val="2"/>
    </font>
    <font>
      <b/>
      <u/>
      <sz val="16"/>
      <color indexed="81"/>
      <name val="Tahoma"/>
      <family val="2"/>
    </font>
    <font>
      <sz val="9"/>
      <color theme="1"/>
      <name val="Arial"/>
      <family val="2"/>
    </font>
    <font>
      <i/>
      <sz val="10"/>
      <name val="Arial"/>
      <family val="2"/>
    </font>
    <font>
      <b/>
      <sz val="13"/>
      <name val="Arial"/>
      <family val="2"/>
    </font>
    <font>
      <sz val="10"/>
      <name val="Arial"/>
      <family val="2"/>
    </font>
    <font>
      <b/>
      <sz val="10"/>
      <color theme="1"/>
      <name val="Arial"/>
      <family val="2"/>
    </font>
    <font>
      <b/>
      <sz val="11"/>
      <color indexed="10"/>
      <name val="Tahoma"/>
      <family val="2"/>
    </font>
    <font>
      <sz val="10"/>
      <color theme="1"/>
      <name val="Calibri"/>
      <family val="2"/>
      <scheme val="minor"/>
    </font>
    <font>
      <b/>
      <sz val="9"/>
      <color theme="1"/>
      <name val="Arial"/>
      <family val="2"/>
    </font>
    <font>
      <b/>
      <i/>
      <sz val="9"/>
      <color rgb="FFFF0000"/>
      <name val="Arial"/>
      <family val="2"/>
    </font>
    <font>
      <b/>
      <sz val="8"/>
      <color rgb="FFFF0000"/>
      <name val="Arial"/>
      <family val="2"/>
    </font>
    <font>
      <b/>
      <sz val="12"/>
      <color rgb="FFFF0000"/>
      <name val="Arial"/>
      <family val="2"/>
    </font>
    <font>
      <sz val="9"/>
      <color indexed="81"/>
      <name val="Tahoma"/>
      <charset val="1"/>
    </font>
    <font>
      <b/>
      <sz val="9"/>
      <color indexed="81"/>
      <name val="Tahoma"/>
      <charset val="1"/>
    </font>
    <font>
      <b/>
      <sz val="18"/>
      <name val="Arial"/>
      <family val="2"/>
    </font>
    <font>
      <b/>
      <sz val="16"/>
      <color theme="1"/>
      <name val="Arial"/>
      <family val="2"/>
    </font>
    <font>
      <b/>
      <sz val="7"/>
      <color theme="1"/>
      <name val="Arial"/>
      <family val="2"/>
    </font>
    <font>
      <b/>
      <sz val="7"/>
      <color theme="0"/>
      <name val="Arial"/>
      <family val="2"/>
    </font>
  </fonts>
  <fills count="24">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99FF99"/>
        <bgColor indexed="64"/>
      </patternFill>
    </fill>
    <fill>
      <patternFill patternType="solid">
        <fgColor rgb="FFFFFF00"/>
        <bgColor indexed="64"/>
      </patternFill>
    </fill>
    <fill>
      <patternFill patternType="solid">
        <fgColor theme="3"/>
        <bgColor indexed="64"/>
      </patternFill>
    </fill>
    <fill>
      <patternFill patternType="solid">
        <fgColor rgb="FFA6FCB0"/>
        <bgColor indexed="64"/>
      </patternFill>
    </fill>
    <fill>
      <patternFill patternType="solid">
        <fgColor rgb="FF66FFCC"/>
        <bgColor indexed="64"/>
      </patternFill>
    </fill>
    <fill>
      <patternFill patternType="solid">
        <fgColor rgb="FF66FF66"/>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6" tint="0.79998168889431442"/>
        <bgColor indexed="64"/>
      </patternFill>
    </fill>
    <fill>
      <patternFill patternType="solid">
        <fgColor rgb="FF66FF99"/>
        <bgColor indexed="64"/>
      </patternFill>
    </fill>
    <fill>
      <patternFill patternType="solid">
        <fgColor theme="4" tint="0.79998168889431442"/>
        <bgColor indexed="64"/>
      </patternFill>
    </fill>
    <fill>
      <patternFill patternType="solid">
        <fgColor rgb="FF6E97C8"/>
        <bgColor indexed="64"/>
      </patternFill>
    </fill>
    <fill>
      <patternFill patternType="solid">
        <fgColor rgb="FFFFC000"/>
        <bgColor indexed="64"/>
      </patternFill>
    </fill>
    <fill>
      <patternFill patternType="solid">
        <fgColor rgb="FF92D050"/>
        <bgColor indexed="64"/>
      </patternFill>
    </fill>
  </fills>
  <borders count="28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style="thin">
        <color theme="0"/>
      </right>
      <top style="medium">
        <color rgb="FF99FF99"/>
      </top>
      <bottom style="thin">
        <color theme="0"/>
      </bottom>
      <diagonal/>
    </border>
    <border>
      <left style="thin">
        <color theme="0"/>
      </left>
      <right style="medium">
        <color indexed="64"/>
      </right>
      <top style="medium">
        <color rgb="FF99FF99"/>
      </top>
      <bottom style="thin">
        <color theme="0"/>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right/>
      <top style="thin">
        <color rgb="FF92D050"/>
      </top>
      <bottom/>
      <diagonal/>
    </border>
    <border>
      <left/>
      <right style="thin">
        <color rgb="FF92D050"/>
      </right>
      <top style="thin">
        <color rgb="FF92D050"/>
      </top>
      <bottom/>
      <diagonal/>
    </border>
    <border>
      <left/>
      <right style="thin">
        <color rgb="FF92D050"/>
      </right>
      <top/>
      <bottom/>
      <diagonal/>
    </border>
    <border>
      <left/>
      <right/>
      <top/>
      <bottom style="thin">
        <color rgb="FF92D050"/>
      </bottom>
      <diagonal/>
    </border>
    <border>
      <left/>
      <right style="thin">
        <color rgb="FF92D050"/>
      </right>
      <top/>
      <bottom style="thin">
        <color rgb="FF92D050"/>
      </bottom>
      <diagonal/>
    </border>
    <border>
      <left style="thick">
        <color theme="0" tint="-0.499984740745262"/>
      </left>
      <right/>
      <top style="thick">
        <color theme="0" tint="-0.499984740745262"/>
      </top>
      <bottom/>
      <diagonal/>
    </border>
    <border>
      <left style="medium">
        <color indexed="64"/>
      </left>
      <right style="thin">
        <color theme="0"/>
      </right>
      <top/>
      <bottom/>
      <diagonal/>
    </border>
    <border>
      <left/>
      <right style="thin">
        <color theme="0"/>
      </right>
      <top style="medium">
        <color rgb="FF99FF99"/>
      </top>
      <bottom style="thin">
        <color theme="0"/>
      </bottom>
      <diagonal/>
    </border>
    <border>
      <left style="medium">
        <color indexed="64"/>
      </left>
      <right/>
      <top/>
      <bottom style="medium">
        <color rgb="FF99FF99"/>
      </bottom>
      <diagonal/>
    </border>
    <border>
      <left/>
      <right/>
      <top/>
      <bottom style="medium">
        <color rgb="FF99FF99"/>
      </bottom>
      <diagonal/>
    </border>
    <border>
      <left/>
      <right style="medium">
        <color indexed="64"/>
      </right>
      <top/>
      <bottom style="medium">
        <color rgb="FF99FF99"/>
      </bottom>
      <diagonal/>
    </border>
    <border>
      <left/>
      <right style="thin">
        <color theme="0"/>
      </right>
      <top/>
      <bottom/>
      <diagonal/>
    </border>
    <border>
      <left/>
      <right/>
      <top style="thick">
        <color theme="0" tint="-0.499984740745262"/>
      </top>
      <bottom/>
      <diagonal/>
    </border>
    <border>
      <left style="thick">
        <color theme="0" tint="-0.499984740745262"/>
      </left>
      <right/>
      <top/>
      <bottom style="thick">
        <color theme="0" tint="-0.499984740745262"/>
      </bottom>
      <diagonal/>
    </border>
    <border>
      <left style="thin">
        <color theme="0"/>
      </left>
      <right/>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medium">
        <color rgb="FF99FF99"/>
      </top>
      <bottom/>
      <diagonal/>
    </border>
    <border>
      <left/>
      <right/>
      <top style="medium">
        <color rgb="FF99FF99"/>
      </top>
      <bottom/>
      <diagonal/>
    </border>
    <border>
      <left/>
      <right style="medium">
        <color indexed="64"/>
      </right>
      <top style="medium">
        <color rgb="FF99FF99"/>
      </top>
      <bottom/>
      <diagonal/>
    </border>
    <border>
      <left style="thin">
        <color rgb="FF92D050"/>
      </left>
      <right/>
      <top/>
      <bottom/>
      <diagonal/>
    </border>
    <border>
      <left/>
      <right/>
      <top style="dashed">
        <color theme="0"/>
      </top>
      <bottom style="dashed">
        <color theme="0"/>
      </bottom>
      <diagonal/>
    </border>
    <border>
      <left style="thin">
        <color rgb="FF92D050"/>
      </left>
      <right/>
      <top style="thin">
        <color rgb="FF92D050"/>
      </top>
      <bottom/>
      <diagonal/>
    </border>
    <border>
      <left style="medium">
        <color rgb="FF99FF99"/>
      </left>
      <right style="medium">
        <color rgb="FF99FF99"/>
      </right>
      <top style="thin">
        <color rgb="FF92D050"/>
      </top>
      <bottom/>
      <diagonal/>
    </border>
    <border>
      <left style="medium">
        <color rgb="FF99FF99"/>
      </left>
      <right style="medium">
        <color rgb="FF99FF99"/>
      </right>
      <top/>
      <bottom/>
      <diagonal/>
    </border>
    <border>
      <left style="medium">
        <color rgb="FF99FF99"/>
      </left>
      <right style="medium">
        <color rgb="FF99FF99"/>
      </right>
      <top/>
      <bottom style="medium">
        <color rgb="FF99FF99"/>
      </bottom>
      <diagonal/>
    </border>
    <border>
      <left style="thin">
        <color rgb="FF92D050"/>
      </left>
      <right/>
      <top/>
      <bottom style="thin">
        <color rgb="FF92D050"/>
      </bottom>
      <diagonal/>
    </border>
    <border>
      <left/>
      <right style="thin">
        <color theme="0"/>
      </right>
      <top/>
      <bottom style="medium">
        <color rgb="FF99FF99"/>
      </bottom>
      <diagonal/>
    </border>
    <border>
      <left style="medium">
        <color indexed="64"/>
      </left>
      <right/>
      <top/>
      <bottom style="thin">
        <color indexed="64"/>
      </bottom>
      <diagonal/>
    </border>
    <border>
      <left style="medium">
        <color rgb="FF006600"/>
      </left>
      <right/>
      <top style="medium">
        <color rgb="FF006600"/>
      </top>
      <bottom/>
      <diagonal/>
    </border>
    <border>
      <left/>
      <right/>
      <top style="medium">
        <color rgb="FF006600"/>
      </top>
      <bottom/>
      <diagonal/>
    </border>
    <border>
      <left/>
      <right style="medium">
        <color rgb="FF006600"/>
      </right>
      <top style="medium">
        <color rgb="FF006600"/>
      </top>
      <bottom/>
      <diagonal/>
    </border>
    <border>
      <left style="medium">
        <color rgb="FF006600"/>
      </left>
      <right/>
      <top/>
      <bottom/>
      <diagonal/>
    </border>
    <border>
      <left/>
      <right style="medium">
        <color rgb="FF006600"/>
      </right>
      <top/>
      <bottom/>
      <diagonal/>
    </border>
    <border>
      <left style="medium">
        <color rgb="FF006600"/>
      </left>
      <right/>
      <top/>
      <bottom style="medium">
        <color rgb="FF006600"/>
      </bottom>
      <diagonal/>
    </border>
    <border>
      <left/>
      <right/>
      <top/>
      <bottom style="medium">
        <color rgb="FF006600"/>
      </bottom>
      <diagonal/>
    </border>
    <border>
      <left/>
      <right style="medium">
        <color rgb="FF006600"/>
      </right>
      <top/>
      <bottom style="medium">
        <color rgb="FF006600"/>
      </bottom>
      <diagonal/>
    </border>
    <border>
      <left style="medium">
        <color rgb="FF006600"/>
      </left>
      <right style="medium">
        <color rgb="FF006600"/>
      </right>
      <top style="medium">
        <color rgb="FF006600"/>
      </top>
      <bottom/>
      <diagonal/>
    </border>
    <border>
      <left style="medium">
        <color rgb="FF006600"/>
      </left>
      <right style="medium">
        <color rgb="FF006600"/>
      </right>
      <top/>
      <bottom/>
      <diagonal/>
    </border>
    <border>
      <left style="medium">
        <color rgb="FF006600"/>
      </left>
      <right style="medium">
        <color rgb="FF006600"/>
      </right>
      <top/>
      <bottom style="thin">
        <color rgb="FF92D050"/>
      </bottom>
      <diagonal/>
    </border>
    <border>
      <left/>
      <right/>
      <top style="hair">
        <color auto="1"/>
      </top>
      <bottom style="hair">
        <color auto="1"/>
      </bottom>
      <diagonal/>
    </border>
    <border>
      <left style="hair">
        <color indexed="64"/>
      </left>
      <right/>
      <top/>
      <bottom style="medium">
        <color indexed="64"/>
      </bottom>
      <diagonal/>
    </border>
    <border>
      <left style="hair">
        <color indexed="64"/>
      </left>
      <right/>
      <top/>
      <bottom/>
      <diagonal/>
    </border>
    <border>
      <left style="hair">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auto="1"/>
      </right>
      <top style="hair">
        <color indexed="64"/>
      </top>
      <bottom style="thin">
        <color indexed="64"/>
      </bottom>
      <diagonal/>
    </border>
    <border>
      <left style="hair">
        <color auto="1"/>
      </left>
      <right style="hair">
        <color auto="1"/>
      </right>
      <top/>
      <bottom style="hair">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style="medium">
        <color theme="3" tint="0.39994506668294322"/>
      </left>
      <right style="medium">
        <color theme="3" tint="0.39994506668294322"/>
      </right>
      <top/>
      <bottom/>
      <diagonal/>
    </border>
    <border>
      <left style="medium">
        <color theme="4" tint="-0.24994659260841701"/>
      </left>
      <right style="medium">
        <color theme="3" tint="0.39994506668294322"/>
      </right>
      <top/>
      <bottom/>
      <diagonal/>
    </border>
    <border>
      <left style="medium">
        <color theme="3" tint="0.39994506668294322"/>
      </left>
      <right style="medium">
        <color theme="4" tint="-0.24994659260841701"/>
      </right>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theme="3" tint="0.39994506668294322"/>
      </left>
      <right style="medium">
        <color theme="3" tint="0.39994506668294322"/>
      </right>
      <top/>
      <bottom style="medium">
        <color theme="3" tint="0.39991454817346722"/>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right/>
      <top style="medium">
        <color theme="3" tint="0.39994506668294322"/>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thin">
        <color rgb="FF0070C0"/>
      </top>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4" tint="-0.24994659260841701"/>
      </left>
      <right style="thin">
        <color theme="4" tint="-0.24994659260841701"/>
      </right>
      <top style="medium">
        <color indexed="64"/>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rgb="FF0070C0"/>
      </top>
      <bottom/>
      <diagonal/>
    </border>
    <border>
      <left style="thin">
        <color theme="4" tint="-0.24994659260841701"/>
      </left>
      <right style="thin">
        <color theme="4" tint="-0.24994659260841701"/>
      </right>
      <top/>
      <bottom style="thin">
        <color rgb="FF0070C0"/>
      </bottom>
      <diagonal/>
    </border>
    <border>
      <left style="thin">
        <color theme="4" tint="-0.24994659260841701"/>
      </left>
      <right/>
      <top style="thin">
        <color rgb="FF0070C0"/>
      </top>
      <bottom/>
      <diagonal/>
    </border>
    <border>
      <left/>
      <right style="thin">
        <color theme="4" tint="-0.24994659260841701"/>
      </right>
      <top style="thin">
        <color rgb="FF0070C0"/>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rgb="FF0070C0"/>
      </bottom>
      <diagonal/>
    </border>
    <border>
      <left/>
      <right style="thin">
        <color theme="4" tint="-0.24994659260841701"/>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theme="4" tint="-0.24994659260841701"/>
      </left>
      <right/>
      <top style="medium">
        <color indexed="64"/>
      </top>
      <bottom/>
      <diagonal/>
    </border>
    <border>
      <left/>
      <right style="thin">
        <color theme="4" tint="-0.24994659260841701"/>
      </right>
      <top style="medium">
        <color indexed="6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3" tint="0.39994506668294322"/>
      </left>
      <right/>
      <top style="medium">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top/>
      <bottom style="medium">
        <color theme="4" tint="-0.24994659260841701"/>
      </bottom>
      <diagonal/>
    </border>
    <border>
      <left style="thin">
        <color theme="4" tint="-0.24994659260841701"/>
      </left>
      <right/>
      <top style="medium">
        <color theme="4" tint="-0.24994659260841701"/>
      </top>
      <bottom/>
      <diagonal/>
    </border>
    <border>
      <left style="medium">
        <color theme="4" tint="-0.24994659260841701"/>
      </left>
      <right/>
      <top style="medium">
        <color indexed="64"/>
      </top>
      <bottom/>
      <diagonal/>
    </border>
    <border>
      <left/>
      <right style="medium">
        <color theme="4" tint="-0.24994659260841701"/>
      </right>
      <top style="medium">
        <color indexed="64"/>
      </top>
      <bottom style="medium">
        <color indexed="64"/>
      </bottom>
      <diagonal/>
    </border>
    <border>
      <left/>
      <right style="medium">
        <color theme="4" tint="-0.24994659260841701"/>
      </right>
      <top style="medium">
        <color indexed="64"/>
      </top>
      <bottom/>
      <diagonal/>
    </border>
    <border>
      <left/>
      <right style="medium">
        <color theme="4" tint="-0.24994659260841701"/>
      </right>
      <top/>
      <bottom style="thin">
        <color rgb="FF0070C0"/>
      </bottom>
      <diagonal/>
    </border>
    <border>
      <left/>
      <right style="medium">
        <color theme="4" tint="-0.24994659260841701"/>
      </right>
      <top style="thin">
        <color rgb="FF0070C0"/>
      </top>
      <bottom/>
      <diagonal/>
    </border>
    <border>
      <left/>
      <right style="medium">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style="medium">
        <color theme="4" tint="-0.24994659260841701"/>
      </left>
      <right style="medium">
        <color theme="3" tint="0.39994506668294322"/>
      </right>
      <top/>
      <bottom style="medium">
        <color theme="4" tint="-0.24994659260841701"/>
      </bottom>
      <diagonal/>
    </border>
    <border>
      <left style="medium">
        <color theme="3" tint="0.39994506668294322"/>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dashed">
        <color theme="0"/>
      </bottom>
      <diagonal/>
    </border>
    <border>
      <left style="hair">
        <color auto="1"/>
      </left>
      <right style="thin">
        <color indexed="64"/>
      </right>
      <top style="hair">
        <color auto="1"/>
      </top>
      <bottom style="hair">
        <color auto="1"/>
      </bottom>
      <diagonal/>
    </border>
    <border>
      <left/>
      <right/>
      <top style="thick">
        <color rgb="FF1865E2"/>
      </top>
      <bottom/>
      <diagonal/>
    </border>
    <border>
      <left style="hair">
        <color indexed="64"/>
      </left>
      <right style="hair">
        <color indexed="64"/>
      </right>
      <top style="hair">
        <color auto="1"/>
      </top>
      <bottom style="thick">
        <color rgb="FFC00000"/>
      </bottom>
      <diagonal/>
    </border>
    <border>
      <left style="hair">
        <color indexed="64"/>
      </left>
      <right/>
      <top style="thick">
        <color rgb="FF1865E2"/>
      </top>
      <bottom/>
      <diagonal/>
    </border>
    <border>
      <left style="hair">
        <color indexed="64"/>
      </left>
      <right/>
      <top style="hair">
        <color auto="1"/>
      </top>
      <bottom style="thick">
        <color rgb="FFC00000"/>
      </bottom>
      <diagonal/>
    </border>
    <border>
      <left/>
      <right style="hair">
        <color auto="1"/>
      </right>
      <top/>
      <bottom style="hair">
        <color auto="1"/>
      </bottom>
      <diagonal/>
    </border>
    <border>
      <left/>
      <right style="hair">
        <color auto="1"/>
      </right>
      <top style="hair">
        <color auto="1"/>
      </top>
      <bottom/>
      <diagonal/>
    </border>
    <border>
      <left style="thin">
        <color indexed="64"/>
      </left>
      <right/>
      <top/>
      <bottom style="medium">
        <color indexed="64"/>
      </bottom>
      <diagonal/>
    </border>
    <border>
      <left/>
      <right style="medium">
        <color theme="4" tint="-0.24994659260841701"/>
      </right>
      <top/>
      <bottom style="medium">
        <color indexed="64"/>
      </bottom>
      <diagonal/>
    </border>
    <border>
      <left/>
      <right/>
      <top style="dashed">
        <color theme="0"/>
      </top>
      <bottom/>
      <diagonal/>
    </border>
    <border>
      <left style="thin">
        <color indexed="64"/>
      </left>
      <right style="thin">
        <color indexed="64"/>
      </right>
      <top style="medium">
        <color rgb="FF1865E2"/>
      </top>
      <bottom style="medium">
        <color rgb="FF1865E2"/>
      </bottom>
      <diagonal/>
    </border>
    <border>
      <left/>
      <right/>
      <top style="thick">
        <color rgb="FFC00000"/>
      </top>
      <bottom/>
      <diagonal/>
    </border>
    <border>
      <left/>
      <right style="medium">
        <color indexed="64"/>
      </right>
      <top style="thick">
        <color rgb="FFC00000"/>
      </top>
      <bottom/>
      <diagonal/>
    </border>
    <border>
      <left/>
      <right style="thin">
        <color indexed="64"/>
      </right>
      <top/>
      <bottom style="thin">
        <color indexed="64"/>
      </bottom>
      <diagonal/>
    </border>
    <border>
      <left style="medium">
        <color indexed="64"/>
      </left>
      <right style="dashed">
        <color auto="1"/>
      </right>
      <top style="medium">
        <color indexed="64"/>
      </top>
      <bottom style="dashed">
        <color auto="1"/>
      </bottom>
      <diagonal/>
    </border>
    <border>
      <left style="dashed">
        <color auto="1"/>
      </left>
      <right style="medium">
        <color indexed="64"/>
      </right>
      <top style="medium">
        <color indexed="64"/>
      </top>
      <bottom style="dashed">
        <color auto="1"/>
      </bottom>
      <diagonal/>
    </border>
    <border>
      <left style="medium">
        <color indexed="64"/>
      </left>
      <right style="dashed">
        <color auto="1"/>
      </right>
      <top style="dashed">
        <color auto="1"/>
      </top>
      <bottom style="dashed">
        <color auto="1"/>
      </bottom>
      <diagonal/>
    </border>
    <border>
      <left style="dashed">
        <color auto="1"/>
      </left>
      <right style="medium">
        <color indexed="64"/>
      </right>
      <top style="dashed">
        <color auto="1"/>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hair">
        <color indexed="64"/>
      </right>
      <top style="dashed">
        <color indexed="64"/>
      </top>
      <bottom style="dashed">
        <color indexed="64"/>
      </bottom>
      <diagonal/>
    </border>
    <border>
      <left style="dashed">
        <color auto="1"/>
      </left>
      <right style="dashed">
        <color auto="1"/>
      </right>
      <top style="medium">
        <color indexed="64"/>
      </top>
      <bottom style="dashed">
        <color auto="1"/>
      </bottom>
      <diagonal/>
    </border>
    <border>
      <left style="dashed">
        <color auto="1"/>
      </left>
      <right style="dashed">
        <color auto="1"/>
      </right>
      <top style="dashed">
        <color auto="1"/>
      </top>
      <bottom style="medium">
        <color indexed="64"/>
      </bottom>
      <diagonal/>
    </border>
    <border>
      <left/>
      <right style="thin">
        <color indexed="64"/>
      </right>
      <top style="medium">
        <color rgb="FF1865E2"/>
      </top>
      <bottom style="medium">
        <color rgb="FF1865E2"/>
      </bottom>
      <diagonal/>
    </border>
    <border>
      <left style="medium">
        <color theme="4" tint="-0.24994659260841701"/>
      </left>
      <right/>
      <top/>
      <bottom style="medium">
        <color indexed="64"/>
      </bottom>
      <diagonal/>
    </border>
    <border>
      <left style="medium">
        <color theme="4" tint="-0.24994659260841701"/>
      </left>
      <right style="medium">
        <color theme="3" tint="0.39994506668294322"/>
      </right>
      <top style="medium">
        <color theme="4" tint="-0.24994659260841701"/>
      </top>
      <bottom/>
      <diagonal/>
    </border>
    <border>
      <left/>
      <right style="hair">
        <color auto="1"/>
      </right>
      <top style="hair">
        <color auto="1"/>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ck">
        <color rgb="FF1865E2"/>
      </top>
      <bottom/>
      <diagonal/>
    </border>
    <border>
      <left style="medium">
        <color indexed="64"/>
      </left>
      <right/>
      <top/>
      <bottom style="thick">
        <color rgb="FFC00000"/>
      </bottom>
      <diagonal/>
    </border>
    <border>
      <left style="medium">
        <color indexed="64"/>
      </left>
      <right/>
      <top style="thick">
        <color rgb="FFC00000"/>
      </top>
      <bottom/>
      <diagonal/>
    </border>
    <border>
      <left style="medium">
        <color indexed="64"/>
      </left>
      <right style="dashed">
        <color auto="1"/>
      </right>
      <top/>
      <bottom/>
      <diagonal/>
    </border>
    <border>
      <left style="dashed">
        <color auto="1"/>
      </left>
      <right style="medium">
        <color indexed="64"/>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s>
  <cellStyleXfs count="16">
    <xf numFmtId="0" fontId="0" fillId="0" borderId="0"/>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36" fillId="0" borderId="0" applyNumberFormat="0" applyFill="0" applyBorder="0" applyAlignment="0" applyProtection="0">
      <alignment vertical="top"/>
      <protection locked="0"/>
    </xf>
    <xf numFmtId="43"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0" fontId="60" fillId="0" borderId="0"/>
    <xf numFmtId="0" fontId="60" fillId="0" borderId="0"/>
    <xf numFmtId="0" fontId="6" fillId="0" borderId="0"/>
    <xf numFmtId="0" fontId="6" fillId="0" borderId="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2" fontId="89" fillId="0" borderId="0" applyFont="0" applyFill="0" applyBorder="0" applyAlignment="0" applyProtection="0"/>
  </cellStyleXfs>
  <cellXfs count="2526">
    <xf numFmtId="0" fontId="0" fillId="0" borderId="0" xfId="0"/>
    <xf numFmtId="167" fontId="0" fillId="0" borderId="0" xfId="5" applyNumberFormat="1" applyFont="1"/>
    <xf numFmtId="167" fontId="0" fillId="0" borderId="0" xfId="0" applyNumberFormat="1"/>
    <xf numFmtId="0" fontId="11" fillId="0" borderId="0" xfId="0" applyFont="1"/>
    <xf numFmtId="0" fontId="0" fillId="0" borderId="1" xfId="0" applyBorder="1"/>
    <xf numFmtId="0" fontId="0" fillId="0" borderId="2" xfId="0" applyBorder="1"/>
    <xf numFmtId="0" fontId="0" fillId="0" borderId="3" xfId="0" applyBorder="1"/>
    <xf numFmtId="0" fontId="11" fillId="0" borderId="4" xfId="0" applyFont="1" applyBorder="1" applyAlignment="1">
      <alignment horizontal="right"/>
    </xf>
    <xf numFmtId="0" fontId="0" fillId="0" borderId="5" xfId="0" applyBorder="1"/>
    <xf numFmtId="0" fontId="11" fillId="0" borderId="6" xfId="0" applyFont="1" applyBorder="1" applyAlignment="1">
      <alignment horizontal="right"/>
    </xf>
    <xf numFmtId="0" fontId="0" fillId="0" borderId="7" xfId="0" applyBorder="1"/>
    <xf numFmtId="0" fontId="11" fillId="0" borderId="0" xfId="0" applyFont="1" applyAlignment="1">
      <alignment horizontal="center"/>
    </xf>
    <xf numFmtId="167" fontId="0" fillId="0" borderId="1" xfId="5" applyNumberFormat="1" applyFont="1" applyBorder="1"/>
    <xf numFmtId="0" fontId="0" fillId="0" borderId="8" xfId="0" applyBorder="1"/>
    <xf numFmtId="167" fontId="0" fillId="0" borderId="9" xfId="5" applyNumberFormat="1" applyFont="1" applyBorder="1"/>
    <xf numFmtId="167" fontId="0" fillId="0" borderId="10" xfId="5" applyNumberFormat="1" applyFont="1" applyBorder="1"/>
    <xf numFmtId="0" fontId="0" fillId="0" borderId="11" xfId="0" applyBorder="1"/>
    <xf numFmtId="0" fontId="0" fillId="0" borderId="12" xfId="0" applyBorder="1"/>
    <xf numFmtId="166" fontId="0" fillId="0" borderId="12" xfId="4" applyNumberFormat="1" applyFont="1" applyFill="1" applyBorder="1"/>
    <xf numFmtId="0" fontId="10" fillId="0" borderId="12" xfId="0" applyFont="1" applyBorder="1"/>
    <xf numFmtId="0" fontId="0" fillId="0" borderId="12" xfId="0" applyBorder="1" applyAlignment="1">
      <alignment horizontal="center"/>
    </xf>
    <xf numFmtId="0" fontId="0" fillId="0" borderId="13" xfId="0" applyBorder="1"/>
    <xf numFmtId="3" fontId="0" fillId="0" borderId="14" xfId="0" applyNumberFormat="1" applyBorder="1"/>
    <xf numFmtId="3" fontId="0" fillId="0" borderId="0" xfId="0" applyNumberFormat="1"/>
    <xf numFmtId="3" fontId="0" fillId="0" borderId="15" xfId="0" applyNumberFormat="1" applyBorder="1"/>
    <xf numFmtId="1" fontId="0" fillId="0" borderId="14" xfId="4" applyNumberFormat="1" applyFont="1" applyBorder="1"/>
    <xf numFmtId="1" fontId="0" fillId="0" borderId="0" xfId="4" applyNumberFormat="1" applyFont="1" applyBorder="1"/>
    <xf numFmtId="1" fontId="0" fillId="2" borderId="0" xfId="4" applyNumberFormat="1" applyFont="1" applyFill="1" applyBorder="1"/>
    <xf numFmtId="1" fontId="11" fillId="2" borderId="0" xfId="4" applyNumberFormat="1" applyFont="1" applyFill="1" applyBorder="1"/>
    <xf numFmtId="1" fontId="0" fillId="0" borderId="15" xfId="4" applyNumberFormat="1" applyFont="1" applyBorder="1"/>
    <xf numFmtId="3" fontId="0" fillId="0" borderId="16" xfId="0" applyNumberFormat="1" applyBorder="1"/>
    <xf numFmtId="3" fontId="0" fillId="0" borderId="17" xfId="0" applyNumberFormat="1" applyBorder="1"/>
    <xf numFmtId="9" fontId="0" fillId="0" borderId="0" xfId="0" applyNumberFormat="1"/>
    <xf numFmtId="167" fontId="0" fillId="0" borderId="5" xfId="5" applyNumberFormat="1" applyFont="1" applyBorder="1"/>
    <xf numFmtId="0" fontId="11" fillId="0" borderId="1" xfId="0" applyFont="1" applyBorder="1"/>
    <xf numFmtId="167" fontId="0" fillId="0" borderId="0" xfId="5" applyNumberFormat="1" applyFont="1" applyFill="1" applyBorder="1"/>
    <xf numFmtId="167" fontId="0" fillId="0" borderId="3" xfId="5" applyNumberFormat="1" applyFont="1" applyBorder="1"/>
    <xf numFmtId="0" fontId="6" fillId="0" borderId="0" xfId="0" applyFont="1"/>
    <xf numFmtId="167" fontId="0" fillId="0" borderId="18" xfId="5" applyNumberFormat="1" applyFont="1" applyBorder="1"/>
    <xf numFmtId="0" fontId="0" fillId="0" borderId="69" xfId="0" applyBorder="1" applyAlignment="1">
      <alignment vertical="center" wrapText="1"/>
    </xf>
    <xf numFmtId="0" fontId="0" fillId="0" borderId="70" xfId="0" applyBorder="1"/>
    <xf numFmtId="0" fontId="6" fillId="0" borderId="0" xfId="0" applyFont="1" applyAlignment="1">
      <alignment vertical="center" wrapText="1"/>
    </xf>
    <xf numFmtId="4" fontId="6" fillId="0" borderId="0" xfId="0" applyNumberFormat="1" applyFont="1" applyAlignment="1">
      <alignment vertical="center" wrapText="1"/>
    </xf>
    <xf numFmtId="0" fontId="0" fillId="0" borderId="71" xfId="0" applyBorder="1" applyAlignment="1">
      <alignment vertical="center" wrapText="1"/>
    </xf>
    <xf numFmtId="2" fontId="0" fillId="0" borderId="0" xfId="0" applyNumberFormat="1"/>
    <xf numFmtId="0" fontId="61" fillId="0" borderId="0" xfId="0" applyFont="1" applyAlignment="1">
      <alignment vertical="center" wrapText="1"/>
    </xf>
    <xf numFmtId="0" fontId="0" fillId="0" borderId="14" xfId="0" applyBorder="1"/>
    <xf numFmtId="0" fontId="0" fillId="0" borderId="15" xfId="0" applyBorder="1"/>
    <xf numFmtId="0" fontId="0" fillId="0" borderId="72" xfId="0" applyBorder="1"/>
    <xf numFmtId="0" fontId="0" fillId="0" borderId="73" xfId="0" applyBorder="1"/>
    <xf numFmtId="0" fontId="0" fillId="0" borderId="74" xfId="0" applyBorder="1"/>
    <xf numFmtId="0" fontId="11" fillId="0" borderId="75" xfId="0" applyFont="1" applyBorder="1"/>
    <xf numFmtId="0" fontId="0" fillId="0" borderId="76" xfId="0" applyBorder="1"/>
    <xf numFmtId="0" fontId="0" fillId="0" borderId="77" xfId="0" applyBorder="1"/>
    <xf numFmtId="0" fontId="0" fillId="0" borderId="75" xfId="0" applyBorder="1"/>
    <xf numFmtId="167" fontId="19" fillId="0" borderId="76" xfId="5" applyNumberFormat="1" applyFont="1" applyFill="1" applyBorder="1"/>
    <xf numFmtId="3" fontId="0" fillId="0" borderId="76" xfId="0" applyNumberFormat="1" applyBorder="1" applyAlignment="1">
      <alignment horizontal="left"/>
    </xf>
    <xf numFmtId="3" fontId="0" fillId="0" borderId="77" xfId="0" applyNumberFormat="1" applyBorder="1" applyAlignment="1">
      <alignment horizontal="left"/>
    </xf>
    <xf numFmtId="0" fontId="6" fillId="0" borderId="75" xfId="0" applyFont="1" applyBorder="1"/>
    <xf numFmtId="0" fontId="12" fillId="0" borderId="76" xfId="0" applyFont="1" applyBorder="1"/>
    <xf numFmtId="0" fontId="9" fillId="0" borderId="76" xfId="0" applyFont="1" applyBorder="1"/>
    <xf numFmtId="0" fontId="0" fillId="0" borderId="78" xfId="0" applyBorder="1"/>
    <xf numFmtId="0" fontId="58" fillId="0" borderId="79" xfId="1" applyFill="1" applyBorder="1" applyAlignment="1" applyProtection="1"/>
    <xf numFmtId="0" fontId="0" fillId="0" borderId="79" xfId="0" applyBorder="1"/>
    <xf numFmtId="0" fontId="0" fillId="0" borderId="79" xfId="0" applyBorder="1" applyAlignment="1">
      <alignment horizontal="center"/>
    </xf>
    <xf numFmtId="0" fontId="0" fillId="0" borderId="80" xfId="0" applyBorder="1" applyAlignment="1">
      <alignment horizontal="center"/>
    </xf>
    <xf numFmtId="167" fontId="19" fillId="0" borderId="81" xfId="5" applyNumberFormat="1" applyFont="1" applyFill="1" applyBorder="1"/>
    <xf numFmtId="0" fontId="0" fillId="0" borderId="16" xfId="0" applyBorder="1"/>
    <xf numFmtId="0" fontId="0" fillId="0" borderId="17" xfId="0" applyBorder="1"/>
    <xf numFmtId="0" fontId="0" fillId="0" borderId="19" xfId="0" applyBorder="1"/>
    <xf numFmtId="0" fontId="6" fillId="5" borderId="20" xfId="0" applyFont="1" applyFill="1" applyBorder="1" applyAlignment="1">
      <alignment horizontal="center"/>
    </xf>
    <xf numFmtId="0" fontId="6" fillId="5" borderId="21" xfId="0" applyFont="1" applyFill="1" applyBorder="1" applyAlignment="1">
      <alignment horizontal="center"/>
    </xf>
    <xf numFmtId="0" fontId="4" fillId="5" borderId="6" xfId="0" applyFont="1" applyFill="1" applyBorder="1" applyAlignment="1">
      <alignment horizontal="left"/>
    </xf>
    <xf numFmtId="0" fontId="6" fillId="5" borderId="7" xfId="0" applyFont="1" applyFill="1" applyBorder="1" applyAlignment="1">
      <alignment horizontal="left"/>
    </xf>
    <xf numFmtId="164" fontId="0" fillId="3" borderId="12" xfId="5" applyFont="1" applyFill="1" applyBorder="1" applyAlignment="1">
      <alignment horizontal="left" indent="1"/>
    </xf>
    <xf numFmtId="0" fontId="11" fillId="0" borderId="22" xfId="0" applyFont="1" applyBorder="1"/>
    <xf numFmtId="0" fontId="0" fillId="0" borderId="22" xfId="0" applyBorder="1"/>
    <xf numFmtId="167" fontId="0" fillId="0" borderId="22" xfId="5" applyNumberFormat="1" applyFont="1" applyBorder="1"/>
    <xf numFmtId="167" fontId="0" fillId="0" borderId="0" xfId="5" applyNumberFormat="1" applyFont="1" applyBorder="1"/>
    <xf numFmtId="0" fontId="6" fillId="0" borderId="0" xfId="0" applyFont="1" applyAlignment="1">
      <alignment wrapText="1"/>
    </xf>
    <xf numFmtId="0" fontId="0" fillId="0" borderId="0" xfId="0" applyAlignment="1">
      <alignment horizontal="center"/>
    </xf>
    <xf numFmtId="0" fontId="15" fillId="0" borderId="76" xfId="0" applyFont="1" applyBorder="1"/>
    <xf numFmtId="167" fontId="4" fillId="0" borderId="0" xfId="5" applyNumberFormat="1" applyFont="1"/>
    <xf numFmtId="0" fontId="4" fillId="0" borderId="76" xfId="0" applyFont="1" applyBorder="1"/>
    <xf numFmtId="0" fontId="4" fillId="0" borderId="0" xfId="0" applyFont="1"/>
    <xf numFmtId="167" fontId="4" fillId="0" borderId="7" xfId="5" applyNumberFormat="1" applyFont="1" applyBorder="1"/>
    <xf numFmtId="0" fontId="4" fillId="0" borderId="0" xfId="0" applyFont="1" applyAlignment="1">
      <alignment vertical="center" wrapText="1"/>
    </xf>
    <xf numFmtId="167" fontId="4" fillId="0" borderId="76" xfId="5" applyNumberFormat="1" applyFont="1" applyFill="1" applyBorder="1"/>
    <xf numFmtId="0" fontId="15" fillId="0" borderId="82" xfId="0" applyFont="1" applyBorder="1"/>
    <xf numFmtId="0" fontId="4" fillId="0" borderId="83" xfId="0" applyFont="1" applyBorder="1"/>
    <xf numFmtId="167" fontId="4" fillId="0" borderId="84" xfId="5" applyNumberFormat="1" applyFont="1" applyFill="1" applyBorder="1"/>
    <xf numFmtId="167" fontId="4" fillId="0" borderId="0" xfId="5" applyNumberFormat="1" applyFont="1" applyBorder="1"/>
    <xf numFmtId="0" fontId="5" fillId="0" borderId="23" xfId="0" applyFont="1" applyBorder="1" applyAlignment="1">
      <alignment horizontal="center"/>
    </xf>
    <xf numFmtId="3" fontId="0" fillId="0" borderId="85" xfId="0" applyNumberFormat="1" applyBorder="1" applyAlignment="1">
      <alignment vertical="center" wrapText="1"/>
    </xf>
    <xf numFmtId="169" fontId="60" fillId="0" borderId="0" xfId="5" applyNumberFormat="1" applyFont="1"/>
    <xf numFmtId="0" fontId="0" fillId="0" borderId="85" xfId="0" applyBorder="1" applyAlignment="1">
      <alignment vertical="center" wrapText="1"/>
    </xf>
    <xf numFmtId="165" fontId="60" fillId="0" borderId="0" xfId="5" applyNumberFormat="1" applyFont="1"/>
    <xf numFmtId="4" fontId="0" fillId="0" borderId="85" xfId="0" applyNumberFormat="1" applyBorder="1" applyAlignment="1">
      <alignment vertical="center" wrapText="1"/>
    </xf>
    <xf numFmtId="165" fontId="62" fillId="0" borderId="0" xfId="5" applyNumberFormat="1" applyFont="1"/>
    <xf numFmtId="0" fontId="6" fillId="0" borderId="0" xfId="0" applyFont="1" applyAlignment="1">
      <alignment horizontal="left" indent="1"/>
    </xf>
    <xf numFmtId="0" fontId="6" fillId="0" borderId="0" xfId="0" applyFont="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27" xfId="0" applyBorder="1" applyAlignment="1">
      <alignment horizontal="left"/>
    </xf>
    <xf numFmtId="0" fontId="0" fillId="0" borderId="27" xfId="0" applyBorder="1" applyAlignment="1">
      <alignment horizontal="center"/>
    </xf>
    <xf numFmtId="0" fontId="5" fillId="0" borderId="28" xfId="0" applyFont="1" applyBorder="1" applyAlignment="1">
      <alignment horizontal="center"/>
    </xf>
    <xf numFmtId="2" fontId="0" fillId="0" borderId="29" xfId="0" applyNumberFormat="1" applyBorder="1" applyAlignment="1">
      <alignment horizontal="center"/>
    </xf>
    <xf numFmtId="2" fontId="0" fillId="0" borderId="1" xfId="0" applyNumberFormat="1" applyBorder="1" applyAlignment="1">
      <alignment horizontal="center"/>
    </xf>
    <xf numFmtId="0" fontId="63" fillId="0" borderId="30" xfId="0" applyFont="1" applyBorder="1" applyAlignment="1">
      <alignment horizontal="center"/>
    </xf>
    <xf numFmtId="0" fontId="63" fillId="0" borderId="28" xfId="0" applyFont="1" applyBorder="1" applyAlignment="1">
      <alignment horizontal="center"/>
    </xf>
    <xf numFmtId="0" fontId="0" fillId="0" borderId="2" xfId="0" applyBorder="1" applyAlignment="1">
      <alignment horizontal="left"/>
    </xf>
    <xf numFmtId="0" fontId="0" fillId="0" borderId="29" xfId="0" applyBorder="1" applyAlignment="1">
      <alignment horizontal="left"/>
    </xf>
    <xf numFmtId="0" fontId="5" fillId="5" borderId="31" xfId="0" applyFont="1" applyFill="1" applyBorder="1" applyAlignment="1">
      <alignment horizontal="left" indent="6"/>
    </xf>
    <xf numFmtId="3" fontId="6" fillId="5" borderId="5" xfId="0" applyNumberFormat="1" applyFont="1" applyFill="1" applyBorder="1" applyProtection="1">
      <protection locked="0"/>
    </xf>
    <xf numFmtId="3" fontId="6" fillId="5" borderId="7" xfId="0" applyNumberFormat="1" applyFont="1" applyFill="1" applyBorder="1" applyProtection="1">
      <protection locked="0"/>
    </xf>
    <xf numFmtId="167" fontId="19" fillId="7" borderId="86" xfId="5" applyNumberFormat="1" applyFont="1" applyFill="1" applyBorder="1"/>
    <xf numFmtId="0" fontId="0" fillId="0" borderId="87" xfId="0" applyBorder="1"/>
    <xf numFmtId="0" fontId="0" fillId="0" borderId="88" xfId="0" applyBorder="1"/>
    <xf numFmtId="0" fontId="0" fillId="0" borderId="1" xfId="0" applyBorder="1" applyAlignment="1">
      <alignment horizontal="center"/>
    </xf>
    <xf numFmtId="0" fontId="9" fillId="5" borderId="33" xfId="0" applyFont="1" applyFill="1" applyBorder="1" applyAlignment="1">
      <alignment horizontal="left"/>
    </xf>
    <xf numFmtId="171" fontId="0" fillId="0" borderId="0" xfId="4" applyNumberFormat="1" applyFont="1" applyBorder="1"/>
    <xf numFmtId="0" fontId="0" fillId="0" borderId="89" xfId="0" applyBorder="1"/>
    <xf numFmtId="0" fontId="4" fillId="0" borderId="75" xfId="0" applyFont="1" applyBorder="1"/>
    <xf numFmtId="167" fontId="9" fillId="0" borderId="15" xfId="5" applyNumberFormat="1" applyFont="1" applyBorder="1"/>
    <xf numFmtId="167" fontId="9" fillId="0" borderId="77" xfId="5" applyNumberFormat="1" applyFont="1" applyFill="1" applyBorder="1"/>
    <xf numFmtId="0" fontId="0" fillId="0" borderId="14" xfId="0" applyBorder="1" applyAlignment="1">
      <alignment horizontal="center"/>
    </xf>
    <xf numFmtId="167" fontId="64" fillId="0" borderId="15" xfId="5" applyNumberFormat="1" applyFont="1" applyFill="1" applyBorder="1"/>
    <xf numFmtId="167" fontId="9" fillId="0" borderId="15" xfId="0" applyNumberFormat="1" applyFont="1" applyBorder="1"/>
    <xf numFmtId="0" fontId="4" fillId="0" borderId="27" xfId="0" applyFont="1" applyBorder="1" applyAlignment="1">
      <alignment horizontal="center"/>
    </xf>
    <xf numFmtId="0" fontId="6" fillId="0" borderId="29" xfId="0" applyFont="1" applyBorder="1" applyAlignment="1">
      <alignment horizontal="center"/>
    </xf>
    <xf numFmtId="0" fontId="6" fillId="0" borderId="1" xfId="0" applyFont="1" applyBorder="1" applyAlignment="1">
      <alignment horizontal="center"/>
    </xf>
    <xf numFmtId="9" fontId="65" fillId="6" borderId="0" xfId="0" applyNumberFormat="1" applyFont="1" applyFill="1" applyAlignment="1">
      <alignment horizontal="left" vertical="center"/>
    </xf>
    <xf numFmtId="0" fontId="4" fillId="5" borderId="34" xfId="0" applyFont="1" applyFill="1" applyBorder="1" applyAlignment="1">
      <alignment horizontal="left"/>
    </xf>
    <xf numFmtId="0" fontId="6" fillId="5" borderId="35" xfId="0" applyFont="1" applyFill="1" applyBorder="1" applyAlignment="1">
      <alignment horizontal="left"/>
    </xf>
    <xf numFmtId="0" fontId="10" fillId="0" borderId="76" xfId="0" applyFont="1" applyBorder="1" applyAlignment="1">
      <alignment horizontal="center"/>
    </xf>
    <xf numFmtId="0" fontId="0" fillId="0" borderId="0" xfId="0" applyProtection="1">
      <protection locked="0"/>
    </xf>
    <xf numFmtId="171" fontId="39" fillId="5" borderId="1" xfId="4" applyNumberFormat="1" applyFont="1" applyFill="1" applyBorder="1" applyProtection="1">
      <protection locked="0"/>
    </xf>
    <xf numFmtId="0" fontId="0" fillId="5" borderId="1" xfId="0" applyFill="1" applyBorder="1" applyProtection="1">
      <protection locked="0"/>
    </xf>
    <xf numFmtId="0" fontId="4" fillId="5" borderId="1" xfId="0" applyFont="1" applyFill="1" applyBorder="1" applyProtection="1">
      <protection locked="0"/>
    </xf>
    <xf numFmtId="0" fontId="6" fillId="0" borderId="0" xfId="0" applyFont="1" applyProtection="1">
      <protection locked="0"/>
    </xf>
    <xf numFmtId="0" fontId="6" fillId="0" borderId="36" xfId="9" applyBorder="1" applyAlignment="1" applyProtection="1">
      <alignment vertical="center" wrapText="1"/>
      <protection locked="0"/>
    </xf>
    <xf numFmtId="0" fontId="6" fillId="0" borderId="37" xfId="9" applyBorder="1" applyAlignment="1" applyProtection="1">
      <alignment vertical="center" wrapText="1"/>
      <protection locked="0"/>
    </xf>
    <xf numFmtId="0" fontId="6" fillId="4" borderId="37" xfId="9" applyFill="1" applyBorder="1" applyAlignment="1" applyProtection="1">
      <alignment vertical="center" wrapText="1"/>
      <protection locked="0"/>
    </xf>
    <xf numFmtId="171" fontId="4" fillId="5" borderId="1" xfId="4" applyNumberFormat="1" applyFont="1" applyFill="1" applyBorder="1" applyProtection="1">
      <protection locked="0"/>
    </xf>
    <xf numFmtId="0" fontId="35" fillId="5" borderId="1" xfId="0" applyFont="1" applyFill="1" applyBorder="1" applyAlignment="1" applyProtection="1">
      <alignment horizontal="center" vertical="center"/>
      <protection locked="0"/>
    </xf>
    <xf numFmtId="0" fontId="6" fillId="0" borderId="15" xfId="9" applyBorder="1" applyAlignment="1" applyProtection="1">
      <alignment vertical="center" wrapText="1"/>
      <protection locked="0"/>
    </xf>
    <xf numFmtId="0" fontId="6" fillId="0" borderId="37" xfId="9" applyBorder="1" applyAlignment="1" applyProtection="1">
      <alignment horizontal="left" vertical="center" wrapText="1"/>
      <protection locked="0"/>
    </xf>
    <xf numFmtId="0" fontId="6" fillId="0" borderId="38" xfId="9" applyBorder="1" applyAlignment="1" applyProtection="1">
      <alignment horizontal="left" vertical="center" wrapText="1"/>
      <protection locked="0"/>
    </xf>
    <xf numFmtId="0" fontId="6" fillId="0" borderId="26" xfId="9" applyBorder="1" applyAlignment="1" applyProtection="1">
      <alignment horizontal="left" vertical="center" wrapText="1"/>
      <protection locked="0"/>
    </xf>
    <xf numFmtId="0" fontId="6" fillId="0" borderId="26" xfId="9" applyBorder="1" applyAlignment="1" applyProtection="1">
      <alignment vertical="center"/>
      <protection locked="0"/>
    </xf>
    <xf numFmtId="171" fontId="4" fillId="5" borderId="39" xfId="4" applyNumberFormat="1" applyFont="1" applyFill="1" applyBorder="1" applyProtection="1">
      <protection locked="0"/>
    </xf>
    <xf numFmtId="0" fontId="6" fillId="0" borderId="40" xfId="9" applyBorder="1" applyAlignment="1" applyProtection="1">
      <alignment horizontal="left" vertical="center" wrapText="1"/>
      <protection locked="0"/>
    </xf>
    <xf numFmtId="0" fontId="6" fillId="4" borderId="18" xfId="9" applyFill="1" applyBorder="1" applyAlignment="1" applyProtection="1">
      <alignment vertical="center" wrapText="1"/>
      <protection locked="0"/>
    </xf>
    <xf numFmtId="0" fontId="6" fillId="0" borderId="40" xfId="9" applyBorder="1" applyAlignment="1" applyProtection="1">
      <alignment vertical="center" wrapText="1"/>
      <protection locked="0"/>
    </xf>
    <xf numFmtId="0" fontId="6" fillId="4" borderId="40" xfId="9" applyFill="1" applyBorder="1" applyAlignment="1" applyProtection="1">
      <alignment vertical="center" wrapText="1"/>
      <protection locked="0"/>
    </xf>
    <xf numFmtId="0" fontId="9" fillId="5" borderId="1" xfId="0" applyFont="1" applyFill="1" applyBorder="1" applyProtection="1">
      <protection locked="0"/>
    </xf>
    <xf numFmtId="0" fontId="9" fillId="0" borderId="0" xfId="0" applyFont="1" applyProtection="1">
      <protection locked="0"/>
    </xf>
    <xf numFmtId="171" fontId="9" fillId="5" borderId="1" xfId="4" applyNumberFormat="1" applyFont="1" applyFill="1" applyBorder="1" applyProtection="1">
      <protection locked="0"/>
    </xf>
    <xf numFmtId="0" fontId="6" fillId="0" borderId="0" xfId="0" applyFont="1" applyAlignment="1" applyProtection="1">
      <alignment horizontal="left"/>
      <protection locked="0"/>
    </xf>
    <xf numFmtId="171" fontId="30" fillId="5" borderId="1" xfId="4" applyNumberFormat="1" applyFont="1" applyFill="1" applyBorder="1" applyProtection="1">
      <protection locked="0"/>
    </xf>
    <xf numFmtId="0" fontId="4" fillId="0" borderId="0" xfId="0" applyFont="1" applyProtection="1">
      <protection locked="0"/>
    </xf>
    <xf numFmtId="171" fontId="30" fillId="5" borderId="39" xfId="4" applyNumberFormat="1" applyFont="1" applyFill="1" applyBorder="1" applyProtection="1">
      <protection locked="0"/>
    </xf>
    <xf numFmtId="0" fontId="6" fillId="5" borderId="1" xfId="0" applyFont="1" applyFill="1" applyBorder="1" applyProtection="1">
      <protection locked="0"/>
    </xf>
    <xf numFmtId="171" fontId="0" fillId="0" borderId="0" xfId="4" applyNumberFormat="1" applyFont="1" applyProtection="1">
      <protection locked="0"/>
    </xf>
    <xf numFmtId="171" fontId="0" fillId="0" borderId="3" xfId="4" applyNumberFormat="1" applyFont="1" applyBorder="1" applyProtection="1">
      <protection hidden="1"/>
    </xf>
    <xf numFmtId="171" fontId="0" fillId="0" borderId="1" xfId="4" applyNumberFormat="1" applyFont="1" applyBorder="1" applyProtection="1">
      <protection hidden="1"/>
    </xf>
    <xf numFmtId="0" fontId="4" fillId="0" borderId="1" xfId="0" applyFont="1" applyBorder="1" applyProtection="1">
      <protection hidden="1"/>
    </xf>
    <xf numFmtId="0" fontId="4"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Protection="1">
      <protection hidden="1"/>
    </xf>
    <xf numFmtId="171" fontId="0" fillId="0" borderId="5" xfId="4" applyNumberFormat="1" applyFont="1" applyBorder="1" applyProtection="1">
      <protection hidden="1"/>
    </xf>
    <xf numFmtId="171" fontId="0" fillId="0" borderId="1" xfId="4" applyNumberFormat="1" applyFont="1" applyFill="1" applyBorder="1" applyProtection="1">
      <protection hidden="1"/>
    </xf>
    <xf numFmtId="171" fontId="0" fillId="0" borderId="13" xfId="4" applyNumberFormat="1" applyFont="1" applyBorder="1" applyProtection="1">
      <protection hidden="1"/>
    </xf>
    <xf numFmtId="171" fontId="0" fillId="0" borderId="15" xfId="4" applyNumberFormat="1" applyFont="1" applyBorder="1" applyProtection="1">
      <protection hidden="1"/>
    </xf>
    <xf numFmtId="0" fontId="6" fillId="0" borderId="1" xfId="0" applyFont="1" applyBorder="1" applyProtection="1">
      <protection hidden="1"/>
    </xf>
    <xf numFmtId="0" fontId="5" fillId="0" borderId="1" xfId="0" applyFont="1" applyBorder="1" applyAlignment="1" applyProtection="1">
      <alignment horizontal="center"/>
      <protection hidden="1"/>
    </xf>
    <xf numFmtId="0" fontId="9" fillId="0" borderId="1" xfId="0" applyFont="1" applyBorder="1" applyProtection="1">
      <protection hidden="1"/>
    </xf>
    <xf numFmtId="0" fontId="10" fillId="0" borderId="1" xfId="0" applyFont="1" applyBorder="1" applyAlignment="1" applyProtection="1">
      <alignment horizontal="center" vertical="justify"/>
      <protection hidden="1"/>
    </xf>
    <xf numFmtId="0" fontId="0" fillId="0" borderId="0" xfId="0" applyAlignment="1" applyProtection="1">
      <alignment horizontal="center"/>
      <protection hidden="1"/>
    </xf>
    <xf numFmtId="171" fontId="16" fillId="0" borderId="41" xfId="4" applyNumberFormat="1" applyFont="1" applyBorder="1" applyProtection="1">
      <protection hidden="1"/>
    </xf>
    <xf numFmtId="171" fontId="16" fillId="0" borderId="1" xfId="4" applyNumberFormat="1" applyFont="1" applyBorder="1" applyProtection="1">
      <protection hidden="1"/>
    </xf>
    <xf numFmtId="0" fontId="0" fillId="0" borderId="0" xfId="0" applyProtection="1">
      <protection hidden="1"/>
    </xf>
    <xf numFmtId="0" fontId="0" fillId="0" borderId="90" xfId="0" applyBorder="1" applyProtection="1">
      <protection locked="0"/>
    </xf>
    <xf numFmtId="0" fontId="0" fillId="6" borderId="91" xfId="0" applyFill="1" applyBorder="1" applyProtection="1">
      <protection locked="0"/>
    </xf>
    <xf numFmtId="0" fontId="0" fillId="0" borderId="92" xfId="0" applyBorder="1" applyProtection="1">
      <protection locked="0"/>
    </xf>
    <xf numFmtId="171" fontId="6" fillId="5" borderId="1" xfId="4" applyNumberFormat="1" applyFont="1" applyFill="1" applyBorder="1" applyAlignment="1" applyProtection="1">
      <alignment horizontal="left" vertical="center"/>
      <protection locked="0"/>
    </xf>
    <xf numFmtId="171" fontId="6" fillId="5" borderId="5" xfId="4" applyNumberFormat="1" applyFont="1" applyFill="1" applyBorder="1" applyAlignment="1" applyProtection="1">
      <alignment horizontal="right" vertical="center"/>
      <protection locked="0"/>
    </xf>
    <xf numFmtId="171" fontId="4" fillId="5" borderId="5" xfId="4" applyNumberFormat="1" applyFont="1" applyFill="1" applyBorder="1" applyAlignment="1" applyProtection="1">
      <alignment horizontal="right" vertical="center"/>
      <protection locked="0"/>
    </xf>
    <xf numFmtId="0" fontId="31" fillId="5" borderId="5" xfId="0" applyFont="1" applyFill="1" applyBorder="1" applyAlignment="1" applyProtection="1">
      <alignment horizontal="center" vertical="center"/>
      <protection locked="0"/>
    </xf>
    <xf numFmtId="0" fontId="66" fillId="5" borderId="42" xfId="0" applyFont="1" applyFill="1" applyBorder="1" applyAlignment="1" applyProtection="1">
      <alignment horizontal="left" vertical="center" indent="12"/>
      <protection locked="0"/>
    </xf>
    <xf numFmtId="0" fontId="6" fillId="0" borderId="92" xfId="0" applyFont="1" applyBorder="1" applyAlignment="1" applyProtection="1">
      <alignment horizontal="center"/>
      <protection locked="0"/>
    </xf>
    <xf numFmtId="167" fontId="21" fillId="5" borderId="4" xfId="5" applyNumberFormat="1" applyFont="1" applyFill="1" applyBorder="1" applyAlignment="1" applyProtection="1">
      <alignment horizontal="right"/>
      <protection locked="0"/>
    </xf>
    <xf numFmtId="167" fontId="21" fillId="5" borderId="1" xfId="5" applyNumberFormat="1" applyFont="1" applyFill="1" applyBorder="1" applyAlignment="1" applyProtection="1">
      <alignment horizontal="right"/>
      <protection locked="0"/>
    </xf>
    <xf numFmtId="167" fontId="9" fillId="5" borderId="5" xfId="5" applyNumberFormat="1" applyFont="1" applyFill="1" applyBorder="1" applyProtection="1">
      <protection locked="0"/>
    </xf>
    <xf numFmtId="167" fontId="9" fillId="5" borderId="7" xfId="5" applyNumberFormat="1" applyFont="1" applyFill="1" applyBorder="1" applyProtection="1">
      <protection locked="0"/>
    </xf>
    <xf numFmtId="0" fontId="0" fillId="6" borderId="0" xfId="0" applyFill="1" applyProtection="1">
      <protection locked="0"/>
    </xf>
    <xf numFmtId="0" fontId="4" fillId="0" borderId="92" xfId="0" applyFont="1" applyBorder="1" applyProtection="1">
      <protection locked="0"/>
    </xf>
    <xf numFmtId="0" fontId="6" fillId="5" borderId="1" xfId="0" applyFont="1" applyFill="1" applyBorder="1" applyAlignment="1" applyProtection="1">
      <alignment horizontal="center"/>
      <protection locked="0"/>
    </xf>
    <xf numFmtId="0" fontId="8" fillId="5" borderId="27" xfId="0" applyFont="1" applyFill="1" applyBorder="1" applyAlignment="1" applyProtection="1">
      <alignment horizontal="center"/>
      <protection locked="0"/>
    </xf>
    <xf numFmtId="171" fontId="4" fillId="5" borderId="22" xfId="4" applyNumberFormat="1" applyFont="1" applyFill="1" applyBorder="1" applyAlignment="1" applyProtection="1">
      <alignment horizontal="center"/>
      <protection locked="0"/>
    </xf>
    <xf numFmtId="171" fontId="4" fillId="5" borderId="1" xfId="4" applyNumberFormat="1" applyFont="1" applyFill="1" applyBorder="1" applyAlignment="1" applyProtection="1">
      <alignment horizontal="center"/>
      <protection locked="0"/>
    </xf>
    <xf numFmtId="171" fontId="4" fillId="5" borderId="27" xfId="4" applyNumberFormat="1" applyFont="1" applyFill="1" applyBorder="1" applyAlignment="1" applyProtection="1">
      <alignment horizontal="center"/>
      <protection locked="0"/>
    </xf>
    <xf numFmtId="171" fontId="4" fillId="5" borderId="1" xfId="4" applyNumberFormat="1" applyFont="1" applyFill="1" applyBorder="1" applyAlignment="1" applyProtection="1">
      <alignment horizontal="left"/>
      <protection locked="0"/>
    </xf>
    <xf numFmtId="171" fontId="4" fillId="5" borderId="27" xfId="4" applyNumberFormat="1" applyFont="1" applyFill="1" applyBorder="1" applyAlignment="1" applyProtection="1">
      <alignment horizontal="left"/>
      <protection locked="0"/>
    </xf>
    <xf numFmtId="167" fontId="4" fillId="5" borderId="5" xfId="5" applyNumberFormat="1" applyFont="1" applyFill="1" applyBorder="1" applyAlignment="1" applyProtection="1">
      <alignment horizontal="center"/>
      <protection locked="0"/>
    </xf>
    <xf numFmtId="167" fontId="4" fillId="5" borderId="7" xfId="5" applyNumberFormat="1" applyFont="1" applyFill="1" applyBorder="1" applyAlignment="1" applyProtection="1">
      <alignment horizontal="center"/>
      <protection locked="0"/>
    </xf>
    <xf numFmtId="167" fontId="39" fillId="5" borderId="1" xfId="5" applyNumberFormat="1" applyFont="1" applyFill="1" applyBorder="1" applyProtection="1">
      <protection locked="0"/>
    </xf>
    <xf numFmtId="171" fontId="6" fillId="5" borderId="5" xfId="4" applyNumberFormat="1" applyFont="1" applyFill="1" applyBorder="1" applyAlignment="1" applyProtection="1">
      <alignment horizontal="center"/>
      <protection locked="0"/>
    </xf>
    <xf numFmtId="0" fontId="0" fillId="0" borderId="93" xfId="0" applyBorder="1" applyProtection="1">
      <protection locked="0"/>
    </xf>
    <xf numFmtId="0" fontId="42" fillId="6" borderId="1" xfId="0" applyFont="1" applyFill="1" applyBorder="1" applyAlignment="1" applyProtection="1">
      <alignment horizontal="justify" vertical="center"/>
      <protection hidden="1"/>
    </xf>
    <xf numFmtId="167" fontId="4" fillId="6" borderId="5" xfId="5" applyNumberFormat="1" applyFont="1" applyFill="1" applyBorder="1" applyAlignment="1" applyProtection="1">
      <alignment horizontal="left" vertical="center"/>
      <protection hidden="1"/>
    </xf>
    <xf numFmtId="0" fontId="10" fillId="6" borderId="1" xfId="0" applyFont="1" applyFill="1" applyBorder="1" applyAlignment="1" applyProtection="1">
      <alignment horizontal="center" vertical="justify"/>
      <protection hidden="1"/>
    </xf>
    <xf numFmtId="0" fontId="10" fillId="6" borderId="5" xfId="0" applyFont="1" applyFill="1" applyBorder="1" applyAlignment="1" applyProtection="1">
      <alignment horizontal="center" vertical="center"/>
      <protection hidden="1"/>
    </xf>
    <xf numFmtId="0" fontId="5" fillId="6" borderId="1" xfId="0" applyFont="1" applyFill="1" applyBorder="1" applyAlignment="1" applyProtection="1">
      <alignment horizontal="center"/>
      <protection hidden="1"/>
    </xf>
    <xf numFmtId="0" fontId="6" fillId="6" borderId="0" xfId="0" applyFont="1" applyFill="1" applyAlignment="1" applyProtection="1">
      <alignment horizontal="left"/>
      <protection hidden="1"/>
    </xf>
    <xf numFmtId="167" fontId="19" fillId="6" borderId="0" xfId="5" applyNumberFormat="1" applyFont="1" applyFill="1" applyBorder="1" applyProtection="1">
      <protection hidden="1"/>
    </xf>
    <xf numFmtId="0" fontId="21" fillId="6" borderId="3" xfId="0" applyFont="1" applyFill="1" applyBorder="1" applyAlignment="1" applyProtection="1">
      <alignment horizontal="center"/>
      <protection hidden="1"/>
    </xf>
    <xf numFmtId="171" fontId="8" fillId="0" borderId="29" xfId="4" applyNumberFormat="1" applyFont="1" applyFill="1" applyBorder="1" applyAlignment="1" applyProtection="1">
      <alignment horizontal="center" vertical="center"/>
      <protection hidden="1"/>
    </xf>
    <xf numFmtId="9" fontId="22" fillId="0" borderId="27" xfId="11" applyFont="1" applyFill="1" applyBorder="1" applyAlignment="1" applyProtection="1">
      <alignment horizontal="center" vertical="center"/>
      <protection hidden="1"/>
    </xf>
    <xf numFmtId="167" fontId="23" fillId="0" borderId="7" xfId="5" applyNumberFormat="1" applyFont="1" applyFill="1" applyBorder="1" applyAlignment="1" applyProtection="1">
      <alignment horizontal="center" vertical="center"/>
      <protection hidden="1"/>
    </xf>
    <xf numFmtId="0" fontId="0" fillId="6" borderId="0" xfId="0" applyFill="1" applyProtection="1">
      <protection hidden="1"/>
    </xf>
    <xf numFmtId="0" fontId="11" fillId="6" borderId="2" xfId="0" applyFont="1" applyFill="1" applyBorder="1" applyAlignment="1" applyProtection="1">
      <alignment horizontal="left"/>
      <protection hidden="1"/>
    </xf>
    <xf numFmtId="0" fontId="9" fillId="6" borderId="29" xfId="0" applyFont="1" applyFill="1" applyBorder="1" applyAlignment="1" applyProtection="1">
      <alignment horizontal="left" vertical="justify"/>
      <protection hidden="1"/>
    </xf>
    <xf numFmtId="167" fontId="11" fillId="6" borderId="3" xfId="5" applyNumberFormat="1" applyFont="1" applyFill="1" applyBorder="1" applyAlignment="1" applyProtection="1">
      <alignment horizontal="center"/>
      <protection hidden="1"/>
    </xf>
    <xf numFmtId="167" fontId="4" fillId="6" borderId="5" xfId="5" applyNumberFormat="1" applyFont="1" applyFill="1" applyBorder="1" applyAlignment="1" applyProtection="1">
      <alignment horizontal="center"/>
      <protection hidden="1"/>
    </xf>
    <xf numFmtId="171" fontId="6" fillId="0" borderId="3" xfId="4" applyNumberFormat="1" applyFont="1" applyFill="1" applyBorder="1" applyAlignment="1" applyProtection="1">
      <alignment horizontal="center"/>
      <protection hidden="1"/>
    </xf>
    <xf numFmtId="171" fontId="6" fillId="0" borderId="1" xfId="4" applyNumberFormat="1" applyFont="1" applyFill="1" applyBorder="1" applyAlignment="1" applyProtection="1">
      <alignment horizontal="center"/>
      <protection hidden="1"/>
    </xf>
    <xf numFmtId="0" fontId="4" fillId="0" borderId="4" xfId="0" applyFont="1" applyBorder="1" applyAlignment="1" applyProtection="1">
      <alignment horizontal="left" indent="3"/>
      <protection hidden="1"/>
    </xf>
    <xf numFmtId="167" fontId="4" fillId="6" borderId="5" xfId="5" applyNumberFormat="1" applyFont="1" applyFill="1" applyBorder="1" applyProtection="1">
      <protection hidden="1"/>
    </xf>
    <xf numFmtId="167" fontId="11" fillId="6" borderId="5" xfId="5" applyNumberFormat="1" applyFont="1" applyFill="1" applyBorder="1" applyProtection="1">
      <protection hidden="1"/>
    </xf>
    <xf numFmtId="0" fontId="5" fillId="0" borderId="5" xfId="0" applyFont="1" applyBorder="1" applyAlignment="1" applyProtection="1">
      <alignment horizontal="center"/>
      <protection hidden="1"/>
    </xf>
    <xf numFmtId="171" fontId="30" fillId="6" borderId="5" xfId="4" applyNumberFormat="1" applyFont="1" applyFill="1" applyBorder="1" applyProtection="1">
      <protection hidden="1"/>
    </xf>
    <xf numFmtId="170" fontId="67" fillId="6" borderId="7" xfId="4" applyNumberFormat="1" applyFont="1" applyFill="1" applyBorder="1" applyProtection="1">
      <protection hidden="1"/>
    </xf>
    <xf numFmtId="171" fontId="67" fillId="6" borderId="45" xfId="4" applyNumberFormat="1" applyFont="1" applyFill="1" applyBorder="1" applyProtection="1">
      <protection hidden="1"/>
    </xf>
    <xf numFmtId="171" fontId="30" fillId="6" borderId="24" xfId="4" applyNumberFormat="1" applyFont="1" applyFill="1" applyBorder="1" applyProtection="1">
      <protection hidden="1"/>
    </xf>
    <xf numFmtId="167" fontId="7" fillId="6" borderId="47" xfId="5" applyNumberFormat="1" applyFont="1" applyFill="1" applyBorder="1" applyProtection="1">
      <protection hidden="1"/>
    </xf>
    <xf numFmtId="0" fontId="0" fillId="8" borderId="95" xfId="0" applyFill="1" applyBorder="1" applyAlignment="1" applyProtection="1">
      <alignment horizontal="center"/>
      <protection hidden="1"/>
    </xf>
    <xf numFmtId="171" fontId="9" fillId="8" borderId="95" xfId="4" applyNumberFormat="1" applyFont="1" applyFill="1" applyBorder="1" applyProtection="1">
      <protection hidden="1"/>
    </xf>
    <xf numFmtId="171" fontId="9" fillId="8" borderId="96" xfId="4" applyNumberFormat="1" applyFont="1" applyFill="1" applyBorder="1" applyProtection="1">
      <protection hidden="1"/>
    </xf>
    <xf numFmtId="171" fontId="9" fillId="0" borderId="0" xfId="4" applyNumberFormat="1" applyFont="1" applyBorder="1" applyProtection="1">
      <protection hidden="1"/>
    </xf>
    <xf numFmtId="171" fontId="9" fillId="0" borderId="97" xfId="4" applyNumberFormat="1" applyFont="1" applyBorder="1" applyProtection="1">
      <protection hidden="1"/>
    </xf>
    <xf numFmtId="0" fontId="0" fillId="8" borderId="0" xfId="0" applyFill="1" applyAlignment="1" applyProtection="1">
      <alignment horizontal="center"/>
      <protection hidden="1"/>
    </xf>
    <xf numFmtId="171" fontId="9" fillId="8" borderId="0" xfId="4" applyNumberFormat="1" applyFont="1" applyFill="1" applyBorder="1" applyProtection="1">
      <protection hidden="1"/>
    </xf>
    <xf numFmtId="171" fontId="9" fillId="8" borderId="97" xfId="4" applyNumberFormat="1" applyFont="1" applyFill="1" applyBorder="1" applyProtection="1">
      <protection hidden="1"/>
    </xf>
    <xf numFmtId="0" fontId="6" fillId="0" borderId="0" xfId="0" applyFont="1" applyProtection="1">
      <protection hidden="1"/>
    </xf>
    <xf numFmtId="171" fontId="0" fillId="0" borderId="0" xfId="4" applyNumberFormat="1" applyFont="1" applyProtection="1">
      <protection hidden="1"/>
    </xf>
    <xf numFmtId="0" fontId="6" fillId="8" borderId="0" xfId="0" applyFont="1" applyFill="1" applyProtection="1">
      <protection hidden="1"/>
    </xf>
    <xf numFmtId="0" fontId="4" fillId="0" borderId="0" xfId="0" applyFont="1" applyAlignment="1" applyProtection="1">
      <alignment vertical="justify"/>
      <protection hidden="1"/>
    </xf>
    <xf numFmtId="171" fontId="0" fillId="0" borderId="0" xfId="0" applyNumberFormat="1" applyProtection="1">
      <protection hidden="1"/>
    </xf>
    <xf numFmtId="0" fontId="4" fillId="8" borderId="0" xfId="0" applyFont="1" applyFill="1" applyAlignment="1" applyProtection="1">
      <alignment vertical="justify"/>
      <protection hidden="1"/>
    </xf>
    <xf numFmtId="0" fontId="4" fillId="0" borderId="0" xfId="0" applyFont="1" applyProtection="1">
      <protection hidden="1"/>
    </xf>
    <xf numFmtId="0" fontId="6" fillId="0" borderId="0" xfId="0" applyFont="1" applyAlignment="1" applyProtection="1">
      <alignment horizontal="left"/>
      <protection hidden="1"/>
    </xf>
    <xf numFmtId="171" fontId="9" fillId="0" borderId="97" xfId="4" applyNumberFormat="1" applyFont="1" applyFill="1" applyBorder="1" applyProtection="1">
      <protection hidden="1"/>
    </xf>
    <xf numFmtId="0" fontId="6" fillId="0" borderId="2" xfId="0" applyFont="1" applyBorder="1" applyAlignment="1" applyProtection="1">
      <alignment horizontal="left"/>
      <protection hidden="1"/>
    </xf>
    <xf numFmtId="0" fontId="0" fillId="0" borderId="3" xfId="0" applyBorder="1" applyAlignment="1" applyProtection="1">
      <alignment horizontal="center"/>
      <protection hidden="1"/>
    </xf>
    <xf numFmtId="0" fontId="6" fillId="0" borderId="0" xfId="0" applyFont="1" applyAlignment="1" applyProtection="1">
      <alignment horizontal="center"/>
      <protection hidden="1"/>
    </xf>
    <xf numFmtId="167" fontId="60" fillId="0" borderId="0" xfId="6" applyNumberFormat="1" applyFont="1" applyProtection="1">
      <protection hidden="1"/>
    </xf>
    <xf numFmtId="0" fontId="9" fillId="0" borderId="0" xfId="0" applyFont="1" applyAlignment="1" applyProtection="1">
      <alignment vertical="justify"/>
      <protection hidden="1"/>
    </xf>
    <xf numFmtId="0" fontId="9" fillId="8" borderId="0" xfId="0" applyFont="1" applyFill="1" applyAlignment="1" applyProtection="1">
      <alignment vertical="justify"/>
      <protection hidden="1"/>
    </xf>
    <xf numFmtId="0" fontId="0" fillId="0" borderId="2" xfId="0" applyBorder="1" applyProtection="1">
      <protection hidden="1"/>
    </xf>
    <xf numFmtId="0" fontId="0" fillId="0" borderId="3" xfId="0" applyBorder="1" applyProtection="1">
      <protection hidden="1"/>
    </xf>
    <xf numFmtId="0" fontId="0" fillId="0" borderId="8" xfId="0" applyBorder="1" applyProtection="1">
      <protection hidden="1"/>
    </xf>
    <xf numFmtId="0" fontId="6" fillId="0" borderId="4" xfId="0" applyFont="1" applyBorder="1" applyAlignment="1" applyProtection="1">
      <alignment horizontal="right"/>
      <protection hidden="1"/>
    </xf>
    <xf numFmtId="0" fontId="0" fillId="0" borderId="5" xfId="0" applyBorder="1" applyProtection="1">
      <protection hidden="1"/>
    </xf>
    <xf numFmtId="167" fontId="60" fillId="0" borderId="9" xfId="6" applyNumberFormat="1" applyFont="1" applyBorder="1" applyProtection="1">
      <protection hidden="1"/>
    </xf>
    <xf numFmtId="0" fontId="4" fillId="8" borderId="0" xfId="0" applyFont="1" applyFill="1" applyProtection="1">
      <protection hidden="1"/>
    </xf>
    <xf numFmtId="0" fontId="5" fillId="0" borderId="0" xfId="0" applyFont="1" applyProtection="1">
      <protection hidden="1"/>
    </xf>
    <xf numFmtId="0" fontId="6" fillId="0" borderId="6" xfId="0" applyFont="1" applyBorder="1" applyAlignment="1" applyProtection="1">
      <alignment horizontal="right"/>
      <protection hidden="1"/>
    </xf>
    <xf numFmtId="0" fontId="0" fillId="0" borderId="7" xfId="0" applyBorder="1" applyProtection="1">
      <protection hidden="1"/>
    </xf>
    <xf numFmtId="167" fontId="60" fillId="0" borderId="10" xfId="6" applyNumberFormat="1" applyFont="1" applyBorder="1" applyProtection="1">
      <protection hidden="1"/>
    </xf>
    <xf numFmtId="167" fontId="9" fillId="8" borderId="97" xfId="5" applyNumberFormat="1" applyFont="1" applyFill="1" applyBorder="1" applyProtection="1">
      <protection hidden="1"/>
    </xf>
    <xf numFmtId="171" fontId="9" fillId="0" borderId="97" xfId="0" applyNumberFormat="1" applyFont="1" applyBorder="1" applyProtection="1">
      <protection hidden="1"/>
    </xf>
    <xf numFmtId="0" fontId="9" fillId="0" borderId="0" xfId="0" applyFont="1" applyProtection="1">
      <protection hidden="1"/>
    </xf>
    <xf numFmtId="0" fontId="9" fillId="8" borderId="0" xfId="0" applyFont="1" applyFill="1" applyProtection="1">
      <protection hidden="1"/>
    </xf>
    <xf numFmtId="0" fontId="26" fillId="0" borderId="0" xfId="0" applyFont="1" applyAlignment="1" applyProtection="1">
      <alignment horizontal="center"/>
      <protection hidden="1"/>
    </xf>
    <xf numFmtId="0" fontId="15" fillId="8" borderId="0" xfId="0" applyFont="1" applyFill="1" applyProtection="1">
      <protection hidden="1"/>
    </xf>
    <xf numFmtId="0" fontId="26" fillId="8" borderId="0" xfId="0" applyFont="1" applyFill="1" applyAlignment="1" applyProtection="1">
      <alignment horizontal="center"/>
      <protection hidden="1"/>
    </xf>
    <xf numFmtId="0" fontId="0" fillId="8" borderId="98" xfId="0" applyFill="1" applyBorder="1" applyAlignment="1" applyProtection="1">
      <alignment horizontal="center"/>
      <protection hidden="1"/>
    </xf>
    <xf numFmtId="171" fontId="9" fillId="8" borderId="98" xfId="4" applyNumberFormat="1" applyFont="1" applyFill="1" applyBorder="1" applyProtection="1">
      <protection hidden="1"/>
    </xf>
    <xf numFmtId="0" fontId="0" fillId="0" borderId="98" xfId="0" applyBorder="1" applyProtection="1">
      <protection hidden="1"/>
    </xf>
    <xf numFmtId="0" fontId="0" fillId="8" borderId="98" xfId="0" applyFill="1" applyBorder="1" applyProtection="1">
      <protection hidden="1"/>
    </xf>
    <xf numFmtId="0" fontId="9" fillId="8" borderId="99" xfId="0" applyFont="1" applyFill="1" applyBorder="1" applyProtection="1">
      <protection hidden="1"/>
    </xf>
    <xf numFmtId="0" fontId="63" fillId="0" borderId="30" xfId="0" applyFont="1" applyBorder="1" applyAlignment="1" applyProtection="1">
      <alignment horizontal="center"/>
      <protection hidden="1"/>
    </xf>
    <xf numFmtId="0" fontId="63" fillId="0" borderId="28" xfId="0" applyFont="1" applyBorder="1" applyAlignment="1" applyProtection="1">
      <alignment horizontal="center"/>
      <protection hidden="1"/>
    </xf>
    <xf numFmtId="0" fontId="5" fillId="0" borderId="28"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0" fillId="0" borderId="1" xfId="0" applyBorder="1" applyAlignment="1" applyProtection="1">
      <alignment horizontal="left"/>
      <protection hidden="1"/>
    </xf>
    <xf numFmtId="2" fontId="0" fillId="0" borderId="1" xfId="0" applyNumberFormat="1" applyBorder="1" applyAlignment="1" applyProtection="1">
      <alignment horizontal="center"/>
      <protection hidden="1"/>
    </xf>
    <xf numFmtId="167" fontId="0" fillId="0" borderId="3" xfId="5" applyNumberFormat="1" applyFont="1" applyBorder="1" applyProtection="1">
      <protection hidden="1"/>
    </xf>
    <xf numFmtId="0" fontId="0" fillId="0" borderId="0" xfId="0" applyAlignment="1" applyProtection="1">
      <alignment horizontal="left"/>
      <protection hidden="1"/>
    </xf>
    <xf numFmtId="3" fontId="0" fillId="0" borderId="85" xfId="0" applyNumberFormat="1" applyBorder="1" applyAlignment="1" applyProtection="1">
      <alignment vertical="center" wrapText="1"/>
      <protection hidden="1"/>
    </xf>
    <xf numFmtId="169" fontId="60" fillId="0" borderId="0" xfId="5" applyNumberFormat="1" applyFont="1" applyProtection="1">
      <protection hidden="1"/>
    </xf>
    <xf numFmtId="0" fontId="0" fillId="0" borderId="85" xfId="0" applyBorder="1" applyAlignment="1" applyProtection="1">
      <alignment vertical="center" wrapText="1"/>
      <protection hidden="1"/>
    </xf>
    <xf numFmtId="165" fontId="60" fillId="0" borderId="0" xfId="5" applyNumberFormat="1" applyFont="1" applyProtection="1">
      <protection hidden="1"/>
    </xf>
    <xf numFmtId="2" fontId="0" fillId="0" borderId="0" xfId="0" applyNumberFormat="1" applyProtection="1">
      <protection hidden="1"/>
    </xf>
    <xf numFmtId="167" fontId="0" fillId="0" borderId="0" xfId="5" applyNumberFormat="1" applyFont="1" applyProtection="1">
      <protection hidden="1"/>
    </xf>
    <xf numFmtId="167" fontId="0" fillId="0" borderId="0" xfId="0" applyNumberFormat="1" applyProtection="1">
      <protection hidden="1"/>
    </xf>
    <xf numFmtId="0" fontId="7" fillId="0" borderId="0" xfId="0" applyFont="1" applyProtection="1">
      <protection hidden="1"/>
    </xf>
    <xf numFmtId="171" fontId="7" fillId="0" borderId="0" xfId="4" applyNumberFormat="1" applyFont="1" applyProtection="1">
      <protection hidden="1"/>
    </xf>
    <xf numFmtId="0" fontId="42" fillId="6" borderId="0" xfId="0" applyFont="1" applyFill="1" applyAlignment="1" applyProtection="1">
      <alignment horizontal="left" vertical="justify"/>
      <protection hidden="1"/>
    </xf>
    <xf numFmtId="4" fontId="0" fillId="0" borderId="85" xfId="0" applyNumberFormat="1" applyBorder="1" applyAlignment="1" applyProtection="1">
      <alignment vertical="center" wrapText="1"/>
      <protection hidden="1"/>
    </xf>
    <xf numFmtId="171" fontId="6" fillId="0" borderId="1" xfId="4" applyNumberFormat="1" applyFont="1" applyBorder="1" applyProtection="1">
      <protection hidden="1"/>
    </xf>
    <xf numFmtId="9" fontId="6" fillId="0" borderId="1" xfId="0" applyNumberFormat="1" applyFont="1" applyBorder="1" applyProtection="1">
      <protection hidden="1"/>
    </xf>
    <xf numFmtId="0" fontId="6" fillId="0" borderId="2" xfId="0" applyFont="1" applyBorder="1" applyProtection="1">
      <protection hidden="1"/>
    </xf>
    <xf numFmtId="0" fontId="6" fillId="0" borderId="29" xfId="0" applyFont="1" applyBorder="1" applyProtection="1">
      <protection hidden="1"/>
    </xf>
    <xf numFmtId="0" fontId="6" fillId="0" borderId="3" xfId="0" applyFont="1" applyBorder="1" applyProtection="1">
      <protection hidden="1"/>
    </xf>
    <xf numFmtId="171" fontId="6" fillId="0" borderId="4" xfId="4" applyNumberFormat="1" applyFont="1" applyBorder="1" applyProtection="1">
      <protection hidden="1"/>
    </xf>
    <xf numFmtId="0" fontId="6" fillId="0" borderId="5" xfId="0" applyFont="1" applyBorder="1" applyProtection="1">
      <protection hidden="1"/>
    </xf>
    <xf numFmtId="0" fontId="6" fillId="0" borderId="4" xfId="0" applyFont="1" applyBorder="1" applyProtection="1">
      <protection hidden="1"/>
    </xf>
    <xf numFmtId="171" fontId="6" fillId="0" borderId="5" xfId="0" applyNumberFormat="1" applyFont="1" applyBorder="1" applyProtection="1">
      <protection hidden="1"/>
    </xf>
    <xf numFmtId="0" fontId="6" fillId="0" borderId="6" xfId="0" applyFont="1" applyBorder="1" applyProtection="1">
      <protection hidden="1"/>
    </xf>
    <xf numFmtId="0" fontId="6" fillId="0" borderId="27" xfId="0" applyFont="1" applyBorder="1" applyProtection="1">
      <protection hidden="1"/>
    </xf>
    <xf numFmtId="9" fontId="6" fillId="0" borderId="27" xfId="0" applyNumberFormat="1" applyFont="1" applyBorder="1" applyProtection="1">
      <protection hidden="1"/>
    </xf>
    <xf numFmtId="0" fontId="6" fillId="0" borderId="7" xfId="0" applyFont="1" applyBorder="1" applyProtection="1">
      <protection hidden="1"/>
    </xf>
    <xf numFmtId="2" fontId="6" fillId="0" borderId="1" xfId="0" applyNumberFormat="1" applyFont="1" applyBorder="1" applyProtection="1">
      <protection hidden="1"/>
    </xf>
    <xf numFmtId="167" fontId="4" fillId="6" borderId="1" xfId="5" applyNumberFormat="1" applyFont="1" applyFill="1" applyBorder="1" applyAlignment="1" applyProtection="1">
      <alignment horizontal="left" vertical="center"/>
      <protection hidden="1"/>
    </xf>
    <xf numFmtId="0" fontId="0" fillId="6" borderId="100" xfId="0" applyFill="1" applyBorder="1" applyProtection="1">
      <protection locked="0"/>
    </xf>
    <xf numFmtId="171" fontId="30" fillId="5" borderId="5" xfId="4" applyNumberFormat="1" applyFont="1" applyFill="1" applyBorder="1" applyProtection="1">
      <protection locked="0"/>
    </xf>
    <xf numFmtId="170" fontId="67" fillId="5" borderId="24" xfId="4" applyNumberFormat="1" applyFont="1" applyFill="1" applyBorder="1" applyProtection="1">
      <protection locked="0"/>
    </xf>
    <xf numFmtId="0" fontId="6" fillId="0" borderId="0" xfId="0" applyFont="1" applyAlignment="1">
      <alignment horizontal="left"/>
    </xf>
    <xf numFmtId="171" fontId="4" fillId="0" borderId="0" xfId="4" applyNumberFormat="1" applyFont="1" applyProtection="1">
      <protection hidden="1"/>
    </xf>
    <xf numFmtId="171" fontId="4" fillId="0" borderId="0" xfId="0" applyNumberFormat="1" applyFont="1" applyProtection="1">
      <protection hidden="1"/>
    </xf>
    <xf numFmtId="0" fontId="68" fillId="5" borderId="29" xfId="0" applyFont="1" applyFill="1" applyBorder="1" applyAlignment="1" applyProtection="1">
      <alignment horizontal="center" vertical="center"/>
      <protection locked="0"/>
    </xf>
    <xf numFmtId="167" fontId="9" fillId="5" borderId="5" xfId="5" applyNumberFormat="1" applyFont="1" applyFill="1" applyBorder="1" applyAlignment="1" applyProtection="1">
      <alignment horizontal="center"/>
      <protection locked="0"/>
    </xf>
    <xf numFmtId="167" fontId="9" fillId="5" borderId="5" xfId="5" applyNumberFormat="1" applyFont="1" applyFill="1" applyBorder="1" applyAlignment="1" applyProtection="1">
      <alignment horizontal="center" vertical="center"/>
      <protection locked="0"/>
    </xf>
    <xf numFmtId="167" fontId="6" fillId="5" borderId="1" xfId="5" applyNumberFormat="1" applyFont="1" applyFill="1" applyBorder="1" applyAlignment="1" applyProtection="1">
      <alignment horizontal="left"/>
      <protection locked="0"/>
    </xf>
    <xf numFmtId="167" fontId="6" fillId="5" borderId="4" xfId="5" applyNumberFormat="1" applyFont="1" applyFill="1" applyBorder="1" applyAlignment="1" applyProtection="1">
      <alignment horizontal="right"/>
      <protection locked="0"/>
    </xf>
    <xf numFmtId="0" fontId="10" fillId="6" borderId="29" xfId="0" applyFont="1" applyFill="1" applyBorder="1" applyAlignment="1" applyProtection="1">
      <alignment horizontal="center" vertical="center"/>
      <protection hidden="1"/>
    </xf>
    <xf numFmtId="0" fontId="10" fillId="0" borderId="42" xfId="0" applyFont="1" applyBorder="1" applyAlignment="1">
      <alignment horizontal="left" vertical="center"/>
    </xf>
    <xf numFmtId="0" fontId="10" fillId="0" borderId="26" xfId="0" applyFont="1" applyBorder="1" applyAlignment="1">
      <alignment horizontal="left" vertical="center"/>
    </xf>
    <xf numFmtId="0" fontId="16" fillId="6" borderId="0" xfId="0" applyFont="1" applyFill="1" applyAlignment="1" applyProtection="1">
      <alignment vertical="center"/>
      <protection hidden="1"/>
    </xf>
    <xf numFmtId="9" fontId="22" fillId="0" borderId="0" xfId="11" applyFont="1" applyFill="1" applyBorder="1" applyAlignment="1" applyProtection="1">
      <alignment horizontal="center" vertical="center"/>
      <protection hidden="1"/>
    </xf>
    <xf numFmtId="167" fontId="23" fillId="0" borderId="0" xfId="5" applyNumberFormat="1" applyFont="1" applyFill="1" applyBorder="1" applyAlignment="1" applyProtection="1">
      <alignment horizontal="center" vertical="center"/>
      <protection hidden="1"/>
    </xf>
    <xf numFmtId="10" fontId="22" fillId="0" borderId="27" xfId="11" applyNumberFormat="1" applyFont="1" applyFill="1" applyBorder="1" applyAlignment="1" applyProtection="1">
      <alignment horizontal="center" vertical="center"/>
      <protection hidden="1"/>
    </xf>
    <xf numFmtId="10" fontId="22" fillId="0" borderId="1" xfId="11" applyNumberFormat="1" applyFont="1" applyFill="1" applyBorder="1" applyAlignment="1" applyProtection="1">
      <alignment horizontal="center" vertical="center"/>
      <protection hidden="1"/>
    </xf>
    <xf numFmtId="0" fontId="4" fillId="0" borderId="0" xfId="0" applyFont="1" applyAlignment="1">
      <alignment horizontal="left"/>
    </xf>
    <xf numFmtId="167" fontId="9" fillId="0" borderId="15" xfId="5" applyNumberFormat="1" applyFont="1" applyFill="1" applyBorder="1"/>
    <xf numFmtId="167" fontId="19" fillId="0" borderId="86" xfId="5" applyNumberFormat="1" applyFont="1" applyFill="1" applyBorder="1"/>
    <xf numFmtId="10" fontId="0" fillId="0" borderId="0" xfId="0" applyNumberFormat="1"/>
    <xf numFmtId="0" fontId="5" fillId="0" borderId="0" xfId="0" applyFont="1"/>
    <xf numFmtId="0" fontId="6" fillId="0" borderId="0" xfId="0" quotePrefix="1" applyFont="1"/>
    <xf numFmtId="171" fontId="9" fillId="0" borderId="89" xfId="4" applyNumberFormat="1" applyFont="1" applyFill="1" applyBorder="1"/>
    <xf numFmtId="167" fontId="19" fillId="0" borderId="0" xfId="5" applyNumberFormat="1" applyFont="1" applyFill="1" applyBorder="1"/>
    <xf numFmtId="0" fontId="15" fillId="0" borderId="31" xfId="0" applyFont="1" applyBorder="1" applyAlignment="1">
      <alignment horizontal="left"/>
    </xf>
    <xf numFmtId="0" fontId="15" fillId="0" borderId="48" xfId="0" applyFont="1" applyBorder="1" applyAlignment="1">
      <alignment horizontal="left"/>
    </xf>
    <xf numFmtId="0" fontId="6" fillId="0" borderId="39" xfId="0" applyFont="1" applyBorder="1" applyAlignment="1">
      <alignment horizontal="center"/>
    </xf>
    <xf numFmtId="167" fontId="0" fillId="0" borderId="43" xfId="5" applyNumberFormat="1" applyFont="1" applyBorder="1"/>
    <xf numFmtId="167" fontId="0" fillId="0" borderId="43" xfId="5" applyNumberFormat="1" applyFont="1" applyFill="1" applyBorder="1"/>
    <xf numFmtId="167" fontId="0" fillId="0" borderId="0" xfId="5" applyNumberFormat="1" applyFont="1" applyFill="1"/>
    <xf numFmtId="167" fontId="9" fillId="0" borderId="0" xfId="5" applyNumberFormat="1" applyFont="1"/>
    <xf numFmtId="167" fontId="9" fillId="0" borderId="0" xfId="0" applyNumberFormat="1" applyFont="1"/>
    <xf numFmtId="0" fontId="6" fillId="0" borderId="87" xfId="0" applyFont="1" applyBorder="1"/>
    <xf numFmtId="0" fontId="0" fillId="0" borderId="101" xfId="0" applyBorder="1" applyAlignment="1">
      <alignment horizontal="center"/>
    </xf>
    <xf numFmtId="171" fontId="9" fillId="0" borderId="15" xfId="4" applyNumberFormat="1" applyFont="1" applyFill="1" applyBorder="1" applyAlignment="1">
      <alignment horizontal="center"/>
    </xf>
    <xf numFmtId="171" fontId="39" fillId="5" borderId="45" xfId="4" applyNumberFormat="1" applyFont="1" applyFill="1" applyBorder="1" applyProtection="1">
      <protection locked="0"/>
    </xf>
    <xf numFmtId="167" fontId="0" fillId="0" borderId="3" xfId="0" applyNumberFormat="1" applyBorder="1" applyProtection="1">
      <protection hidden="1"/>
    </xf>
    <xf numFmtId="0" fontId="11" fillId="0" borderId="102" xfId="0" applyFont="1" applyBorder="1"/>
    <xf numFmtId="0" fontId="6" fillId="0" borderId="102" xfId="0" applyFont="1" applyBorder="1"/>
    <xf numFmtId="0" fontId="6" fillId="0" borderId="0" xfId="0" applyFont="1" applyAlignment="1" applyProtection="1">
      <alignment wrapText="1"/>
      <protection locked="0"/>
    </xf>
    <xf numFmtId="0" fontId="9" fillId="0" borderId="0" xfId="0" applyFont="1"/>
    <xf numFmtId="167" fontId="0" fillId="0" borderId="0" xfId="6" applyNumberFormat="1" applyFont="1" applyProtection="1">
      <protection hidden="1"/>
    </xf>
    <xf numFmtId="0" fontId="48" fillId="5" borderId="1" xfId="0" applyFont="1" applyFill="1" applyBorder="1" applyAlignment="1" applyProtection="1">
      <alignment horizontal="center" vertical="center"/>
      <protection locked="0"/>
    </xf>
    <xf numFmtId="49" fontId="0" fillId="0" borderId="0" xfId="0" applyNumberFormat="1" applyAlignment="1" applyProtection="1">
      <alignment horizontal="center"/>
      <protection locked="0"/>
    </xf>
    <xf numFmtId="172" fontId="0" fillId="0" borderId="0" xfId="0" applyNumberFormat="1" applyProtection="1">
      <protection locked="0"/>
    </xf>
    <xf numFmtId="0" fontId="8" fillId="0" borderId="0" xfId="0" applyFont="1" applyAlignment="1" applyProtection="1">
      <alignment horizontal="center"/>
      <protection locked="0"/>
    </xf>
    <xf numFmtId="9" fontId="0" fillId="0" borderId="0" xfId="11" applyFont="1" applyProtection="1">
      <protection locked="0"/>
    </xf>
    <xf numFmtId="10" fontId="0" fillId="0" borderId="0" xfId="11" applyNumberFormat="1" applyFont="1" applyProtection="1">
      <protection locked="0"/>
    </xf>
    <xf numFmtId="10" fontId="0" fillId="0" borderId="0" xfId="11" applyNumberFormat="1" applyFont="1" applyProtection="1">
      <protection hidden="1"/>
    </xf>
    <xf numFmtId="167" fontId="6" fillId="0" borderId="0" xfId="0" applyNumberFormat="1" applyFont="1" applyAlignment="1" applyProtection="1">
      <alignment horizontal="left"/>
      <protection hidden="1"/>
    </xf>
    <xf numFmtId="167" fontId="6" fillId="0" borderId="0" xfId="6" applyNumberFormat="1" applyFont="1" applyProtection="1">
      <protection hidden="1"/>
    </xf>
    <xf numFmtId="0" fontId="21" fillId="6" borderId="27" xfId="0" applyFont="1" applyFill="1" applyBorder="1" applyAlignment="1" applyProtection="1">
      <alignment horizontal="left" vertical="justify"/>
      <protection hidden="1"/>
    </xf>
    <xf numFmtId="1" fontId="0" fillId="0" borderId="0" xfId="0" applyNumberFormat="1" applyProtection="1">
      <protection locked="0"/>
    </xf>
    <xf numFmtId="171" fontId="6" fillId="5" borderId="27" xfId="4" applyNumberFormat="1" applyFont="1" applyFill="1" applyBorder="1" applyAlignment="1" applyProtection="1">
      <alignment horizontal="left" vertical="center"/>
      <protection locked="0"/>
    </xf>
    <xf numFmtId="172" fontId="15" fillId="5" borderId="1" xfId="0" applyNumberFormat="1" applyFont="1" applyFill="1" applyBorder="1" applyAlignment="1" applyProtection="1">
      <alignment horizontal="left" vertical="center"/>
      <protection locked="0"/>
    </xf>
    <xf numFmtId="167" fontId="9" fillId="0" borderId="0" xfId="0" applyNumberFormat="1" applyFont="1" applyProtection="1">
      <protection hidden="1"/>
    </xf>
    <xf numFmtId="0" fontId="0" fillId="0" borderId="32" xfId="0" applyBorder="1" applyProtection="1">
      <protection locked="0"/>
    </xf>
    <xf numFmtId="0" fontId="0" fillId="0" borderId="37" xfId="0" applyBorder="1" applyProtection="1">
      <protection locked="0"/>
    </xf>
    <xf numFmtId="0" fontId="0" fillId="0" borderId="50" xfId="0" applyBorder="1" applyProtection="1">
      <protection locked="0"/>
    </xf>
    <xf numFmtId="167" fontId="51" fillId="6" borderId="7" xfId="5" applyNumberFormat="1" applyFont="1" applyFill="1" applyBorder="1" applyProtection="1">
      <protection hidden="1"/>
    </xf>
    <xf numFmtId="0" fontId="5" fillId="6" borderId="1" xfId="0" applyFont="1" applyFill="1" applyBorder="1" applyAlignment="1" applyProtection="1">
      <alignment horizontal="center" vertical="center"/>
      <protection hidden="1"/>
    </xf>
    <xf numFmtId="0" fontId="0" fillId="0" borderId="92" xfId="0" applyBorder="1" applyAlignment="1" applyProtection="1">
      <alignment vertical="center"/>
      <protection locked="0"/>
    </xf>
    <xf numFmtId="0" fontId="0" fillId="0" borderId="0" xfId="0" applyAlignment="1" applyProtection="1">
      <alignment vertical="center"/>
      <protection locked="0"/>
    </xf>
    <xf numFmtId="0" fontId="4" fillId="0" borderId="0" xfId="0" applyFont="1" applyAlignment="1" applyProtection="1">
      <alignment horizontal="center"/>
      <protection hidden="1"/>
    </xf>
    <xf numFmtId="167" fontId="4" fillId="5" borderId="1" xfId="5" applyNumberFormat="1" applyFont="1" applyFill="1" applyBorder="1" applyProtection="1">
      <protection locked="0"/>
    </xf>
    <xf numFmtId="167" fontId="9" fillId="0" borderId="3" xfId="5" applyNumberFormat="1" applyFont="1" applyBorder="1"/>
    <xf numFmtId="167" fontId="9" fillId="0" borderId="5" xfId="5" applyNumberFormat="1" applyFont="1" applyBorder="1"/>
    <xf numFmtId="167" fontId="9" fillId="0" borderId="7" xfId="5" applyNumberFormat="1" applyFont="1" applyBorder="1"/>
    <xf numFmtId="167" fontId="6" fillId="0" borderId="0" xfId="5" applyNumberFormat="1" applyFont="1" applyProtection="1">
      <protection hidden="1"/>
    </xf>
    <xf numFmtId="167" fontId="9" fillId="0" borderId="0" xfId="5" applyNumberFormat="1" applyFont="1" applyProtection="1">
      <protection hidden="1"/>
    </xf>
    <xf numFmtId="167" fontId="9" fillId="0" borderId="0" xfId="6" applyNumberFormat="1" applyFont="1" applyProtection="1">
      <protection hidden="1"/>
    </xf>
    <xf numFmtId="0" fontId="6" fillId="0" borderId="4" xfId="0" applyFont="1" applyBorder="1" applyAlignment="1" applyProtection="1">
      <alignment horizontal="left"/>
      <protection hidden="1"/>
    </xf>
    <xf numFmtId="168" fontId="0" fillId="3" borderId="12" xfId="4" applyNumberFormat="1" applyFont="1" applyFill="1" applyBorder="1" applyAlignment="1" applyProtection="1">
      <alignment horizontal="left" indent="1"/>
      <protection locked="0"/>
    </xf>
    <xf numFmtId="166" fontId="0" fillId="0" borderId="12" xfId="4" applyNumberFormat="1" applyFont="1" applyFill="1" applyBorder="1" applyProtection="1">
      <protection locked="0"/>
    </xf>
    <xf numFmtId="0" fontId="10" fillId="0" borderId="12" xfId="0" applyFont="1" applyBorder="1" applyProtection="1">
      <protection locked="0"/>
    </xf>
    <xf numFmtId="0" fontId="0" fillId="0" borderId="12" xfId="0" applyBorder="1" applyAlignment="1" applyProtection="1">
      <alignment horizontal="center"/>
      <protection locked="0"/>
    </xf>
    <xf numFmtId="0" fontId="0" fillId="0" borderId="12" xfId="0" applyBorder="1" applyProtection="1">
      <protection locked="0"/>
    </xf>
    <xf numFmtId="3" fontId="0" fillId="0" borderId="0" xfId="0" applyNumberFormat="1" applyProtection="1">
      <protection locked="0"/>
    </xf>
    <xf numFmtId="1" fontId="0" fillId="0" borderId="0" xfId="4" applyNumberFormat="1" applyFont="1" applyBorder="1" applyProtection="1">
      <protection locked="0"/>
    </xf>
    <xf numFmtId="1" fontId="0" fillId="2" borderId="0" xfId="4" applyNumberFormat="1" applyFont="1" applyFill="1" applyBorder="1" applyProtection="1">
      <protection locked="0"/>
    </xf>
    <xf numFmtId="1" fontId="6" fillId="2" borderId="0" xfId="4" applyNumberFormat="1" applyFont="1" applyFill="1" applyBorder="1" applyProtection="1">
      <protection locked="0"/>
    </xf>
    <xf numFmtId="1" fontId="6" fillId="9" borderId="0" xfId="4" applyNumberFormat="1" applyFont="1" applyFill="1" applyBorder="1" applyProtection="1">
      <protection locked="0"/>
    </xf>
    <xf numFmtId="0" fontId="6" fillId="6" borderId="0" xfId="0" applyFont="1" applyFill="1" applyAlignment="1" applyProtection="1">
      <alignment horizontal="left"/>
      <protection locked="0"/>
    </xf>
    <xf numFmtId="0" fontId="18" fillId="5" borderId="1" xfId="0" applyFont="1" applyFill="1" applyBorder="1" applyAlignment="1" applyProtection="1">
      <alignment horizontal="center" vertical="center"/>
      <protection locked="0"/>
    </xf>
    <xf numFmtId="167" fontId="67" fillId="5" borderId="1" xfId="5" applyNumberFormat="1" applyFont="1" applyFill="1" applyBorder="1" applyAlignment="1" applyProtection="1">
      <alignment horizontal="left"/>
      <protection locked="0"/>
    </xf>
    <xf numFmtId="0" fontId="10" fillId="6" borderId="6" xfId="0" applyFont="1" applyFill="1" applyBorder="1" applyAlignment="1" applyProtection="1">
      <alignment vertical="justify"/>
      <protection hidden="1"/>
    </xf>
    <xf numFmtId="167" fontId="9" fillId="6" borderId="5" xfId="5" applyNumberFormat="1" applyFont="1" applyFill="1" applyBorder="1" applyProtection="1">
      <protection hidden="1"/>
    </xf>
    <xf numFmtId="0" fontId="21" fillId="6" borderId="14" xfId="0" applyFont="1" applyFill="1" applyBorder="1" applyAlignment="1" applyProtection="1">
      <alignment vertical="justify"/>
      <protection hidden="1"/>
    </xf>
    <xf numFmtId="167" fontId="25" fillId="5" borderId="1" xfId="5" applyNumberFormat="1" applyFont="1" applyFill="1" applyBorder="1" applyAlignment="1" applyProtection="1">
      <alignment horizontal="center" vertical="center"/>
      <protection locked="0"/>
    </xf>
    <xf numFmtId="0" fontId="10" fillId="0" borderId="1" xfId="0" applyFont="1" applyBorder="1" applyAlignment="1" applyProtection="1">
      <alignment horizontal="left" vertical="justify"/>
      <protection hidden="1"/>
    </xf>
    <xf numFmtId="0" fontId="21" fillId="0" borderId="1" xfId="0" applyFont="1" applyBorder="1" applyAlignment="1" applyProtection="1">
      <alignment horizontal="left" vertical="justify"/>
      <protection hidden="1"/>
    </xf>
    <xf numFmtId="0" fontId="0" fillId="0" borderId="15" xfId="0" applyBorder="1" applyProtection="1">
      <protection locked="0"/>
    </xf>
    <xf numFmtId="0" fontId="48" fillId="5" borderId="5" xfId="0" applyFont="1" applyFill="1" applyBorder="1" applyAlignment="1" applyProtection="1">
      <alignment horizontal="center" vertical="center"/>
      <protection locked="0"/>
    </xf>
    <xf numFmtId="0" fontId="10" fillId="6" borderId="6" xfId="0" applyFont="1" applyFill="1" applyBorder="1" applyAlignment="1" applyProtection="1">
      <alignment horizontal="left" vertical="justify"/>
      <protection hidden="1"/>
    </xf>
    <xf numFmtId="0" fontId="26" fillId="0" borderId="0" xfId="0" applyFont="1" applyProtection="1">
      <protection hidden="1"/>
    </xf>
    <xf numFmtId="0" fontId="15" fillId="6" borderId="30" xfId="0" applyFont="1" applyFill="1" applyBorder="1" applyAlignment="1" applyProtection="1">
      <alignment horizontal="left" vertical="center"/>
      <protection hidden="1"/>
    </xf>
    <xf numFmtId="0" fontId="16" fillId="6" borderId="28" xfId="0" applyFont="1" applyFill="1" applyBorder="1" applyAlignment="1" applyProtection="1">
      <alignment horizontal="left" vertical="center"/>
      <protection hidden="1"/>
    </xf>
    <xf numFmtId="0" fontId="15" fillId="5" borderId="23" xfId="0" applyFont="1" applyFill="1" applyBorder="1" applyAlignment="1" applyProtection="1">
      <alignment horizontal="left" vertical="center"/>
      <protection locked="0"/>
    </xf>
    <xf numFmtId="0" fontId="15" fillId="6" borderId="2" xfId="0" applyFont="1" applyFill="1" applyBorder="1" applyAlignment="1" applyProtection="1">
      <alignment horizontal="left" vertical="justify"/>
      <protection hidden="1"/>
    </xf>
    <xf numFmtId="0" fontId="48" fillId="5" borderId="29" xfId="0" applyFont="1" applyFill="1" applyBorder="1" applyAlignment="1" applyProtection="1">
      <alignment horizontal="center" vertical="center"/>
      <protection locked="0"/>
    </xf>
    <xf numFmtId="0" fontId="10" fillId="6" borderId="29" xfId="0" applyFont="1" applyFill="1" applyBorder="1" applyAlignment="1" applyProtection="1">
      <alignment horizontal="left" vertical="justify"/>
      <protection hidden="1"/>
    </xf>
    <xf numFmtId="172" fontId="5" fillId="5" borderId="3" xfId="0" applyNumberFormat="1" applyFont="1" applyFill="1" applyBorder="1" applyAlignment="1" applyProtection="1">
      <alignment horizontal="left" vertical="center"/>
      <protection locked="0"/>
    </xf>
    <xf numFmtId="0" fontId="5" fillId="0" borderId="6" xfId="0" applyFont="1" applyBorder="1" applyAlignment="1" applyProtection="1">
      <alignment vertical="center"/>
      <protection hidden="1"/>
    </xf>
    <xf numFmtId="172" fontId="52" fillId="6" borderId="27" xfId="0" applyNumberFormat="1" applyFont="1" applyFill="1" applyBorder="1" applyAlignment="1" applyProtection="1">
      <alignment horizontal="center" vertical="center"/>
      <protection hidden="1"/>
    </xf>
    <xf numFmtId="1" fontId="47" fillId="6" borderId="7" xfId="0" applyNumberFormat="1" applyFont="1" applyFill="1" applyBorder="1" applyAlignment="1" applyProtection="1">
      <alignment horizontal="center" vertical="center"/>
      <protection hidden="1"/>
    </xf>
    <xf numFmtId="172" fontId="5" fillId="5" borderId="27" xfId="5" applyNumberFormat="1" applyFont="1" applyFill="1" applyBorder="1" applyAlignment="1" applyProtection="1">
      <alignment horizontal="center" vertical="center"/>
      <protection locked="0"/>
    </xf>
    <xf numFmtId="0" fontId="69" fillId="0" borderId="0" xfId="0" applyFont="1"/>
    <xf numFmtId="0" fontId="69" fillId="0" borderId="0" xfId="0" applyFont="1" applyAlignment="1">
      <alignment horizontal="center"/>
    </xf>
    <xf numFmtId="0" fontId="54" fillId="10" borderId="2" xfId="7" applyFont="1" applyFill="1" applyBorder="1" applyAlignment="1">
      <alignment horizontal="center" vertical="center" wrapText="1"/>
    </xf>
    <xf numFmtId="0" fontId="54" fillId="10" borderId="29" xfId="7" applyFont="1" applyFill="1" applyBorder="1" applyAlignment="1">
      <alignment horizontal="center" vertical="center" wrapText="1"/>
    </xf>
    <xf numFmtId="0" fontId="54" fillId="10" borderId="3" xfId="7" applyFont="1" applyFill="1" applyBorder="1" applyAlignment="1">
      <alignment horizontal="center" vertical="center" wrapText="1"/>
    </xf>
    <xf numFmtId="0" fontId="69" fillId="0" borderId="1" xfId="0" applyFont="1" applyBorder="1" applyAlignment="1">
      <alignment horizontal="center"/>
    </xf>
    <xf numFmtId="0" fontId="69" fillId="0" borderId="27" xfId="0" quotePrefix="1" applyFont="1" applyBorder="1" applyAlignment="1">
      <alignment horizontal="center"/>
    </xf>
    <xf numFmtId="172" fontId="10" fillId="6" borderId="1" xfId="0" applyNumberFormat="1" applyFont="1" applyFill="1" applyBorder="1" applyAlignment="1" applyProtection="1">
      <alignment horizontal="left" vertical="center"/>
      <protection hidden="1"/>
    </xf>
    <xf numFmtId="167" fontId="6" fillId="0" borderId="0" xfId="5" applyNumberFormat="1" applyFont="1"/>
    <xf numFmtId="0" fontId="18" fillId="6" borderId="1" xfId="0" applyFont="1" applyFill="1" applyBorder="1" applyAlignment="1" applyProtection="1">
      <alignment horizontal="center" vertical="justify"/>
      <protection hidden="1"/>
    </xf>
    <xf numFmtId="0" fontId="26" fillId="0" borderId="0" xfId="0" applyFont="1" applyAlignment="1">
      <alignment horizontal="center" vertical="center"/>
    </xf>
    <xf numFmtId="167" fontId="4" fillId="0" borderId="0" xfId="0" applyNumberFormat="1" applyFont="1"/>
    <xf numFmtId="0" fontId="4" fillId="0" borderId="14" xfId="0" applyFont="1" applyBorder="1" applyAlignment="1">
      <alignment horizontal="center"/>
    </xf>
    <xf numFmtId="0" fontId="10" fillId="0" borderId="75" xfId="0" applyFont="1" applyBorder="1" applyAlignment="1">
      <alignment horizontal="center"/>
    </xf>
    <xf numFmtId="0" fontId="10" fillId="0" borderId="77" xfId="0" applyFont="1" applyBorder="1" applyAlignment="1">
      <alignment horizontal="center"/>
    </xf>
    <xf numFmtId="0" fontId="0" fillId="0" borderId="80" xfId="0" applyBorder="1"/>
    <xf numFmtId="167" fontId="53" fillId="5" borderId="5" xfId="5" applyNumberFormat="1" applyFont="1" applyFill="1" applyBorder="1" applyProtection="1">
      <protection locked="0"/>
    </xf>
    <xf numFmtId="172" fontId="10" fillId="5" borderId="7" xfId="0" applyNumberFormat="1" applyFont="1" applyFill="1" applyBorder="1" applyAlignment="1" applyProtection="1">
      <alignment horizontal="left" vertical="center"/>
      <protection locked="0"/>
    </xf>
    <xf numFmtId="167" fontId="0" fillId="0" borderId="0" xfId="0" applyNumberFormat="1" applyProtection="1">
      <protection locked="0"/>
    </xf>
    <xf numFmtId="0" fontId="0" fillId="6" borderId="14" xfId="0" applyFill="1" applyBorder="1" applyAlignment="1">
      <alignment horizontal="center"/>
    </xf>
    <xf numFmtId="0" fontId="6" fillId="6" borderId="0" xfId="0" applyFont="1" applyFill="1" applyAlignment="1">
      <alignment horizontal="left"/>
    </xf>
    <xf numFmtId="167" fontId="9" fillId="6" borderId="15" xfId="0" applyNumberFormat="1" applyFont="1" applyFill="1" applyBorder="1"/>
    <xf numFmtId="0" fontId="0" fillId="6" borderId="103" xfId="0" applyFill="1" applyBorder="1" applyAlignment="1">
      <alignment horizontal="center"/>
    </xf>
    <xf numFmtId="0" fontId="0" fillId="6" borderId="104" xfId="0" applyFill="1" applyBorder="1" applyAlignment="1">
      <alignment horizontal="left"/>
    </xf>
    <xf numFmtId="167" fontId="9" fillId="6" borderId="105" xfId="5" applyNumberFormat="1" applyFont="1" applyFill="1" applyBorder="1"/>
    <xf numFmtId="0" fontId="0" fillId="6" borderId="75" xfId="0" applyFill="1" applyBorder="1" applyAlignment="1">
      <alignment horizontal="center"/>
    </xf>
    <xf numFmtId="0" fontId="4" fillId="6" borderId="0" xfId="0" applyFont="1" applyFill="1" applyAlignment="1">
      <alignment horizontal="left"/>
    </xf>
    <xf numFmtId="0" fontId="4" fillId="6" borderId="106" xfId="0" applyFont="1" applyFill="1" applyBorder="1" applyAlignment="1">
      <alignment horizontal="left"/>
    </xf>
    <xf numFmtId="167" fontId="9" fillId="6" borderId="15" xfId="5" applyNumberFormat="1" applyFont="1" applyFill="1" applyBorder="1"/>
    <xf numFmtId="0" fontId="0" fillId="11" borderId="75" xfId="0" applyFill="1" applyBorder="1" applyAlignment="1">
      <alignment horizontal="center"/>
    </xf>
    <xf numFmtId="167" fontId="9" fillId="11" borderId="15" xfId="5" applyNumberFormat="1" applyFont="1" applyFill="1" applyBorder="1"/>
    <xf numFmtId="167" fontId="9" fillId="11" borderId="77" xfId="5" applyNumberFormat="1" applyFont="1" applyFill="1" applyBorder="1"/>
    <xf numFmtId="0" fontId="0" fillId="11" borderId="14" xfId="0" applyFill="1" applyBorder="1" applyAlignment="1">
      <alignment horizontal="center"/>
    </xf>
    <xf numFmtId="0" fontId="6" fillId="11" borderId="106" xfId="0" applyFont="1" applyFill="1" applyBorder="1"/>
    <xf numFmtId="0" fontId="0" fillId="11" borderId="87" xfId="0" applyFill="1" applyBorder="1"/>
    <xf numFmtId="171" fontId="9" fillId="11" borderId="15" xfId="4" applyNumberFormat="1" applyFont="1" applyFill="1" applyBorder="1" applyAlignment="1">
      <alignment horizontal="center"/>
    </xf>
    <xf numFmtId="0" fontId="4" fillId="11" borderId="14" xfId="0" applyFont="1" applyFill="1" applyBorder="1" applyAlignment="1">
      <alignment horizontal="center"/>
    </xf>
    <xf numFmtId="167" fontId="9" fillId="11" borderId="15" xfId="0" applyNumberFormat="1" applyFont="1" applyFill="1" applyBorder="1"/>
    <xf numFmtId="0" fontId="6" fillId="11" borderId="0" xfId="0" applyFont="1" applyFill="1" applyAlignment="1">
      <alignment horizontal="left"/>
    </xf>
    <xf numFmtId="167" fontId="64" fillId="11" borderId="15" xfId="5" applyNumberFormat="1" applyFont="1" applyFill="1" applyBorder="1"/>
    <xf numFmtId="0" fontId="25" fillId="11" borderId="0" xfId="0" applyFont="1" applyFill="1" applyAlignment="1">
      <alignment horizontal="left"/>
    </xf>
    <xf numFmtId="167" fontId="7" fillId="6" borderId="24" xfId="5" applyNumberFormat="1" applyFont="1" applyFill="1" applyBorder="1" applyProtection="1">
      <protection hidden="1"/>
    </xf>
    <xf numFmtId="0" fontId="0" fillId="5" borderId="0" xfId="0" applyFill="1"/>
    <xf numFmtId="0" fontId="6" fillId="5" borderId="2" xfId="0" applyFont="1" applyFill="1" applyBorder="1" applyAlignment="1">
      <alignment horizontal="left"/>
    </xf>
    <xf numFmtId="0" fontId="0" fillId="5" borderId="3" xfId="0" applyFill="1" applyBorder="1" applyAlignment="1">
      <alignment horizontal="center"/>
    </xf>
    <xf numFmtId="0" fontId="6" fillId="5" borderId="0" xfId="0" applyFont="1" applyFill="1" applyAlignment="1">
      <alignment horizontal="center"/>
    </xf>
    <xf numFmtId="167" fontId="57" fillId="5" borderId="0" xfId="5" applyNumberFormat="1" applyFont="1" applyFill="1"/>
    <xf numFmtId="0" fontId="0" fillId="5" borderId="2" xfId="0" applyFill="1" applyBorder="1"/>
    <xf numFmtId="0" fontId="0" fillId="5" borderId="3" xfId="0" applyFill="1" applyBorder="1"/>
    <xf numFmtId="0" fontId="0" fillId="5" borderId="8" xfId="0" applyFill="1" applyBorder="1"/>
    <xf numFmtId="0" fontId="6" fillId="5" borderId="4" xfId="0" applyFont="1" applyFill="1" applyBorder="1" applyAlignment="1">
      <alignment horizontal="right"/>
    </xf>
    <xf numFmtId="0" fontId="0" fillId="5" borderId="5" xfId="0" applyFill="1" applyBorder="1"/>
    <xf numFmtId="167" fontId="60" fillId="5" borderId="9" xfId="6" applyNumberFormat="1" applyFont="1" applyFill="1" applyBorder="1"/>
    <xf numFmtId="0" fontId="6" fillId="5" borderId="6" xfId="0" applyFont="1" applyFill="1" applyBorder="1" applyAlignment="1">
      <alignment horizontal="right"/>
    </xf>
    <xf numFmtId="0" fontId="0" fillId="5" borderId="7" xfId="0" applyFill="1" applyBorder="1"/>
    <xf numFmtId="167" fontId="60" fillId="5" borderId="10" xfId="6" applyNumberFormat="1" applyFont="1" applyFill="1" applyBorder="1"/>
    <xf numFmtId="0" fontId="6" fillId="5" borderId="0" xfId="0" applyFont="1" applyFill="1" applyAlignment="1">
      <alignment horizontal="right"/>
    </xf>
    <xf numFmtId="167" fontId="57" fillId="5" borderId="0" xfId="5" applyNumberFormat="1" applyFont="1" applyFill="1" applyBorder="1"/>
    <xf numFmtId="0" fontId="0" fillId="0" borderId="75" xfId="0" applyBorder="1" applyAlignment="1">
      <alignment horizontal="center"/>
    </xf>
    <xf numFmtId="0" fontId="67" fillId="0" borderId="0" xfId="0" applyFont="1" applyAlignment="1">
      <alignment horizontal="left"/>
    </xf>
    <xf numFmtId="167" fontId="70" fillId="0" borderId="15" xfId="5" applyNumberFormat="1" applyFont="1" applyFill="1" applyBorder="1"/>
    <xf numFmtId="0" fontId="0" fillId="0" borderId="103" xfId="0" applyBorder="1" applyAlignment="1">
      <alignment horizontal="center"/>
    </xf>
    <xf numFmtId="0" fontId="0" fillId="0" borderId="104" xfId="0" applyBorder="1" applyAlignment="1">
      <alignment horizontal="left"/>
    </xf>
    <xf numFmtId="167" fontId="9" fillId="0" borderId="105" xfId="5" applyNumberFormat="1" applyFont="1" applyFill="1" applyBorder="1"/>
    <xf numFmtId="0" fontId="0" fillId="12" borderId="75" xfId="0" applyFill="1" applyBorder="1" applyAlignment="1">
      <alignment horizontal="center"/>
    </xf>
    <xf numFmtId="0" fontId="4" fillId="12" borderId="14" xfId="0" applyFont="1" applyFill="1" applyBorder="1" applyAlignment="1">
      <alignment horizontal="center"/>
    </xf>
    <xf numFmtId="171" fontId="9" fillId="12" borderId="15" xfId="4" applyNumberFormat="1" applyFont="1" applyFill="1" applyBorder="1" applyAlignment="1">
      <alignment horizontal="center"/>
    </xf>
    <xf numFmtId="0" fontId="0" fillId="12" borderId="14" xfId="0" applyFill="1" applyBorder="1" applyAlignment="1">
      <alignment horizontal="center"/>
    </xf>
    <xf numFmtId="167" fontId="9" fillId="12" borderId="15" xfId="5" applyNumberFormat="1" applyFont="1" applyFill="1" applyBorder="1"/>
    <xf numFmtId="0" fontId="4" fillId="12" borderId="0" xfId="0" applyFont="1" applyFill="1" applyAlignment="1">
      <alignment horizontal="left"/>
    </xf>
    <xf numFmtId="0" fontId="4" fillId="12" borderId="106" xfId="0" applyFont="1" applyFill="1" applyBorder="1" applyAlignment="1">
      <alignment horizontal="left"/>
    </xf>
    <xf numFmtId="167" fontId="9" fillId="12" borderId="77" xfId="5" applyNumberFormat="1" applyFont="1" applyFill="1" applyBorder="1"/>
    <xf numFmtId="167" fontId="70" fillId="12" borderId="15" xfId="5" applyNumberFormat="1" applyFont="1" applyFill="1" applyBorder="1"/>
    <xf numFmtId="0" fontId="67" fillId="12" borderId="0" xfId="0" applyFont="1" applyFill="1" applyAlignment="1">
      <alignment horizontal="left"/>
    </xf>
    <xf numFmtId="167" fontId="9" fillId="12" borderId="15" xfId="0" applyNumberFormat="1" applyFont="1" applyFill="1" applyBorder="1"/>
    <xf numFmtId="0" fontId="3" fillId="11" borderId="0" xfId="0" applyFont="1" applyFill="1" applyAlignment="1">
      <alignment horizontal="left"/>
    </xf>
    <xf numFmtId="0" fontId="69" fillId="0" borderId="1" xfId="0" quotePrefix="1" applyFont="1" applyBorder="1" applyAlignment="1">
      <alignment horizontal="center"/>
    </xf>
    <xf numFmtId="0" fontId="7" fillId="0" borderId="0" xfId="0" applyFont="1"/>
    <xf numFmtId="0" fontId="9" fillId="0" borderId="0" xfId="0" applyFont="1" applyAlignment="1">
      <alignment horizontal="left" vertical="justify" indent="1"/>
    </xf>
    <xf numFmtId="0" fontId="26" fillId="0" borderId="0" xfId="0" applyFont="1"/>
    <xf numFmtId="171" fontId="0" fillId="0" borderId="0" xfId="4" applyNumberFormat="1" applyFont="1"/>
    <xf numFmtId="0" fontId="3" fillId="0" borderId="0" xfId="0" applyFont="1" applyAlignment="1" applyProtection="1">
      <alignment horizontal="left" indent="1"/>
      <protection hidden="1"/>
    </xf>
    <xf numFmtId="0" fontId="7" fillId="0" borderId="0" xfId="0" applyFont="1" applyAlignment="1">
      <alignment horizontal="left" vertical="justify"/>
    </xf>
    <xf numFmtId="0" fontId="7" fillId="0" borderId="0" xfId="0" applyFont="1" applyAlignment="1" applyProtection="1">
      <alignment horizontal="left"/>
      <protection hidden="1"/>
    </xf>
    <xf numFmtId="0" fontId="3" fillId="9" borderId="1" xfId="0" applyFont="1" applyFill="1" applyBorder="1" applyAlignment="1">
      <alignment horizontal="center"/>
    </xf>
    <xf numFmtId="0" fontId="5" fillId="0" borderId="1" xfId="0" applyFont="1" applyBorder="1"/>
    <xf numFmtId="171" fontId="0" fillId="0" borderId="17" xfId="4" applyNumberFormat="1" applyFont="1" applyBorder="1"/>
    <xf numFmtId="1" fontId="78" fillId="0" borderId="0" xfId="4" applyNumberFormat="1" applyFont="1" applyAlignment="1">
      <alignment horizontal="center" vertical="center"/>
    </xf>
    <xf numFmtId="0" fontId="9" fillId="0" borderId="0" xfId="0" applyFont="1" applyAlignment="1">
      <alignment horizontal="justify" vertical="justify"/>
    </xf>
    <xf numFmtId="0" fontId="68" fillId="5" borderId="26" xfId="0" applyFont="1" applyFill="1" applyBorder="1" applyAlignment="1" applyProtection="1">
      <alignment horizontal="center" vertical="center"/>
      <protection locked="0"/>
    </xf>
    <xf numFmtId="171" fontId="25" fillId="0" borderId="0" xfId="4" applyNumberFormat="1" applyFont="1" applyBorder="1" applyAlignment="1" applyProtection="1">
      <alignment horizontal="left"/>
      <protection hidden="1"/>
    </xf>
    <xf numFmtId="171" fontId="25" fillId="0" borderId="18" xfId="4" applyNumberFormat="1" applyFont="1" applyBorder="1" applyAlignment="1" applyProtection="1">
      <alignment horizontal="left"/>
      <protection hidden="1"/>
    </xf>
    <xf numFmtId="171" fontId="17" fillId="5" borderId="7" xfId="4" applyNumberFormat="1" applyFont="1" applyFill="1" applyBorder="1" applyProtection="1">
      <protection locked="0"/>
    </xf>
    <xf numFmtId="0" fontId="67" fillId="0" borderId="2" xfId="0" applyFont="1" applyBorder="1" applyAlignment="1" applyProtection="1">
      <alignment horizontal="left"/>
      <protection locked="0"/>
    </xf>
    <xf numFmtId="0" fontId="0" fillId="0" borderId="3" xfId="0" applyBorder="1" applyAlignment="1" applyProtection="1">
      <alignment horizontal="center"/>
      <protection locked="0"/>
    </xf>
    <xf numFmtId="0" fontId="67" fillId="0" borderId="0" xfId="0" applyFont="1" applyAlignment="1" applyProtection="1">
      <alignment horizontal="center"/>
      <protection locked="0"/>
    </xf>
    <xf numFmtId="167" fontId="2" fillId="0" borderId="0" xfId="6" applyNumberFormat="1" applyFont="1" applyProtection="1">
      <protection locked="0"/>
    </xf>
    <xf numFmtId="0" fontId="0" fillId="0" borderId="2" xfId="0" applyBorder="1" applyProtection="1">
      <protection locked="0"/>
    </xf>
    <xf numFmtId="0" fontId="0" fillId="0" borderId="3" xfId="0" applyBorder="1" applyProtection="1">
      <protection locked="0"/>
    </xf>
    <xf numFmtId="0" fontId="0" fillId="0" borderId="8" xfId="0" applyBorder="1" applyProtection="1">
      <protection locked="0"/>
    </xf>
    <xf numFmtId="0" fontId="67" fillId="0" borderId="4" xfId="0" applyFont="1" applyBorder="1" applyAlignment="1" applyProtection="1">
      <alignment horizontal="right"/>
      <protection locked="0"/>
    </xf>
    <xf numFmtId="0" fontId="0" fillId="0" borderId="5" xfId="0" applyBorder="1" applyProtection="1">
      <protection locked="0"/>
    </xf>
    <xf numFmtId="167" fontId="2" fillId="0" borderId="9" xfId="6" applyNumberFormat="1" applyFont="1" applyBorder="1" applyProtection="1">
      <protection locked="0"/>
    </xf>
    <xf numFmtId="0" fontId="67" fillId="0" borderId="6" xfId="0" applyFont="1" applyBorder="1" applyAlignment="1" applyProtection="1">
      <alignment horizontal="right"/>
      <protection locked="0"/>
    </xf>
    <xf numFmtId="0" fontId="0" fillId="0" borderId="7" xfId="0" applyBorder="1" applyProtection="1">
      <protection locked="0"/>
    </xf>
    <xf numFmtId="167" fontId="2" fillId="0" borderId="10" xfId="6" applyNumberFormat="1" applyFont="1" applyBorder="1" applyProtection="1">
      <protection locked="0"/>
    </xf>
    <xf numFmtId="0" fontId="0" fillId="0" borderId="65" xfId="0" applyBorder="1" applyAlignment="1" applyProtection="1">
      <alignment horizontal="right"/>
      <protection locked="0"/>
    </xf>
    <xf numFmtId="0" fontId="3" fillId="0" borderId="0" xfId="0" applyFont="1"/>
    <xf numFmtId="0" fontId="10" fillId="8" borderId="0" xfId="0" applyFont="1" applyFill="1" applyAlignment="1" applyProtection="1">
      <alignment horizontal="left" vertical="center"/>
      <protection hidden="1"/>
    </xf>
    <xf numFmtId="0" fontId="10" fillId="0" borderId="0" xfId="0" applyFont="1" applyAlignment="1" applyProtection="1">
      <alignment vertical="center"/>
      <protection hidden="1"/>
    </xf>
    <xf numFmtId="0" fontId="10" fillId="8" borderId="0" xfId="0" applyFont="1" applyFill="1" applyAlignment="1" applyProtection="1">
      <alignment vertical="center"/>
      <protection hidden="1"/>
    </xf>
    <xf numFmtId="0" fontId="15" fillId="0" borderId="0" xfId="0" applyFont="1" applyAlignment="1" applyProtection="1">
      <alignment vertical="center"/>
      <protection hidden="1"/>
    </xf>
    <xf numFmtId="0" fontId="0" fillId="0" borderId="129" xfId="0" applyBorder="1" applyAlignment="1" applyProtection="1">
      <alignment horizontal="center"/>
      <protection hidden="1"/>
    </xf>
    <xf numFmtId="171" fontId="9" fillId="0" borderId="130" xfId="4" applyNumberFormat="1" applyFont="1" applyBorder="1" applyProtection="1">
      <protection hidden="1"/>
    </xf>
    <xf numFmtId="171" fontId="9" fillId="8" borderId="132" xfId="4" applyNumberFormat="1" applyFont="1" applyFill="1" applyBorder="1" applyProtection="1">
      <protection hidden="1"/>
    </xf>
    <xf numFmtId="171" fontId="9" fillId="0" borderId="132" xfId="4" applyNumberFormat="1" applyFont="1" applyBorder="1" applyProtection="1">
      <protection hidden="1"/>
    </xf>
    <xf numFmtId="0" fontId="0" fillId="8" borderId="134" xfId="0" applyFill="1" applyBorder="1" applyAlignment="1" applyProtection="1">
      <alignment horizontal="center"/>
      <protection hidden="1"/>
    </xf>
    <xf numFmtId="171" fontId="9" fillId="8" borderId="135" xfId="4" applyNumberFormat="1" applyFont="1" applyFill="1" applyBorder="1" applyProtection="1">
      <protection hidden="1"/>
    </xf>
    <xf numFmtId="0" fontId="0" fillId="0" borderId="134" xfId="0" applyBorder="1" applyAlignment="1" applyProtection="1">
      <alignment horizontal="center"/>
      <protection hidden="1"/>
    </xf>
    <xf numFmtId="171" fontId="9" fillId="0" borderId="135" xfId="4" applyNumberFormat="1" applyFont="1" applyBorder="1" applyProtection="1">
      <protection hidden="1"/>
    </xf>
    <xf numFmtId="0" fontId="0" fillId="8" borderId="129" xfId="0" applyFill="1" applyBorder="1" applyAlignment="1" applyProtection="1">
      <alignment horizontal="center"/>
      <protection hidden="1"/>
    </xf>
    <xf numFmtId="171" fontId="9" fillId="8" borderId="130" xfId="4" applyNumberFormat="1" applyFont="1" applyFill="1" applyBorder="1" applyProtection="1">
      <protection hidden="1"/>
    </xf>
    <xf numFmtId="171" fontId="9" fillId="0" borderId="135" xfId="4" applyNumberFormat="1" applyFont="1" applyFill="1" applyBorder="1" applyProtection="1">
      <protection hidden="1"/>
    </xf>
    <xf numFmtId="0" fontId="80" fillId="15" borderId="0" xfId="0" applyFont="1" applyFill="1" applyAlignment="1">
      <alignment vertical="center"/>
    </xf>
    <xf numFmtId="0" fontId="82" fillId="15" borderId="0" xfId="0" applyFont="1" applyFill="1"/>
    <xf numFmtId="0" fontId="82" fillId="15" borderId="132" xfId="0" applyFont="1" applyFill="1" applyBorder="1"/>
    <xf numFmtId="0" fontId="9" fillId="8" borderId="129" xfId="0" applyFont="1" applyFill="1" applyBorder="1" applyAlignment="1" applyProtection="1">
      <alignment vertical="justify"/>
      <protection hidden="1"/>
    </xf>
    <xf numFmtId="171" fontId="9" fillId="0" borderId="132" xfId="4" applyNumberFormat="1" applyFont="1" applyFill="1" applyBorder="1" applyProtection="1">
      <protection hidden="1"/>
    </xf>
    <xf numFmtId="0" fontId="9" fillId="8" borderId="134" xfId="0" applyFont="1" applyFill="1" applyBorder="1" applyAlignment="1" applyProtection="1">
      <alignment vertical="justify"/>
      <protection hidden="1"/>
    </xf>
    <xf numFmtId="0" fontId="5" fillId="0" borderId="134" xfId="0" applyFont="1" applyBorder="1" applyProtection="1">
      <protection hidden="1"/>
    </xf>
    <xf numFmtId="167" fontId="9" fillId="8" borderId="130" xfId="5" applyNumberFormat="1" applyFont="1" applyFill="1" applyBorder="1" applyProtection="1">
      <protection hidden="1"/>
    </xf>
    <xf numFmtId="171" fontId="9" fillId="0" borderId="132" xfId="0" applyNumberFormat="1" applyFont="1" applyBorder="1" applyProtection="1">
      <protection hidden="1"/>
    </xf>
    <xf numFmtId="0" fontId="10" fillId="0" borderId="131" xfId="0" applyFont="1" applyBorder="1" applyAlignment="1" applyProtection="1">
      <alignment vertical="center"/>
      <protection hidden="1"/>
    </xf>
    <xf numFmtId="0" fontId="10" fillId="8" borderId="131" xfId="0" applyFont="1" applyFill="1" applyBorder="1" applyAlignment="1" applyProtection="1">
      <alignment horizontal="left" vertical="center"/>
      <protection hidden="1"/>
    </xf>
    <xf numFmtId="0" fontId="10" fillId="8" borderId="131" xfId="0" applyFont="1" applyFill="1" applyBorder="1" applyAlignment="1" applyProtection="1">
      <alignment vertical="center"/>
      <protection hidden="1"/>
    </xf>
    <xf numFmtId="0" fontId="15" fillId="0" borderId="131" xfId="0" applyFont="1" applyBorder="1" applyAlignment="1" applyProtection="1">
      <alignment vertical="center"/>
      <protection hidden="1"/>
    </xf>
    <xf numFmtId="0" fontId="10" fillId="0" borderId="133" xfId="0" applyFont="1" applyBorder="1" applyAlignment="1" applyProtection="1">
      <alignment horizontal="left" vertical="center"/>
      <protection hidden="1"/>
    </xf>
    <xf numFmtId="0" fontId="10" fillId="0" borderId="134" xfId="0" applyFont="1" applyBorder="1" applyAlignment="1" applyProtection="1">
      <alignment horizontal="left" vertical="center"/>
      <protection hidden="1"/>
    </xf>
    <xf numFmtId="0" fontId="26" fillId="0" borderId="134" xfId="0" applyFont="1" applyBorder="1" applyAlignment="1" applyProtection="1">
      <alignment horizontal="center"/>
      <protection hidden="1"/>
    </xf>
    <xf numFmtId="171" fontId="3" fillId="0" borderId="0" xfId="0" applyNumberFormat="1" applyFont="1" applyProtection="1">
      <protection hidden="1"/>
    </xf>
    <xf numFmtId="167" fontId="9" fillId="6" borderId="1" xfId="5" applyNumberFormat="1" applyFont="1" applyFill="1" applyBorder="1" applyAlignment="1" applyProtection="1">
      <alignment horizontal="right"/>
      <protection hidden="1"/>
    </xf>
    <xf numFmtId="173" fontId="21" fillId="6" borderId="27" xfId="5" applyNumberFormat="1" applyFont="1" applyFill="1" applyBorder="1" applyAlignment="1" applyProtection="1">
      <alignment horizontal="right"/>
      <protection hidden="1"/>
    </xf>
    <xf numFmtId="0" fontId="3" fillId="18" borderId="0" xfId="0" applyFont="1" applyFill="1" applyProtection="1">
      <protection hidden="1"/>
    </xf>
    <xf numFmtId="167" fontId="3" fillId="18" borderId="0" xfId="6" applyNumberFormat="1" applyFont="1" applyFill="1" applyProtection="1">
      <protection hidden="1"/>
    </xf>
    <xf numFmtId="167" fontId="3" fillId="18" borderId="0" xfId="0" applyNumberFormat="1" applyFont="1" applyFill="1" applyProtection="1">
      <protection hidden="1"/>
    </xf>
    <xf numFmtId="171" fontId="3" fillId="18" borderId="0" xfId="0" applyNumberFormat="1" applyFont="1" applyFill="1" applyProtection="1">
      <protection hidden="1"/>
    </xf>
    <xf numFmtId="171" fontId="3" fillId="18" borderId="0" xfId="4" applyNumberFormat="1" applyFont="1" applyFill="1" applyProtection="1">
      <protection hidden="1"/>
    </xf>
    <xf numFmtId="0" fontId="6" fillId="18" borderId="0" xfId="0" applyFont="1" applyFill="1" applyProtection="1">
      <protection hidden="1"/>
    </xf>
    <xf numFmtId="43" fontId="0" fillId="18" borderId="0" xfId="4" applyFont="1" applyFill="1" applyProtection="1">
      <protection hidden="1"/>
    </xf>
    <xf numFmtId="0" fontId="0" fillId="18" borderId="0" xfId="0" applyFill="1" applyProtection="1">
      <protection hidden="1"/>
    </xf>
    <xf numFmtId="167" fontId="0" fillId="18" borderId="0" xfId="6" applyNumberFormat="1" applyFont="1" applyFill="1" applyProtection="1">
      <protection hidden="1"/>
    </xf>
    <xf numFmtId="167" fontId="6" fillId="18" borderId="0" xfId="6" applyNumberFormat="1" applyFont="1" applyFill="1" applyProtection="1">
      <protection hidden="1"/>
    </xf>
    <xf numFmtId="167" fontId="0" fillId="18" borderId="0" xfId="0" applyNumberFormat="1" applyFill="1" applyProtection="1">
      <protection hidden="1"/>
    </xf>
    <xf numFmtId="0" fontId="3" fillId="0" borderId="0" xfId="0" applyFont="1" applyAlignment="1" applyProtection="1">
      <alignment vertical="center"/>
      <protection hidden="1"/>
    </xf>
    <xf numFmtId="0" fontId="4" fillId="8" borderId="0" xfId="0" applyFont="1" applyFill="1" applyAlignment="1" applyProtection="1">
      <alignment vertical="center"/>
      <protection hidden="1"/>
    </xf>
    <xf numFmtId="0" fontId="4" fillId="8" borderId="0" xfId="0" applyFont="1" applyFill="1" applyAlignment="1" applyProtection="1">
      <alignment horizontal="center" vertical="center"/>
      <protection hidden="1"/>
    </xf>
    <xf numFmtId="171" fontId="9" fillId="8" borderId="0" xfId="4" applyNumberFormat="1" applyFont="1" applyFill="1" applyBorder="1" applyAlignment="1" applyProtection="1">
      <alignment horizontal="center"/>
      <protection hidden="1"/>
    </xf>
    <xf numFmtId="0" fontId="10" fillId="6" borderId="42" xfId="0" applyFont="1" applyFill="1" applyBorder="1" applyAlignment="1" applyProtection="1">
      <alignment horizontal="left" vertical="center"/>
      <protection hidden="1"/>
    </xf>
    <xf numFmtId="0" fontId="3" fillId="6" borderId="6" xfId="0" applyFont="1" applyFill="1" applyBorder="1" applyProtection="1">
      <protection hidden="1"/>
    </xf>
    <xf numFmtId="0" fontId="3" fillId="6" borderId="27" xfId="0" applyFont="1" applyFill="1" applyBorder="1" applyProtection="1">
      <protection hidden="1"/>
    </xf>
    <xf numFmtId="0" fontId="0" fillId="6" borderId="27" xfId="0" applyFill="1" applyBorder="1" applyProtection="1">
      <protection hidden="1"/>
    </xf>
    <xf numFmtId="9" fontId="0" fillId="9" borderId="0" xfId="11" applyFont="1" applyFill="1" applyProtection="1">
      <protection locked="0"/>
    </xf>
    <xf numFmtId="167" fontId="4" fillId="0" borderId="1" xfId="5" applyNumberFormat="1" applyFont="1" applyFill="1" applyBorder="1" applyProtection="1">
      <protection locked="0"/>
    </xf>
    <xf numFmtId="171" fontId="0" fillId="0" borderId="0" xfId="0" applyNumberFormat="1"/>
    <xf numFmtId="171" fontId="9" fillId="5" borderId="27" xfId="4" applyNumberFormat="1" applyFont="1" applyFill="1" applyBorder="1" applyProtection="1">
      <protection locked="0"/>
    </xf>
    <xf numFmtId="0" fontId="5" fillId="0" borderId="1" xfId="0" applyFont="1" applyBorder="1" applyAlignment="1">
      <alignment vertical="center"/>
    </xf>
    <xf numFmtId="0" fontId="3" fillId="0" borderId="0" xfId="0" applyFont="1" applyProtection="1">
      <protection locked="0"/>
    </xf>
    <xf numFmtId="0" fontId="3" fillId="0" borderId="0" xfId="0" applyFont="1" applyAlignment="1" applyProtection="1">
      <alignment wrapText="1"/>
      <protection locked="0"/>
    </xf>
    <xf numFmtId="0" fontId="5" fillId="6" borderId="63" xfId="0" applyFont="1" applyFill="1" applyBorder="1" applyAlignment="1" applyProtection="1">
      <alignment vertical="center"/>
      <protection hidden="1"/>
    </xf>
    <xf numFmtId="0" fontId="8" fillId="6" borderId="64" xfId="0" applyFont="1" applyFill="1" applyBorder="1" applyAlignment="1" applyProtection="1">
      <alignment horizontal="left" indent="3"/>
      <protection hidden="1"/>
    </xf>
    <xf numFmtId="171" fontId="4" fillId="5" borderId="39" xfId="4" applyNumberFormat="1" applyFont="1" applyFill="1" applyBorder="1" applyAlignment="1" applyProtection="1">
      <alignment horizontal="left"/>
      <protection locked="0"/>
    </xf>
    <xf numFmtId="167" fontId="86" fillId="0" borderId="5" xfId="5" applyNumberFormat="1" applyFont="1" applyFill="1" applyBorder="1" applyAlignment="1" applyProtection="1">
      <alignment horizontal="center"/>
      <protection hidden="1"/>
    </xf>
    <xf numFmtId="167" fontId="70" fillId="5" borderId="5" xfId="5" applyNumberFormat="1" applyFont="1" applyFill="1" applyBorder="1" applyProtection="1">
      <protection locked="0"/>
    </xf>
    <xf numFmtId="0" fontId="4" fillId="5" borderId="25" xfId="0" applyFont="1" applyFill="1" applyBorder="1" applyAlignment="1" applyProtection="1">
      <alignment horizontal="left"/>
      <protection locked="0"/>
    </xf>
    <xf numFmtId="0" fontId="4" fillId="5" borderId="40" xfId="0" applyFont="1" applyFill="1" applyBorder="1" applyAlignment="1" applyProtection="1">
      <alignment horizontal="left"/>
      <protection locked="0"/>
    </xf>
    <xf numFmtId="0" fontId="4" fillId="5" borderId="26" xfId="0" applyFont="1" applyFill="1" applyBorder="1" applyAlignment="1" applyProtection="1">
      <alignment horizontal="left"/>
      <protection locked="0"/>
    </xf>
    <xf numFmtId="0" fontId="9" fillId="5" borderId="1" xfId="0" applyFont="1" applyFill="1" applyBorder="1" applyAlignment="1" applyProtection="1">
      <alignment horizontal="center"/>
      <protection locked="0"/>
    </xf>
    <xf numFmtId="49" fontId="4" fillId="5" borderId="1" xfId="0" applyNumberFormat="1" applyFont="1" applyFill="1" applyBorder="1" applyAlignment="1" applyProtection="1">
      <alignment horizontal="center"/>
      <protection locked="0"/>
    </xf>
    <xf numFmtId="167" fontId="6" fillId="5" borderId="5" xfId="5" applyNumberFormat="1" applyFont="1" applyFill="1" applyBorder="1" applyProtection="1">
      <protection locked="0"/>
    </xf>
    <xf numFmtId="167" fontId="6" fillId="5" borderId="5" xfId="5" applyNumberFormat="1" applyFont="1" applyFill="1" applyBorder="1" applyAlignment="1" applyProtection="1">
      <alignment vertical="center"/>
      <protection locked="0"/>
    </xf>
    <xf numFmtId="0" fontId="18" fillId="0" borderId="1" xfId="0" applyFont="1" applyBorder="1" applyAlignment="1" applyProtection="1">
      <alignment horizontal="center" vertical="justify"/>
      <protection hidden="1"/>
    </xf>
    <xf numFmtId="171" fontId="25" fillId="0" borderId="1" xfId="4" applyNumberFormat="1" applyFont="1" applyFill="1" applyBorder="1" applyAlignment="1" applyProtection="1">
      <alignment horizontal="left"/>
      <protection hidden="1"/>
    </xf>
    <xf numFmtId="171" fontId="9" fillId="5" borderId="5" xfId="4" applyNumberFormat="1" applyFont="1" applyFill="1" applyBorder="1" applyProtection="1">
      <protection locked="0"/>
    </xf>
    <xf numFmtId="0" fontId="7" fillId="0" borderId="0" xfId="0" applyFont="1" applyAlignment="1" applyProtection="1">
      <alignment horizontal="center"/>
      <protection hidden="1"/>
    </xf>
    <xf numFmtId="171" fontId="16" fillId="0" borderId="0" xfId="4" applyNumberFormat="1" applyFont="1" applyBorder="1" applyProtection="1">
      <protection hidden="1"/>
    </xf>
    <xf numFmtId="0" fontId="21" fillId="5" borderId="28" xfId="0" applyFont="1" applyFill="1" applyBorder="1" applyAlignment="1" applyProtection="1">
      <alignment horizontal="left" vertical="center"/>
      <protection locked="0"/>
    </xf>
    <xf numFmtId="0" fontId="21" fillId="6" borderId="4" xfId="0" applyFont="1" applyFill="1" applyBorder="1" applyAlignment="1" applyProtection="1">
      <alignment horizontal="left" vertical="justify"/>
      <protection hidden="1"/>
    </xf>
    <xf numFmtId="0" fontId="21" fillId="6" borderId="1" xfId="0" applyFont="1" applyFill="1" applyBorder="1" applyAlignment="1" applyProtection="1">
      <alignment horizontal="left" vertical="justify"/>
      <protection hidden="1"/>
    </xf>
    <xf numFmtId="0" fontId="10" fillId="6" borderId="4" xfId="0" applyFont="1" applyFill="1" applyBorder="1" applyAlignment="1" applyProtection="1">
      <alignment horizontal="left" vertical="center"/>
      <protection hidden="1"/>
    </xf>
    <xf numFmtId="0" fontId="10" fillId="6" borderId="4" xfId="0" applyFont="1" applyFill="1" applyBorder="1" applyAlignment="1" applyProtection="1">
      <alignment horizontal="left" vertical="justify"/>
      <protection hidden="1"/>
    </xf>
    <xf numFmtId="0" fontId="10" fillId="6" borderId="1" xfId="0" applyFont="1" applyFill="1" applyBorder="1" applyAlignment="1" applyProtection="1">
      <alignment horizontal="left" vertical="justify"/>
      <protection hidden="1"/>
    </xf>
    <xf numFmtId="0" fontId="15" fillId="6" borderId="4" xfId="0" applyFont="1" applyFill="1" applyBorder="1" applyAlignment="1" applyProtection="1">
      <alignment horizontal="left" vertical="justify"/>
      <protection hidden="1"/>
    </xf>
    <xf numFmtId="0" fontId="8" fillId="6" borderId="0" xfId="0" applyFont="1" applyFill="1" applyAlignment="1" applyProtection="1">
      <alignment horizontal="center"/>
      <protection hidden="1"/>
    </xf>
    <xf numFmtId="0" fontId="15" fillId="6" borderId="27" xfId="0" applyFont="1" applyFill="1" applyBorder="1" applyAlignment="1" applyProtection="1">
      <alignment horizontal="left" vertical="justify"/>
      <protection hidden="1"/>
    </xf>
    <xf numFmtId="171" fontId="9" fillId="0" borderId="0" xfId="4" applyNumberFormat="1" applyFont="1" applyFill="1" applyBorder="1" applyAlignment="1" applyProtection="1">
      <alignment horizontal="center"/>
      <protection hidden="1"/>
    </xf>
    <xf numFmtId="0" fontId="18" fillId="0" borderId="1" xfId="0" applyFont="1" applyBorder="1" applyAlignment="1" applyProtection="1">
      <alignment horizontal="center" vertical="center"/>
      <protection hidden="1"/>
    </xf>
    <xf numFmtId="171" fontId="9" fillId="19" borderId="132" xfId="4" applyNumberFormat="1" applyFont="1" applyFill="1" applyBorder="1" applyProtection="1">
      <protection hidden="1"/>
    </xf>
    <xf numFmtId="0" fontId="0" fillId="19" borderId="0" xfId="0" applyFill="1" applyAlignment="1" applyProtection="1">
      <alignment horizontal="center"/>
      <protection hidden="1"/>
    </xf>
    <xf numFmtId="167" fontId="5" fillId="5" borderId="1" xfId="5" applyNumberFormat="1" applyFont="1" applyFill="1" applyBorder="1" applyAlignment="1" applyProtection="1">
      <alignment vertical="center"/>
      <protection locked="0"/>
    </xf>
    <xf numFmtId="0" fontId="5" fillId="0" borderId="29" xfId="0" applyFont="1" applyBorder="1"/>
    <xf numFmtId="0" fontId="3" fillId="9" borderId="29" xfId="0" applyFont="1" applyFill="1" applyBorder="1" applyAlignment="1">
      <alignment horizontal="center"/>
    </xf>
    <xf numFmtId="171" fontId="9" fillId="0" borderId="15" xfId="4" applyNumberFormat="1" applyFont="1" applyFill="1" applyBorder="1" applyAlignment="1" applyProtection="1">
      <alignment horizontal="center"/>
      <protection hidden="1"/>
    </xf>
    <xf numFmtId="171" fontId="0" fillId="0" borderId="15" xfId="4" applyNumberFormat="1" applyFont="1" applyFill="1" applyBorder="1"/>
    <xf numFmtId="0" fontId="0" fillId="0" borderId="15" xfId="0" applyBorder="1" applyAlignment="1">
      <alignment horizontal="center"/>
    </xf>
    <xf numFmtId="0" fontId="7" fillId="0" borderId="14" xfId="0" applyFont="1" applyBorder="1" applyAlignment="1" applyProtection="1">
      <alignment horizontal="center"/>
      <protection hidden="1"/>
    </xf>
    <xf numFmtId="0" fontId="10" fillId="9" borderId="14" xfId="0" applyFont="1" applyFill="1" applyBorder="1" applyAlignment="1" applyProtection="1">
      <alignment wrapText="1"/>
      <protection hidden="1"/>
    </xf>
    <xf numFmtId="0" fontId="7" fillId="0" borderId="14" xfId="0" applyFont="1" applyBorder="1" applyAlignment="1" applyProtection="1">
      <alignment horizontal="left"/>
      <protection hidden="1"/>
    </xf>
    <xf numFmtId="0" fontId="26" fillId="0" borderId="14" xfId="0" applyFont="1" applyBorder="1"/>
    <xf numFmtId="0" fontId="26" fillId="0" borderId="14" xfId="0" applyFont="1" applyBorder="1" applyAlignment="1">
      <alignment horizontal="center" vertical="center"/>
    </xf>
    <xf numFmtId="0" fontId="7" fillId="0" borderId="14" xfId="0" applyFont="1" applyBorder="1" applyAlignment="1">
      <alignment horizontal="left" vertical="justify"/>
    </xf>
    <xf numFmtId="171" fontId="0" fillId="0" borderId="142" xfId="4" applyNumberFormat="1" applyFont="1" applyBorder="1"/>
    <xf numFmtId="171" fontId="25" fillId="0" borderId="143" xfId="4" applyNumberFormat="1" applyFont="1" applyBorder="1" applyAlignment="1" applyProtection="1">
      <alignment horizontal="left"/>
      <protection hidden="1"/>
    </xf>
    <xf numFmtId="171" fontId="9" fillId="0" borderId="143" xfId="4" applyNumberFormat="1" applyFont="1" applyBorder="1"/>
    <xf numFmtId="0" fontId="0" fillId="0" borderId="144" xfId="0" applyBorder="1"/>
    <xf numFmtId="171" fontId="0" fillId="0" borderId="143" xfId="4" applyNumberFormat="1" applyFont="1" applyBorder="1"/>
    <xf numFmtId="171" fontId="0" fillId="0" borderId="145" xfId="4" applyNumberFormat="1" applyFont="1" applyBorder="1"/>
    <xf numFmtId="171" fontId="87" fillId="0" borderId="143" xfId="4" applyNumberFormat="1" applyFont="1" applyBorder="1"/>
    <xf numFmtId="171" fontId="0" fillId="0" borderId="146" xfId="4" applyNumberFormat="1" applyFont="1" applyBorder="1"/>
    <xf numFmtId="0" fontId="0" fillId="0" borderId="141" xfId="0" applyBorder="1"/>
    <xf numFmtId="171" fontId="4" fillId="0" borderId="140" xfId="4" applyNumberFormat="1" applyFont="1" applyBorder="1"/>
    <xf numFmtId="171" fontId="0" fillId="0" borderId="147" xfId="4" applyNumberFormat="1" applyFont="1" applyBorder="1"/>
    <xf numFmtId="0" fontId="3" fillId="9" borderId="1" xfId="0" applyFont="1" applyFill="1" applyBorder="1" applyAlignment="1">
      <alignment horizontal="center" vertical="center"/>
    </xf>
    <xf numFmtId="167" fontId="0" fillId="5" borderId="1" xfId="5" applyNumberFormat="1" applyFont="1" applyFill="1" applyBorder="1" applyProtection="1">
      <protection locked="0"/>
    </xf>
    <xf numFmtId="167" fontId="0" fillId="5" borderId="27" xfId="5" applyNumberFormat="1" applyFont="1" applyFill="1" applyBorder="1" applyProtection="1">
      <protection locked="0"/>
    </xf>
    <xf numFmtId="167" fontId="4" fillId="0" borderId="1" xfId="5" applyNumberFormat="1" applyFont="1" applyFill="1" applyBorder="1" applyProtection="1">
      <protection hidden="1"/>
    </xf>
    <xf numFmtId="0" fontId="4" fillId="5" borderId="4" xfId="0" applyFont="1" applyFill="1" applyBorder="1" applyAlignment="1" applyProtection="1">
      <alignment horizontal="left"/>
      <protection locked="0"/>
    </xf>
    <xf numFmtId="167" fontId="4" fillId="5" borderId="1" xfId="5" applyNumberFormat="1" applyFont="1" applyFill="1" applyBorder="1" applyAlignment="1" applyProtection="1">
      <alignment horizontal="right"/>
      <protection locked="0"/>
    </xf>
    <xf numFmtId="167" fontId="11" fillId="0" borderId="0" xfId="5" applyNumberFormat="1" applyFont="1" applyFill="1" applyBorder="1" applyAlignment="1" applyProtection="1">
      <alignment horizontal="center"/>
      <protection locked="0"/>
    </xf>
    <xf numFmtId="0" fontId="0" fillId="5" borderId="3" xfId="0" applyFill="1" applyBorder="1" applyProtection="1">
      <protection locked="0"/>
    </xf>
    <xf numFmtId="0" fontId="0" fillId="5" borderId="7" xfId="0" applyFill="1" applyBorder="1" applyProtection="1">
      <protection locked="0"/>
    </xf>
    <xf numFmtId="0" fontId="0" fillId="0" borderId="94" xfId="0" applyBorder="1" applyProtection="1">
      <protection locked="0"/>
    </xf>
    <xf numFmtId="0" fontId="0" fillId="0" borderId="90" xfId="0" applyBorder="1" applyProtection="1">
      <protection hidden="1"/>
    </xf>
    <xf numFmtId="0" fontId="0" fillId="0" borderId="92" xfId="0" applyBorder="1" applyProtection="1">
      <protection hidden="1"/>
    </xf>
    <xf numFmtId="0" fontId="3" fillId="0" borderId="13" xfId="0" applyFont="1" applyBorder="1" applyProtection="1">
      <protection hidden="1"/>
    </xf>
    <xf numFmtId="0" fontId="15" fillId="0" borderId="64" xfId="0" applyFont="1" applyBorder="1" applyAlignment="1" applyProtection="1">
      <alignment horizontal="center" vertical="justify"/>
      <protection hidden="1"/>
    </xf>
    <xf numFmtId="0" fontId="3" fillId="0" borderId="21" xfId="0" applyFont="1" applyBorder="1" applyProtection="1">
      <protection hidden="1"/>
    </xf>
    <xf numFmtId="0" fontId="18" fillId="0" borderId="27" xfId="0" applyFont="1" applyBorder="1" applyAlignment="1" applyProtection="1">
      <alignment horizontal="center" vertical="justify"/>
      <protection hidden="1"/>
    </xf>
    <xf numFmtId="0" fontId="16" fillId="0" borderId="4" xfId="0" applyFont="1" applyBorder="1" applyProtection="1">
      <protection hidden="1"/>
    </xf>
    <xf numFmtId="167" fontId="0" fillId="0" borderId="1" xfId="5" applyNumberFormat="1" applyFont="1" applyBorder="1" applyProtection="1">
      <protection hidden="1"/>
    </xf>
    <xf numFmtId="167" fontId="9" fillId="0" borderId="1" xfId="5" applyNumberFormat="1" applyFont="1" applyBorder="1" applyProtection="1">
      <protection hidden="1"/>
    </xf>
    <xf numFmtId="173" fontId="26" fillId="0" borderId="1" xfId="5" applyNumberFormat="1" applyFont="1" applyBorder="1" applyAlignment="1" applyProtection="1">
      <alignment horizontal="right"/>
      <protection hidden="1"/>
    </xf>
    <xf numFmtId="0" fontId="78" fillId="5" borderId="45" xfId="0" applyFont="1" applyFill="1" applyBorder="1" applyAlignment="1" applyProtection="1">
      <alignment horizontal="center" vertical="center"/>
      <protection locked="0"/>
    </xf>
    <xf numFmtId="171" fontId="9" fillId="16" borderId="0" xfId="4" applyNumberFormat="1" applyFont="1" applyFill="1" applyBorder="1" applyAlignment="1" applyProtection="1">
      <alignment horizontal="center"/>
      <protection hidden="1"/>
    </xf>
    <xf numFmtId="171" fontId="9" fillId="16" borderId="15" xfId="4" applyNumberFormat="1" applyFont="1" applyFill="1" applyBorder="1" applyAlignment="1" applyProtection="1">
      <alignment horizontal="center"/>
      <protection hidden="1"/>
    </xf>
    <xf numFmtId="167" fontId="7" fillId="0" borderId="22" xfId="0" applyNumberFormat="1" applyFont="1" applyBorder="1" applyAlignment="1" applyProtection="1">
      <alignment horizontal="left"/>
      <protection hidden="1"/>
    </xf>
    <xf numFmtId="171" fontId="3" fillId="0" borderId="143" xfId="4" applyNumberFormat="1" applyFont="1" applyBorder="1" applyAlignment="1" applyProtection="1">
      <alignment horizontal="left"/>
      <protection hidden="1"/>
    </xf>
    <xf numFmtId="167" fontId="39" fillId="0" borderId="1" xfId="5" applyNumberFormat="1" applyFont="1" applyFill="1" applyBorder="1" applyProtection="1">
      <protection hidden="1"/>
    </xf>
    <xf numFmtId="167" fontId="0" fillId="0" borderId="24" xfId="0" applyNumberFormat="1" applyBorder="1" applyAlignment="1" applyProtection="1">
      <alignment horizontal="center"/>
      <protection hidden="1"/>
    </xf>
    <xf numFmtId="0" fontId="75" fillId="0" borderId="0" xfId="0" applyFont="1" applyAlignment="1" applyProtection="1">
      <alignment horizontal="center"/>
      <protection hidden="1"/>
    </xf>
    <xf numFmtId="0" fontId="3" fillId="0" borderId="0" xfId="0" applyFont="1" applyAlignment="1">
      <alignment horizontal="left"/>
    </xf>
    <xf numFmtId="0" fontId="0" fillId="0" borderId="0" xfId="0" applyAlignment="1">
      <alignment horizontal="left"/>
    </xf>
    <xf numFmtId="0" fontId="3" fillId="0" borderId="0" xfId="0" applyFont="1" applyAlignment="1" applyProtection="1">
      <alignment horizontal="left" vertical="center"/>
      <protection hidden="1"/>
    </xf>
    <xf numFmtId="0" fontId="0" fillId="20" borderId="0" xfId="0" applyFill="1" applyAlignment="1" applyProtection="1">
      <alignment horizontal="center"/>
      <protection hidden="1"/>
    </xf>
    <xf numFmtId="0" fontId="0" fillId="0" borderId="149" xfId="0" applyBorder="1" applyAlignment="1" applyProtection="1">
      <alignment horizontal="center"/>
      <protection hidden="1"/>
    </xf>
    <xf numFmtId="171" fontId="9" fillId="0" borderId="149" xfId="4" applyNumberFormat="1" applyFont="1" applyBorder="1" applyProtection="1">
      <protection hidden="1"/>
    </xf>
    <xf numFmtId="0" fontId="3" fillId="0" borderId="150" xfId="0" applyFont="1" applyBorder="1" applyAlignment="1" applyProtection="1">
      <alignment horizontal="left"/>
      <protection hidden="1"/>
    </xf>
    <xf numFmtId="0" fontId="0" fillId="0" borderId="150" xfId="0" applyBorder="1" applyAlignment="1" applyProtection="1">
      <alignment horizontal="left"/>
      <protection hidden="1"/>
    </xf>
    <xf numFmtId="0" fontId="0" fillId="0" borderId="150" xfId="0" applyBorder="1" applyAlignment="1" applyProtection="1">
      <alignment horizontal="center"/>
      <protection hidden="1"/>
    </xf>
    <xf numFmtId="171" fontId="9" fillId="0" borderId="150" xfId="4" applyNumberFormat="1" applyFont="1" applyBorder="1" applyProtection="1">
      <protection hidden="1"/>
    </xf>
    <xf numFmtId="0" fontId="3" fillId="0" borderId="151" xfId="0" applyFont="1" applyBorder="1" applyAlignment="1" applyProtection="1">
      <alignment horizontal="left"/>
      <protection hidden="1"/>
    </xf>
    <xf numFmtId="0" fontId="0" fillId="0" borderId="151" xfId="0" applyBorder="1" applyAlignment="1" applyProtection="1">
      <alignment horizontal="left"/>
      <protection hidden="1"/>
    </xf>
    <xf numFmtId="0" fontId="0" fillId="0" borderId="151" xfId="0" applyBorder="1" applyAlignment="1" applyProtection="1">
      <alignment horizontal="center"/>
      <protection hidden="1"/>
    </xf>
    <xf numFmtId="171" fontId="9" fillId="0" borderId="151" xfId="4" applyNumberFormat="1" applyFont="1" applyBorder="1" applyProtection="1">
      <protection hidden="1"/>
    </xf>
    <xf numFmtId="0" fontId="10" fillId="20" borderId="150" xfId="0" applyFont="1" applyFill="1" applyBorder="1" applyAlignment="1" applyProtection="1">
      <alignment horizontal="left"/>
      <protection hidden="1"/>
    </xf>
    <xf numFmtId="0" fontId="0" fillId="20" borderId="150" xfId="0" applyFill="1" applyBorder="1" applyAlignment="1" applyProtection="1">
      <alignment horizontal="center"/>
      <protection hidden="1"/>
    </xf>
    <xf numFmtId="171" fontId="9" fillId="20" borderId="150" xfId="4" applyNumberFormat="1" applyFont="1" applyFill="1" applyBorder="1" applyProtection="1">
      <protection hidden="1"/>
    </xf>
    <xf numFmtId="0" fontId="0" fillId="20" borderId="149" xfId="0" applyFill="1" applyBorder="1" applyAlignment="1" applyProtection="1">
      <alignment horizontal="center"/>
      <protection hidden="1"/>
    </xf>
    <xf numFmtId="171" fontId="9" fillId="20" borderId="149" xfId="4" applyNumberFormat="1" applyFont="1" applyFill="1" applyBorder="1" applyProtection="1">
      <protection hidden="1"/>
    </xf>
    <xf numFmtId="0" fontId="26" fillId="0" borderId="150" xfId="0" applyFont="1" applyBorder="1" applyAlignment="1" applyProtection="1">
      <alignment horizontal="left"/>
      <protection hidden="1"/>
    </xf>
    <xf numFmtId="0" fontId="9" fillId="20" borderId="150" xfId="0" applyFont="1" applyFill="1" applyBorder="1" applyAlignment="1" applyProtection="1">
      <alignment horizontal="left"/>
      <protection hidden="1"/>
    </xf>
    <xf numFmtId="0" fontId="0" fillId="20" borderId="151" xfId="0" applyFill="1" applyBorder="1" applyAlignment="1" applyProtection="1">
      <alignment horizontal="center"/>
      <protection hidden="1"/>
    </xf>
    <xf numFmtId="171" fontId="9" fillId="20" borderId="151" xfId="4" applyNumberFormat="1" applyFont="1" applyFill="1" applyBorder="1" applyProtection="1">
      <protection hidden="1"/>
    </xf>
    <xf numFmtId="0" fontId="0" fillId="15" borderId="0" xfId="0" applyFill="1" applyProtection="1">
      <protection hidden="1"/>
    </xf>
    <xf numFmtId="0" fontId="9" fillId="15" borderId="0" xfId="0" applyFont="1" applyFill="1" applyAlignment="1" applyProtection="1">
      <alignment horizontal="left"/>
      <protection hidden="1"/>
    </xf>
    <xf numFmtId="0" fontId="3" fillId="20" borderId="0" xfId="0" applyFont="1" applyFill="1" applyAlignment="1" applyProtection="1">
      <alignment horizontal="left"/>
      <protection hidden="1"/>
    </xf>
    <xf numFmtId="0" fontId="0" fillId="20" borderId="0" xfId="0" applyFill="1" applyAlignment="1" applyProtection="1">
      <alignment horizontal="left"/>
      <protection hidden="1"/>
    </xf>
    <xf numFmtId="0" fontId="3" fillId="20" borderId="157" xfId="0" applyFont="1" applyFill="1" applyBorder="1" applyAlignment="1" applyProtection="1">
      <alignment horizontal="left"/>
      <protection hidden="1"/>
    </xf>
    <xf numFmtId="0" fontId="0" fillId="20" borderId="157" xfId="0" applyFill="1" applyBorder="1" applyAlignment="1" applyProtection="1">
      <alignment horizontal="left"/>
      <protection hidden="1"/>
    </xf>
    <xf numFmtId="171" fontId="9" fillId="20" borderId="160" xfId="4" applyNumberFormat="1" applyFont="1" applyFill="1" applyBorder="1" applyProtection="1">
      <protection hidden="1"/>
    </xf>
    <xf numFmtId="171" fontId="9" fillId="0" borderId="153" xfId="4" applyNumberFormat="1" applyFont="1" applyBorder="1" applyProtection="1">
      <protection hidden="1"/>
    </xf>
    <xf numFmtId="171" fontId="9" fillId="20" borderId="153" xfId="4" applyNumberFormat="1" applyFont="1" applyFill="1" applyBorder="1" applyProtection="1">
      <protection hidden="1"/>
    </xf>
    <xf numFmtId="171" fontId="9" fillId="0" borderId="150" xfId="4" applyNumberFormat="1" applyFont="1" applyFill="1" applyBorder="1" applyProtection="1">
      <protection hidden="1"/>
    </xf>
    <xf numFmtId="171" fontId="9" fillId="0" borderId="151" xfId="4" applyNumberFormat="1" applyFont="1" applyFill="1" applyBorder="1" applyProtection="1">
      <protection hidden="1"/>
    </xf>
    <xf numFmtId="0" fontId="3" fillId="0" borderId="149" xfId="0" applyFont="1" applyBorder="1" applyAlignment="1">
      <alignment horizontal="left"/>
    </xf>
    <xf numFmtId="0" fontId="0" fillId="0" borderId="149" xfId="0" applyBorder="1" applyAlignment="1">
      <alignment horizontal="left"/>
    </xf>
    <xf numFmtId="171" fontId="9" fillId="20" borderId="150" xfId="4" applyNumberFormat="1" applyFont="1" applyFill="1" applyBorder="1" applyAlignment="1" applyProtection="1">
      <alignment horizontal="left"/>
      <protection hidden="1"/>
    </xf>
    <xf numFmtId="0" fontId="3" fillId="0" borderId="150" xfId="0" applyFont="1" applyBorder="1" applyAlignment="1">
      <alignment horizontal="left"/>
    </xf>
    <xf numFmtId="0" fontId="0" fillId="0" borderId="150" xfId="0" applyBorder="1" applyAlignment="1">
      <alignment horizontal="left"/>
    </xf>
    <xf numFmtId="0" fontId="0" fillId="20" borderId="150" xfId="0" applyFill="1" applyBorder="1" applyProtection="1">
      <protection hidden="1"/>
    </xf>
    <xf numFmtId="171" fontId="0" fillId="0" borderId="149" xfId="0" applyNumberFormat="1" applyBorder="1" applyProtection="1">
      <protection hidden="1"/>
    </xf>
    <xf numFmtId="171" fontId="0" fillId="20" borderId="150" xfId="0" applyNumberFormat="1" applyFill="1" applyBorder="1" applyProtection="1">
      <protection hidden="1"/>
    </xf>
    <xf numFmtId="171" fontId="90" fillId="0" borderId="151" xfId="0" applyNumberFormat="1" applyFont="1" applyBorder="1" applyAlignment="1" applyProtection="1">
      <alignment horizontal="center"/>
      <protection hidden="1"/>
    </xf>
    <xf numFmtId="42" fontId="0" fillId="0" borderId="150" xfId="15" applyFont="1" applyBorder="1" applyProtection="1">
      <protection hidden="1"/>
    </xf>
    <xf numFmtId="0" fontId="9" fillId="20" borderId="163" xfId="0" applyFont="1" applyFill="1" applyBorder="1" applyAlignment="1">
      <alignment vertical="justify"/>
    </xf>
    <xf numFmtId="0" fontId="0" fillId="20" borderId="163" xfId="0" applyFill="1" applyBorder="1" applyAlignment="1" applyProtection="1">
      <alignment horizontal="center"/>
      <protection hidden="1"/>
    </xf>
    <xf numFmtId="0" fontId="9" fillId="0" borderId="163" xfId="0" applyFont="1" applyBorder="1" applyAlignment="1" applyProtection="1">
      <alignment vertical="justify"/>
      <protection hidden="1"/>
    </xf>
    <xf numFmtId="0" fontId="0" fillId="0" borderId="163" xfId="0" applyBorder="1" applyAlignment="1" applyProtection="1">
      <alignment horizontal="center"/>
      <protection hidden="1"/>
    </xf>
    <xf numFmtId="0" fontId="9" fillId="20" borderId="163" xfId="0" applyFont="1" applyFill="1" applyBorder="1" applyAlignment="1">
      <alignment horizontal="justify" vertical="justify"/>
    </xf>
    <xf numFmtId="171" fontId="0" fillId="20" borderId="165" xfId="0" applyNumberFormat="1" applyFill="1" applyBorder="1" applyProtection="1">
      <protection hidden="1"/>
    </xf>
    <xf numFmtId="171" fontId="9" fillId="0" borderId="165" xfId="4" applyNumberFormat="1" applyFont="1" applyFill="1" applyBorder="1" applyProtection="1">
      <protection hidden="1"/>
    </xf>
    <xf numFmtId="171" fontId="9" fillId="20" borderId="165" xfId="4" applyNumberFormat="1" applyFont="1" applyFill="1" applyBorder="1" applyProtection="1">
      <protection hidden="1"/>
    </xf>
    <xf numFmtId="0" fontId="9" fillId="0" borderId="163" xfId="0" applyFont="1" applyBorder="1" applyAlignment="1">
      <alignment vertical="justify"/>
    </xf>
    <xf numFmtId="0" fontId="10" fillId="0" borderId="0" xfId="0" applyFont="1" applyAlignment="1" applyProtection="1">
      <alignment horizontal="left" vertical="center"/>
      <protection hidden="1"/>
    </xf>
    <xf numFmtId="0" fontId="9" fillId="20" borderId="163" xfId="0" applyFont="1" applyFill="1" applyBorder="1" applyAlignment="1" applyProtection="1">
      <alignment horizontal="left" wrapText="1"/>
      <protection hidden="1"/>
    </xf>
    <xf numFmtId="0" fontId="4" fillId="0" borderId="166" xfId="0" applyFont="1" applyBorder="1" applyAlignment="1" applyProtection="1">
      <alignment vertical="center"/>
      <protection hidden="1"/>
    </xf>
    <xf numFmtId="0" fontId="0" fillId="0" borderId="166" xfId="0" applyBorder="1" applyAlignment="1" applyProtection="1">
      <alignment horizontal="center"/>
      <protection hidden="1"/>
    </xf>
    <xf numFmtId="171" fontId="9" fillId="0" borderId="166" xfId="4" applyNumberFormat="1" applyFont="1" applyFill="1" applyBorder="1" applyProtection="1">
      <protection hidden="1"/>
    </xf>
    <xf numFmtId="0" fontId="3" fillId="20" borderId="163" xfId="0" applyFont="1" applyFill="1" applyBorder="1" applyAlignment="1" applyProtection="1">
      <alignment vertical="center"/>
      <protection hidden="1"/>
    </xf>
    <xf numFmtId="171" fontId="9" fillId="20" borderId="163" xfId="4" applyNumberFormat="1" applyFont="1" applyFill="1" applyBorder="1" applyProtection="1">
      <protection hidden="1"/>
    </xf>
    <xf numFmtId="0" fontId="4" fillId="0" borderId="163" xfId="0" applyFont="1" applyBorder="1" applyAlignment="1" applyProtection="1">
      <alignment vertical="center"/>
      <protection hidden="1"/>
    </xf>
    <xf numFmtId="0" fontId="4" fillId="0" borderId="163" xfId="0" applyFont="1" applyBorder="1" applyAlignment="1" applyProtection="1">
      <alignment horizontal="center" vertical="center"/>
      <protection hidden="1"/>
    </xf>
    <xf numFmtId="171" fontId="9" fillId="0" borderId="163" xfId="4" applyNumberFormat="1" applyFont="1" applyFill="1" applyBorder="1" applyProtection="1">
      <protection hidden="1"/>
    </xf>
    <xf numFmtId="171" fontId="9" fillId="20" borderId="163" xfId="0" applyNumberFormat="1" applyFont="1" applyFill="1" applyBorder="1" applyProtection="1">
      <protection hidden="1"/>
    </xf>
    <xf numFmtId="0" fontId="10" fillId="20" borderId="163" xfId="0" applyFont="1" applyFill="1" applyBorder="1" applyAlignment="1" applyProtection="1">
      <alignment vertical="center"/>
      <protection hidden="1"/>
    </xf>
    <xf numFmtId="0" fontId="10" fillId="0" borderId="163" xfId="0" applyFont="1" applyBorder="1" applyAlignment="1" applyProtection="1">
      <alignment horizontal="left" vertical="center"/>
      <protection hidden="1"/>
    </xf>
    <xf numFmtId="0" fontId="10" fillId="0" borderId="163" xfId="0" applyFont="1" applyBorder="1" applyAlignment="1" applyProtection="1">
      <alignment vertical="center"/>
      <protection hidden="1"/>
    </xf>
    <xf numFmtId="0" fontId="26" fillId="20" borderId="163" xfId="0" applyFont="1" applyFill="1" applyBorder="1" applyAlignment="1" applyProtection="1">
      <alignment horizontal="center"/>
      <protection hidden="1"/>
    </xf>
    <xf numFmtId="0" fontId="26" fillId="0" borderId="163" xfId="0" applyFont="1" applyBorder="1" applyAlignment="1" applyProtection="1">
      <alignment horizontal="center"/>
      <protection hidden="1"/>
    </xf>
    <xf numFmtId="0" fontId="15" fillId="20" borderId="163" xfId="0" applyFont="1" applyFill="1" applyBorder="1" applyAlignment="1" applyProtection="1">
      <alignment vertical="center"/>
      <protection hidden="1"/>
    </xf>
    <xf numFmtId="171" fontId="9" fillId="0" borderId="163" xfId="4" applyNumberFormat="1" applyFont="1" applyFill="1" applyBorder="1" applyAlignment="1" applyProtection="1">
      <alignment horizontal="center"/>
      <protection hidden="1"/>
    </xf>
    <xf numFmtId="0" fontId="26" fillId="20" borderId="167" xfId="0" applyFont="1" applyFill="1" applyBorder="1" applyAlignment="1" applyProtection="1">
      <alignment horizontal="center"/>
      <protection hidden="1"/>
    </xf>
    <xf numFmtId="171" fontId="9" fillId="20" borderId="167" xfId="4" applyNumberFormat="1" applyFont="1" applyFill="1" applyBorder="1" applyProtection="1">
      <protection hidden="1"/>
    </xf>
    <xf numFmtId="167" fontId="9" fillId="0" borderId="163" xfId="5" applyNumberFormat="1" applyFont="1" applyFill="1" applyBorder="1" applyProtection="1">
      <protection hidden="1"/>
    </xf>
    <xf numFmtId="0" fontId="5" fillId="20" borderId="168" xfId="0" applyFont="1" applyFill="1" applyBorder="1" applyProtection="1">
      <protection hidden="1"/>
    </xf>
    <xf numFmtId="0" fontId="0" fillId="20" borderId="168" xfId="0" applyFill="1" applyBorder="1" applyAlignment="1" applyProtection="1">
      <alignment horizontal="center"/>
      <protection hidden="1"/>
    </xf>
    <xf numFmtId="171" fontId="9" fillId="20" borderId="168" xfId="4" applyNumberFormat="1" applyFont="1" applyFill="1" applyBorder="1" applyProtection="1">
      <protection hidden="1"/>
    </xf>
    <xf numFmtId="0" fontId="21" fillId="0" borderId="163" xfId="0" applyFont="1" applyBorder="1" applyAlignment="1" applyProtection="1">
      <alignment horizontal="left" vertical="center"/>
      <protection hidden="1"/>
    </xf>
    <xf numFmtId="0" fontId="0" fillId="20" borderId="12" xfId="0" applyFill="1" applyBorder="1" applyAlignment="1" applyProtection="1">
      <alignment horizontal="center"/>
      <protection hidden="1"/>
    </xf>
    <xf numFmtId="171" fontId="0" fillId="20" borderId="13" xfId="4" applyNumberFormat="1" applyFont="1" applyFill="1" applyBorder="1"/>
    <xf numFmtId="0" fontId="7" fillId="20" borderId="14" xfId="0" applyFont="1" applyFill="1" applyBorder="1" applyAlignment="1" applyProtection="1">
      <alignment horizontal="left"/>
      <protection hidden="1"/>
    </xf>
    <xf numFmtId="0" fontId="7" fillId="20" borderId="0" xfId="0" applyFont="1" applyFill="1" applyAlignment="1" applyProtection="1">
      <alignment horizontal="left"/>
      <protection hidden="1"/>
    </xf>
    <xf numFmtId="171" fontId="0" fillId="20" borderId="15" xfId="4" applyNumberFormat="1" applyFont="1" applyFill="1" applyBorder="1"/>
    <xf numFmtId="171" fontId="0" fillId="20" borderId="15" xfId="0" applyNumberFormat="1" applyFill="1" applyBorder="1"/>
    <xf numFmtId="0" fontId="0" fillId="20" borderId="0" xfId="0" applyFill="1" applyAlignment="1" applyProtection="1">
      <alignment horizontal="center" vertical="center"/>
      <protection hidden="1"/>
    </xf>
    <xf numFmtId="171" fontId="0" fillId="20" borderId="15" xfId="4" applyNumberFormat="1" applyFont="1" applyFill="1" applyBorder="1" applyAlignment="1" applyProtection="1">
      <alignment horizontal="center"/>
      <protection hidden="1"/>
    </xf>
    <xf numFmtId="0" fontId="0" fillId="20" borderId="15" xfId="0" applyFill="1" applyBorder="1" applyAlignment="1" applyProtection="1">
      <alignment horizontal="center"/>
      <protection hidden="1"/>
    </xf>
    <xf numFmtId="0" fontId="0" fillId="20" borderId="17" xfId="0" applyFill="1" applyBorder="1" applyAlignment="1" applyProtection="1">
      <alignment horizontal="center"/>
      <protection hidden="1"/>
    </xf>
    <xf numFmtId="171" fontId="0" fillId="20" borderId="19" xfId="4" applyNumberFormat="1" applyFont="1" applyFill="1" applyBorder="1"/>
    <xf numFmtId="171" fontId="0" fillId="20" borderId="0" xfId="4" applyNumberFormat="1" applyFont="1" applyFill="1"/>
    <xf numFmtId="171" fontId="0" fillId="20" borderId="0" xfId="0" applyNumberFormat="1" applyFill="1"/>
    <xf numFmtId="171" fontId="9" fillId="20" borderId="15" xfId="4" applyNumberFormat="1" applyFont="1" applyFill="1" applyBorder="1" applyAlignment="1" applyProtection="1">
      <alignment horizontal="center"/>
      <protection hidden="1"/>
    </xf>
    <xf numFmtId="0" fontId="0" fillId="20" borderId="17" xfId="0" applyFill="1" applyBorder="1" applyAlignment="1" applyProtection="1">
      <alignment horizontal="center" vertical="center"/>
      <protection hidden="1"/>
    </xf>
    <xf numFmtId="171" fontId="3" fillId="0" borderId="143" xfId="0" applyNumberFormat="1" applyFont="1" applyBorder="1"/>
    <xf numFmtId="171" fontId="3" fillId="0" borderId="146" xfId="4" applyNumberFormat="1" applyFont="1" applyBorder="1" applyAlignment="1">
      <alignment vertical="center"/>
    </xf>
    <xf numFmtId="0" fontId="0" fillId="5" borderId="5" xfId="0" applyFill="1" applyBorder="1" applyProtection="1">
      <protection locked="0"/>
    </xf>
    <xf numFmtId="0" fontId="0" fillId="5" borderId="43" xfId="0" applyFill="1" applyBorder="1" applyProtection="1">
      <protection locked="0"/>
    </xf>
    <xf numFmtId="167" fontId="0" fillId="0" borderId="150" xfId="5" applyNumberFormat="1" applyFont="1" applyBorder="1" applyProtection="1">
      <protection hidden="1"/>
    </xf>
    <xf numFmtId="171" fontId="9" fillId="20" borderId="150" xfId="4" applyNumberFormat="1" applyFont="1" applyFill="1" applyBorder="1" applyAlignment="1" applyProtection="1">
      <protection hidden="1"/>
    </xf>
    <xf numFmtId="171" fontId="30" fillId="5" borderId="43" xfId="4" applyNumberFormat="1" applyFont="1" applyFill="1" applyBorder="1" applyProtection="1">
      <protection locked="0"/>
    </xf>
    <xf numFmtId="171" fontId="30" fillId="0" borderId="7" xfId="4" applyNumberFormat="1" applyFont="1" applyFill="1" applyBorder="1" applyProtection="1">
      <protection hidden="1"/>
    </xf>
    <xf numFmtId="0" fontId="3" fillId="0" borderId="0" xfId="0" applyFont="1" applyProtection="1">
      <protection hidden="1"/>
    </xf>
    <xf numFmtId="0" fontId="3" fillId="0" borderId="0" xfId="0" applyFont="1" applyAlignment="1" applyProtection="1">
      <alignment vertical="justify"/>
      <protection hidden="1"/>
    </xf>
    <xf numFmtId="0" fontId="3" fillId="0" borderId="0" xfId="0" applyFont="1" applyAlignment="1" applyProtection="1">
      <alignment horizontal="center"/>
      <protection hidden="1"/>
    </xf>
    <xf numFmtId="9" fontId="9" fillId="0" borderId="0" xfId="11" applyFont="1" applyProtection="1">
      <protection hidden="1"/>
    </xf>
    <xf numFmtId="167" fontId="92" fillId="0" borderId="9" xfId="6" applyNumberFormat="1" applyFont="1" applyBorder="1" applyProtection="1">
      <protection locked="0"/>
    </xf>
    <xf numFmtId="0" fontId="3" fillId="20" borderId="148" xfId="0" applyFont="1" applyFill="1" applyBorder="1" applyAlignment="1" applyProtection="1">
      <alignment horizontal="center"/>
      <protection hidden="1"/>
    </xf>
    <xf numFmtId="171" fontId="9" fillId="20" borderId="156" xfId="4" applyNumberFormat="1" applyFont="1" applyFill="1" applyBorder="1" applyProtection="1">
      <protection locked="0"/>
    </xf>
    <xf numFmtId="0" fontId="9" fillId="0" borderId="0" xfId="0" applyFont="1" applyAlignment="1" applyProtection="1">
      <alignment horizontal="left" vertical="justify"/>
      <protection hidden="1"/>
    </xf>
    <xf numFmtId="0" fontId="9" fillId="8" borderId="0" xfId="0" applyFont="1" applyFill="1" applyAlignment="1" applyProtection="1">
      <alignment horizontal="left" vertical="center"/>
      <protection hidden="1"/>
    </xf>
    <xf numFmtId="0" fontId="3" fillId="0" borderId="0" xfId="0" applyFont="1" applyAlignment="1" applyProtection="1">
      <alignment horizontal="left"/>
      <protection hidden="1"/>
    </xf>
    <xf numFmtId="0" fontId="9" fillId="0" borderId="0" xfId="0" applyFont="1" applyAlignment="1" applyProtection="1">
      <alignment horizontal="justify" vertical="justify"/>
      <protection hidden="1"/>
    </xf>
    <xf numFmtId="0" fontId="9" fillId="20" borderId="150" xfId="0" applyFont="1" applyFill="1" applyBorder="1" applyAlignment="1" applyProtection="1">
      <alignment horizontal="left" vertical="justify"/>
      <protection hidden="1"/>
    </xf>
    <xf numFmtId="0" fontId="26" fillId="0" borderId="163" xfId="0" applyFont="1" applyBorder="1" applyAlignment="1" applyProtection="1">
      <alignment horizontal="left" vertical="justify"/>
      <protection hidden="1"/>
    </xf>
    <xf numFmtId="0" fontId="9" fillId="0" borderId="150" xfId="0" applyFont="1" applyBorder="1" applyAlignment="1" applyProtection="1">
      <alignment horizontal="left"/>
      <protection hidden="1"/>
    </xf>
    <xf numFmtId="0" fontId="26" fillId="20" borderId="163" xfId="0" applyFont="1" applyFill="1" applyBorder="1" applyAlignment="1" applyProtection="1">
      <alignment horizontal="left" vertical="justify"/>
      <protection hidden="1"/>
    </xf>
    <xf numFmtId="0" fontId="10" fillId="0" borderId="170" xfId="0" applyFont="1" applyBorder="1" applyAlignment="1" applyProtection="1">
      <alignment horizontal="left" wrapText="1"/>
      <protection hidden="1"/>
    </xf>
    <xf numFmtId="0" fontId="10" fillId="0" borderId="170" xfId="0" applyFont="1" applyBorder="1" applyAlignment="1" applyProtection="1">
      <alignment horizontal="left" vertical="justify"/>
      <protection hidden="1"/>
    </xf>
    <xf numFmtId="0" fontId="10" fillId="20" borderId="172" xfId="0" applyFont="1" applyFill="1" applyBorder="1" applyAlignment="1" applyProtection="1">
      <alignment horizontal="left" vertical="center" wrapText="1"/>
      <protection hidden="1"/>
    </xf>
    <xf numFmtId="0" fontId="9" fillId="0" borderId="150" xfId="0" applyFont="1" applyBorder="1" applyAlignment="1" applyProtection="1">
      <alignment horizontal="justify" vertical="justify"/>
      <protection hidden="1"/>
    </xf>
    <xf numFmtId="0" fontId="9" fillId="0" borderId="150" xfId="0" applyFont="1" applyBorder="1" applyAlignment="1" applyProtection="1">
      <alignment horizontal="left" vertical="justify"/>
      <protection hidden="1"/>
    </xf>
    <xf numFmtId="0" fontId="10" fillId="20" borderId="153" xfId="0" applyFont="1" applyFill="1" applyBorder="1" applyAlignment="1" applyProtection="1">
      <alignment horizontal="left" vertical="justify"/>
      <protection hidden="1"/>
    </xf>
    <xf numFmtId="0" fontId="9" fillId="0" borderId="151" xfId="0" applyFont="1" applyBorder="1" applyAlignment="1" applyProtection="1">
      <alignment horizontal="left" vertical="center"/>
      <protection hidden="1"/>
    </xf>
    <xf numFmtId="0" fontId="9" fillId="20" borderId="149" xfId="0" applyFont="1" applyFill="1" applyBorder="1" applyAlignment="1" applyProtection="1">
      <alignment horizontal="justify" vertical="justify"/>
      <protection hidden="1"/>
    </xf>
    <xf numFmtId="0" fontId="26" fillId="20" borderId="150" xfId="0" applyFont="1" applyFill="1" applyBorder="1" applyAlignment="1" applyProtection="1">
      <alignment horizontal="left" vertical="justify"/>
      <protection hidden="1"/>
    </xf>
    <xf numFmtId="0" fontId="9" fillId="20" borderId="151" xfId="0" applyFont="1" applyFill="1" applyBorder="1" applyAlignment="1" applyProtection="1">
      <alignment horizontal="left"/>
      <protection hidden="1"/>
    </xf>
    <xf numFmtId="0" fontId="9" fillId="20" borderId="149" xfId="0" applyFont="1" applyFill="1" applyBorder="1" applyAlignment="1" applyProtection="1">
      <alignment horizontal="left" vertical="justify"/>
      <protection hidden="1"/>
    </xf>
    <xf numFmtId="167" fontId="21" fillId="0" borderId="3" xfId="5" applyNumberFormat="1" applyFont="1" applyFill="1" applyBorder="1" applyAlignment="1" applyProtection="1">
      <alignment horizontal="center" vertical="center"/>
      <protection hidden="1"/>
    </xf>
    <xf numFmtId="0" fontId="15" fillId="0" borderId="0" xfId="0" applyFont="1" applyAlignment="1">
      <alignment horizontal="center" vertical="justify" textRotation="90"/>
    </xf>
    <xf numFmtId="0" fontId="4" fillId="0" borderId="150" xfId="0" applyFont="1" applyBorder="1" applyAlignment="1" applyProtection="1">
      <alignment horizontal="justify" vertical="justify"/>
      <protection hidden="1"/>
    </xf>
    <xf numFmtId="0" fontId="5" fillId="0" borderId="0" xfId="0" applyFont="1" applyAlignment="1" applyProtection="1">
      <alignment horizontal="center"/>
      <protection hidden="1"/>
    </xf>
    <xf numFmtId="167" fontId="0" fillId="0" borderId="0" xfId="5" applyNumberFormat="1" applyFont="1" applyBorder="1" applyProtection="1">
      <protection hidden="1"/>
    </xf>
    <xf numFmtId="167" fontId="60" fillId="0" borderId="0" xfId="6" applyNumberFormat="1" applyFont="1" applyBorder="1" applyProtection="1">
      <protection hidden="1"/>
    </xf>
    <xf numFmtId="0" fontId="6" fillId="5" borderId="33" xfId="0" applyFont="1" applyFill="1" applyBorder="1" applyAlignment="1">
      <alignment horizontal="left"/>
    </xf>
    <xf numFmtId="0" fontId="0" fillId="5" borderId="33" xfId="0" applyFill="1" applyBorder="1"/>
    <xf numFmtId="0" fontId="6" fillId="5" borderId="40" xfId="0" applyFont="1" applyFill="1" applyBorder="1" applyAlignment="1">
      <alignment horizontal="right"/>
    </xf>
    <xf numFmtId="0" fontId="6" fillId="5" borderId="61" xfId="0" applyFont="1" applyFill="1" applyBorder="1" applyAlignment="1">
      <alignment horizontal="right"/>
    </xf>
    <xf numFmtId="0" fontId="0" fillId="21" borderId="0" xfId="0" applyFill="1" applyAlignment="1" applyProtection="1">
      <alignment horizontal="center"/>
      <protection hidden="1"/>
    </xf>
    <xf numFmtId="0" fontId="0" fillId="20" borderId="180" xfId="0" applyFill="1" applyBorder="1" applyAlignment="1" applyProtection="1">
      <alignment horizontal="center"/>
      <protection hidden="1"/>
    </xf>
    <xf numFmtId="0" fontId="0" fillId="20" borderId="179" xfId="0" applyFill="1" applyBorder="1" applyAlignment="1" applyProtection="1">
      <alignment horizontal="center"/>
      <protection hidden="1"/>
    </xf>
    <xf numFmtId="0" fontId="0" fillId="0" borderId="180" xfId="0" applyBorder="1" applyAlignment="1" applyProtection="1">
      <alignment horizontal="center"/>
      <protection hidden="1"/>
    </xf>
    <xf numFmtId="0" fontId="0" fillId="20" borderId="181" xfId="0" applyFill="1" applyBorder="1" applyAlignment="1" applyProtection="1">
      <alignment horizontal="center"/>
      <protection hidden="1"/>
    </xf>
    <xf numFmtId="0" fontId="0" fillId="20" borderId="182" xfId="0" applyFill="1" applyBorder="1" applyAlignment="1" applyProtection="1">
      <alignment horizontal="center"/>
      <protection hidden="1"/>
    </xf>
    <xf numFmtId="0" fontId="0" fillId="21" borderId="183" xfId="0" applyFill="1" applyBorder="1"/>
    <xf numFmtId="0" fontId="0" fillId="20" borderId="183" xfId="0" applyFill="1" applyBorder="1" applyAlignment="1" applyProtection="1">
      <alignment horizontal="center"/>
      <protection hidden="1"/>
    </xf>
    <xf numFmtId="0" fontId="0" fillId="20" borderId="184" xfId="0" applyFill="1" applyBorder="1" applyAlignment="1" applyProtection="1">
      <alignment horizontal="center"/>
      <protection hidden="1"/>
    </xf>
    <xf numFmtId="0" fontId="0" fillId="0" borderId="183" xfId="0" applyBorder="1" applyAlignment="1" applyProtection="1">
      <alignment horizontal="center"/>
      <protection hidden="1"/>
    </xf>
    <xf numFmtId="0" fontId="0" fillId="0" borderId="184" xfId="0" applyBorder="1" applyAlignment="1" applyProtection="1">
      <alignment horizontal="center"/>
      <protection hidden="1"/>
    </xf>
    <xf numFmtId="167" fontId="0" fillId="21" borderId="0" xfId="5" applyNumberFormat="1" applyFont="1" applyFill="1" applyBorder="1" applyAlignment="1" applyProtection="1">
      <alignment horizontal="center"/>
      <protection hidden="1"/>
    </xf>
    <xf numFmtId="0" fontId="0" fillId="20" borderId="178" xfId="0" applyFill="1" applyBorder="1" applyAlignment="1" applyProtection="1">
      <alignment horizontal="center"/>
      <protection hidden="1"/>
    </xf>
    <xf numFmtId="0" fontId="16" fillId="20" borderId="185" xfId="0" applyFont="1" applyFill="1" applyBorder="1" applyAlignment="1" applyProtection="1">
      <alignment horizontal="center"/>
      <protection hidden="1"/>
    </xf>
    <xf numFmtId="0" fontId="5" fillId="20" borderId="183" xfId="0" applyFont="1" applyFill="1" applyBorder="1" applyAlignment="1" applyProtection="1">
      <alignment horizontal="center"/>
      <protection hidden="1"/>
    </xf>
    <xf numFmtId="167" fontId="0" fillId="0" borderId="143" xfId="5" applyNumberFormat="1" applyFont="1" applyBorder="1"/>
    <xf numFmtId="0" fontId="16" fillId="0" borderId="185" xfId="0" applyFont="1" applyBorder="1" applyAlignment="1" applyProtection="1">
      <alignment horizontal="center"/>
      <protection hidden="1"/>
    </xf>
    <xf numFmtId="0" fontId="10" fillId="0" borderId="0" xfId="0" applyFont="1" applyAlignment="1" applyProtection="1">
      <alignment horizontal="center" vertical="center" textRotation="90"/>
      <protection hidden="1"/>
    </xf>
    <xf numFmtId="0" fontId="4" fillId="20" borderId="162" xfId="0" applyFont="1" applyFill="1" applyBorder="1" applyAlignment="1" applyProtection="1">
      <alignment horizontal="left" vertical="center"/>
      <protection hidden="1"/>
    </xf>
    <xf numFmtId="0" fontId="3" fillId="20" borderId="151" xfId="0" applyFont="1" applyFill="1" applyBorder="1" applyAlignment="1" applyProtection="1">
      <alignment horizontal="center"/>
      <protection hidden="1"/>
    </xf>
    <xf numFmtId="171" fontId="9" fillId="20" borderId="158" xfId="4" applyNumberFormat="1" applyFont="1" applyFill="1" applyBorder="1" applyProtection="1">
      <protection locked="0"/>
    </xf>
    <xf numFmtId="0" fontId="3" fillId="0" borderId="0" xfId="0" applyFont="1" applyAlignment="1">
      <alignment horizontal="left" vertical="justify"/>
    </xf>
    <xf numFmtId="0" fontId="0" fillId="0" borderId="0" xfId="0" applyAlignment="1">
      <alignment horizontal="left" vertical="justify"/>
    </xf>
    <xf numFmtId="0" fontId="0" fillId="0" borderId="0" xfId="0" applyAlignment="1">
      <alignment horizontal="center" vertical="center"/>
    </xf>
    <xf numFmtId="0" fontId="10" fillId="0" borderId="0" xfId="0" applyFont="1" applyAlignment="1">
      <alignment vertical="justify"/>
    </xf>
    <xf numFmtId="0" fontId="10" fillId="0" borderId="0" xfId="0" applyFont="1" applyAlignment="1">
      <alignment horizontal="center" vertical="center"/>
    </xf>
    <xf numFmtId="0" fontId="10" fillId="0" borderId="0" xfId="0" applyFont="1"/>
    <xf numFmtId="0" fontId="9" fillId="0" borderId="0" xfId="0" applyFont="1" applyAlignment="1">
      <alignment horizontal="center" vertical="center"/>
    </xf>
    <xf numFmtId="167" fontId="0" fillId="0" borderId="0" xfId="5" applyNumberFormat="1" applyFont="1" applyBorder="1" applyProtection="1">
      <protection locked="0"/>
    </xf>
    <xf numFmtId="171" fontId="20" fillId="0" borderId="5" xfId="4" applyNumberFormat="1" applyFont="1" applyBorder="1" applyAlignment="1" applyProtection="1">
      <alignment horizontal="center" vertical="center"/>
      <protection hidden="1"/>
    </xf>
    <xf numFmtId="0" fontId="0" fillId="0" borderId="200" xfId="0" applyBorder="1" applyAlignment="1">
      <alignment horizontal="center" vertical="center"/>
    </xf>
    <xf numFmtId="0" fontId="5" fillId="0" borderId="200" xfId="0" applyFont="1" applyBorder="1" applyAlignment="1">
      <alignment vertical="justify"/>
    </xf>
    <xf numFmtId="0" fontId="10" fillId="0" borderId="200" xfId="0" applyFont="1" applyBorder="1" applyAlignment="1">
      <alignment vertical="justify"/>
    </xf>
    <xf numFmtId="0" fontId="10" fillId="0" borderId="200" xfId="0" applyFont="1" applyBorder="1" applyAlignment="1">
      <alignment horizontal="center" vertical="center"/>
    </xf>
    <xf numFmtId="0" fontId="9" fillId="0" borderId="200" xfId="0" applyFont="1" applyBorder="1" applyAlignment="1">
      <alignment horizontal="center" vertical="center"/>
    </xf>
    <xf numFmtId="0" fontId="3" fillId="20" borderId="158" xfId="0" applyFont="1" applyFill="1" applyBorder="1" applyAlignment="1" applyProtection="1">
      <alignment horizontal="center"/>
      <protection hidden="1"/>
    </xf>
    <xf numFmtId="0" fontId="0" fillId="5" borderId="0" xfId="0" applyFill="1" applyAlignment="1">
      <alignment horizontal="center"/>
    </xf>
    <xf numFmtId="0" fontId="9" fillId="0" borderId="208" xfId="0" applyFont="1" applyBorder="1" applyAlignment="1">
      <alignment horizontal="center" vertical="center"/>
    </xf>
    <xf numFmtId="167" fontId="9" fillId="0" borderId="208" xfId="5" applyNumberFormat="1" applyFont="1" applyBorder="1"/>
    <xf numFmtId="167" fontId="9" fillId="0" borderId="209" xfId="5" applyNumberFormat="1" applyFont="1" applyBorder="1" applyProtection="1">
      <protection locked="0"/>
    </xf>
    <xf numFmtId="0" fontId="0" fillId="0" borderId="152" xfId="0" applyBorder="1" applyAlignment="1" applyProtection="1">
      <alignment horizontal="center"/>
      <protection hidden="1"/>
    </xf>
    <xf numFmtId="0" fontId="0" fillId="20" borderId="152" xfId="0" applyFill="1" applyBorder="1" applyAlignment="1" applyProtection="1">
      <alignment horizontal="center"/>
      <protection hidden="1"/>
    </xf>
    <xf numFmtId="0" fontId="0" fillId="0" borderId="161" xfId="0" applyBorder="1" applyAlignment="1" applyProtection="1">
      <alignment horizontal="center"/>
      <protection hidden="1"/>
    </xf>
    <xf numFmtId="0" fontId="0" fillId="20" borderId="159" xfId="0" applyFill="1" applyBorder="1" applyAlignment="1" applyProtection="1">
      <alignment horizontal="center"/>
      <protection hidden="1"/>
    </xf>
    <xf numFmtId="0" fontId="0" fillId="20" borderId="161" xfId="0" applyFill="1" applyBorder="1" applyAlignment="1" applyProtection="1">
      <alignment horizontal="center"/>
      <protection hidden="1"/>
    </xf>
    <xf numFmtId="0" fontId="0" fillId="0" borderId="159" xfId="0" applyBorder="1" applyAlignment="1" applyProtection="1">
      <alignment horizontal="center"/>
      <protection hidden="1"/>
    </xf>
    <xf numFmtId="167" fontId="0" fillId="0" borderId="200" xfId="5" applyNumberFormat="1" applyFont="1" applyBorder="1"/>
    <xf numFmtId="0" fontId="18" fillId="0" borderId="39" xfId="0" applyFont="1" applyBorder="1" applyAlignment="1" applyProtection="1">
      <alignment horizontal="center" vertical="justify"/>
      <protection hidden="1"/>
    </xf>
    <xf numFmtId="167" fontId="9" fillId="5" borderId="43" xfId="5" applyNumberFormat="1" applyFont="1" applyFill="1" applyBorder="1" applyProtection="1">
      <protection locked="0"/>
    </xf>
    <xf numFmtId="0" fontId="27" fillId="0" borderId="42" xfId="0" applyFont="1" applyBorder="1" applyAlignment="1" applyProtection="1">
      <alignment horizontal="left" vertical="justify"/>
      <protection hidden="1"/>
    </xf>
    <xf numFmtId="167" fontId="3" fillId="5" borderId="1" xfId="5" applyNumberFormat="1" applyFont="1" applyFill="1" applyBorder="1" applyAlignment="1" applyProtection="1">
      <alignment horizontal="center"/>
      <protection locked="0"/>
    </xf>
    <xf numFmtId="0" fontId="8" fillId="17" borderId="29" xfId="0" applyFont="1" applyFill="1" applyBorder="1" applyAlignment="1" applyProtection="1">
      <alignment horizontal="center"/>
      <protection locked="0"/>
    </xf>
    <xf numFmtId="0" fontId="0" fillId="21" borderId="0" xfId="0" applyFill="1"/>
    <xf numFmtId="0" fontId="0" fillId="0" borderId="208" xfId="0" applyBorder="1" applyAlignment="1">
      <alignment horizontal="center" vertical="center"/>
    </xf>
    <xf numFmtId="0" fontId="0" fillId="0" borderId="208" xfId="0" applyBorder="1"/>
    <xf numFmtId="0" fontId="10" fillId="0" borderId="208" xfId="0" applyFont="1" applyBorder="1" applyAlignment="1">
      <alignment vertical="justify"/>
    </xf>
    <xf numFmtId="0" fontId="10" fillId="0" borderId="208" xfId="0" applyFont="1" applyBorder="1" applyAlignment="1">
      <alignment horizontal="center" vertical="center"/>
    </xf>
    <xf numFmtId="0" fontId="10" fillId="0" borderId="208" xfId="0" applyFont="1" applyBorder="1"/>
    <xf numFmtId="0" fontId="3" fillId="20" borderId="227" xfId="0" applyFont="1" applyFill="1" applyBorder="1" applyAlignment="1" applyProtection="1">
      <alignment horizontal="left" vertical="center"/>
      <protection hidden="1"/>
    </xf>
    <xf numFmtId="0" fontId="0" fillId="20" borderId="227" xfId="0" applyFill="1" applyBorder="1" applyAlignment="1" applyProtection="1">
      <alignment horizontal="center"/>
      <protection hidden="1"/>
    </xf>
    <xf numFmtId="0" fontId="0" fillId="20" borderId="227" xfId="0" applyFill="1" applyBorder="1" applyAlignment="1">
      <alignment horizontal="center"/>
    </xf>
    <xf numFmtId="0" fontId="9" fillId="20" borderId="227" xfId="0" applyFont="1" applyFill="1" applyBorder="1" applyAlignment="1">
      <alignment horizontal="center"/>
    </xf>
    <xf numFmtId="0" fontId="0" fillId="0" borderId="159" xfId="0" applyBorder="1" applyProtection="1">
      <protection hidden="1"/>
    </xf>
    <xf numFmtId="0" fontId="3" fillId="20" borderId="212" xfId="0" applyFont="1" applyFill="1" applyBorder="1" applyAlignment="1">
      <alignment horizontal="center"/>
    </xf>
    <xf numFmtId="0" fontId="3" fillId="0" borderId="183" xfId="0" applyFont="1" applyBorder="1" applyAlignment="1">
      <alignment horizontal="center"/>
    </xf>
    <xf numFmtId="0" fontId="3" fillId="20" borderId="183" xfId="0" applyFont="1" applyFill="1" applyBorder="1" applyAlignment="1">
      <alignment horizontal="center"/>
    </xf>
    <xf numFmtId="0" fontId="3" fillId="0" borderId="183" xfId="0" applyFont="1" applyBorder="1" applyAlignment="1">
      <alignment horizontal="center" vertical="center"/>
    </xf>
    <xf numFmtId="0" fontId="3" fillId="20" borderId="183" xfId="0" applyFont="1" applyFill="1" applyBorder="1" applyAlignment="1">
      <alignment horizontal="center" vertical="center"/>
    </xf>
    <xf numFmtId="0" fontId="3" fillId="0" borderId="211" xfId="0" applyFont="1" applyBorder="1" applyAlignment="1">
      <alignment horizontal="center" vertical="center"/>
    </xf>
    <xf numFmtId="0" fontId="3" fillId="0" borderId="208" xfId="0" applyFont="1" applyBorder="1" applyAlignment="1">
      <alignment horizontal="center" vertical="center"/>
    </xf>
    <xf numFmtId="0" fontId="3" fillId="20" borderId="205" xfId="0" applyFont="1" applyFill="1" applyBorder="1" applyAlignment="1">
      <alignment horizontal="center" vertical="center"/>
    </xf>
    <xf numFmtId="167" fontId="9" fillId="20" borderId="206" xfId="5" applyNumberFormat="1" applyFont="1" applyFill="1" applyBorder="1" applyProtection="1">
      <protection locked="0"/>
    </xf>
    <xf numFmtId="167" fontId="9" fillId="20" borderId="204" xfId="5" applyNumberFormat="1" applyFont="1" applyFill="1" applyBorder="1"/>
    <xf numFmtId="171" fontId="27" fillId="0" borderId="0" xfId="4" applyNumberFormat="1" applyFont="1" applyProtection="1">
      <protection hidden="1"/>
    </xf>
    <xf numFmtId="167" fontId="3" fillId="5" borderId="1" xfId="5" applyNumberFormat="1" applyFont="1" applyFill="1" applyBorder="1" applyAlignment="1" applyProtection="1">
      <alignment horizontal="left" vertical="center"/>
      <protection locked="0"/>
    </xf>
    <xf numFmtId="164" fontId="0" fillId="0" borderId="0" xfId="0" applyNumberFormat="1" applyProtection="1">
      <protection hidden="1"/>
    </xf>
    <xf numFmtId="167" fontId="3" fillId="5" borderId="27" xfId="5" applyNumberFormat="1" applyFont="1" applyFill="1" applyBorder="1" applyAlignment="1" applyProtection="1">
      <alignment horizontal="center"/>
      <protection locked="0"/>
    </xf>
    <xf numFmtId="171" fontId="0" fillId="5" borderId="1" xfId="4" applyNumberFormat="1" applyFont="1" applyFill="1" applyBorder="1" applyProtection="1">
      <protection locked="0"/>
    </xf>
    <xf numFmtId="171" fontId="11" fillId="5" borderId="1" xfId="4" applyNumberFormat="1" applyFont="1" applyFill="1" applyBorder="1" applyAlignment="1" applyProtection="1">
      <alignment horizontal="center"/>
      <protection locked="0"/>
    </xf>
    <xf numFmtId="171" fontId="11" fillId="0" borderId="1" xfId="4" applyNumberFormat="1" applyFont="1" applyFill="1" applyBorder="1" applyAlignment="1" applyProtection="1">
      <alignment horizontal="center"/>
      <protection hidden="1"/>
    </xf>
    <xf numFmtId="167" fontId="11" fillId="6" borderId="5" xfId="5" applyNumberFormat="1" applyFont="1" applyFill="1" applyBorder="1" applyAlignment="1" applyProtection="1">
      <alignment horizontal="center" vertical="center"/>
      <protection hidden="1"/>
    </xf>
    <xf numFmtId="0" fontId="68" fillId="5" borderId="4" xfId="0" applyFont="1" applyFill="1" applyBorder="1" applyAlignment="1" applyProtection="1">
      <alignment horizontal="left" vertical="center" indent="11"/>
      <protection locked="0"/>
    </xf>
    <xf numFmtId="0" fontId="68" fillId="5" borderId="26" xfId="0" applyFont="1" applyFill="1" applyBorder="1" applyAlignment="1" applyProtection="1">
      <alignment horizontal="left" vertical="center" indent="9"/>
      <protection locked="0"/>
    </xf>
    <xf numFmtId="0" fontId="9" fillId="0" borderId="143" xfId="0" applyFont="1" applyBorder="1" applyAlignment="1">
      <alignment vertical="justify"/>
    </xf>
    <xf numFmtId="0" fontId="26" fillId="0" borderId="143" xfId="0" applyFont="1" applyBorder="1" applyAlignment="1">
      <alignment vertical="justify"/>
    </xf>
    <xf numFmtId="0" fontId="26" fillId="0" borderId="142" xfId="0" applyFont="1" applyBorder="1" applyAlignment="1">
      <alignment vertical="justify"/>
    </xf>
    <xf numFmtId="0" fontId="72" fillId="5" borderId="232" xfId="0" applyFont="1" applyFill="1" applyBorder="1" applyAlignment="1" applyProtection="1">
      <alignment horizontal="left" vertical="center" indent="12"/>
      <protection locked="0"/>
    </xf>
    <xf numFmtId="0" fontId="66" fillId="5" borderId="142" xfId="0" applyFont="1" applyFill="1" applyBorder="1" applyAlignment="1" applyProtection="1">
      <alignment horizontal="left" vertical="center" indent="12"/>
      <protection locked="0"/>
    </xf>
    <xf numFmtId="0" fontId="21" fillId="0" borderId="143" xfId="0" applyFont="1" applyBorder="1" applyAlignment="1" applyProtection="1">
      <alignment horizontal="left" indent="1"/>
      <protection hidden="1"/>
    </xf>
    <xf numFmtId="0" fontId="4" fillId="0" borderId="143" xfId="0" applyFont="1" applyBorder="1" applyAlignment="1" applyProtection="1">
      <alignment horizontal="left" indent="1"/>
      <protection hidden="1"/>
    </xf>
    <xf numFmtId="0" fontId="4" fillId="0" borderId="143" xfId="0" applyFont="1" applyBorder="1" applyAlignment="1">
      <alignment horizontal="left" indent="1"/>
    </xf>
    <xf numFmtId="0" fontId="3" fillId="0" borderId="143" xfId="0" applyFont="1" applyBorder="1" applyAlignment="1" applyProtection="1">
      <alignment horizontal="left" indent="1"/>
      <protection hidden="1"/>
    </xf>
    <xf numFmtId="0" fontId="74" fillId="0" borderId="143" xfId="0" applyFont="1" applyBorder="1" applyAlignment="1" applyProtection="1">
      <alignment horizontal="left" indent="1"/>
      <protection hidden="1"/>
    </xf>
    <xf numFmtId="0" fontId="26" fillId="0" borderId="143" xfId="0" applyFont="1" applyBorder="1" applyAlignment="1" applyProtection="1">
      <alignment horizontal="left" indent="3"/>
      <protection hidden="1"/>
    </xf>
    <xf numFmtId="0" fontId="26" fillId="0" borderId="143" xfId="0" applyFont="1" applyBorder="1" applyAlignment="1" applyProtection="1">
      <alignment horizontal="left" indent="1"/>
      <protection hidden="1"/>
    </xf>
    <xf numFmtId="0" fontId="26" fillId="0" borderId="143" xfId="0" applyFont="1" applyBorder="1" applyAlignment="1">
      <alignment horizontal="left" vertical="justify" indent="1"/>
    </xf>
    <xf numFmtId="0" fontId="9" fillId="0" borderId="143" xfId="0" applyFont="1" applyBorder="1" applyAlignment="1">
      <alignment horizontal="left" vertical="justify" indent="1"/>
    </xf>
    <xf numFmtId="0" fontId="9" fillId="0" borderId="143" xfId="0" applyFont="1" applyBorder="1" applyAlignment="1">
      <alignment horizontal="left" indent="1"/>
    </xf>
    <xf numFmtId="0" fontId="15" fillId="0" borderId="143" xfId="0" applyFont="1" applyBorder="1" applyAlignment="1">
      <alignment horizontal="left" vertical="justify"/>
    </xf>
    <xf numFmtId="171" fontId="3" fillId="0" borderId="142" xfId="4" applyNumberFormat="1" applyFont="1" applyBorder="1" applyAlignment="1" applyProtection="1">
      <alignment horizontal="left"/>
      <protection hidden="1"/>
    </xf>
    <xf numFmtId="171" fontId="94" fillId="0" borderId="142" xfId="4" applyNumberFormat="1" applyFont="1" applyBorder="1" applyAlignment="1"/>
    <xf numFmtId="171" fontId="87" fillId="0" borderId="142" xfId="4" applyNumberFormat="1" applyFont="1" applyBorder="1"/>
    <xf numFmtId="171" fontId="3" fillId="0" borderId="142" xfId="4" applyNumberFormat="1" applyFont="1" applyBorder="1"/>
    <xf numFmtId="0" fontId="0" fillId="16" borderId="14" xfId="0" applyFill="1" applyBorder="1" applyAlignment="1" applyProtection="1">
      <alignment horizontal="center"/>
      <protection hidden="1"/>
    </xf>
    <xf numFmtId="0" fontId="7" fillId="0" borderId="233" xfId="0" applyFont="1" applyBorder="1"/>
    <xf numFmtId="171" fontId="0" fillId="0" borderId="235" xfId="4" applyNumberFormat="1" applyFont="1" applyBorder="1"/>
    <xf numFmtId="0" fontId="9" fillId="0" borderId="143" xfId="0" applyFont="1" applyBorder="1"/>
    <xf numFmtId="171" fontId="3" fillId="0" borderId="143" xfId="4" applyNumberFormat="1" applyFont="1" applyFill="1" applyBorder="1" applyAlignment="1" applyProtection="1">
      <alignment horizontal="left"/>
      <protection hidden="1"/>
    </xf>
    <xf numFmtId="0" fontId="7" fillId="0" borderId="143" xfId="0" applyFont="1" applyBorder="1"/>
    <xf numFmtId="0" fontId="3" fillId="0" borderId="143" xfId="0" applyFont="1" applyBorder="1" applyAlignment="1">
      <alignment horizontal="left" indent="1"/>
    </xf>
    <xf numFmtId="171" fontId="94" fillId="0" borderId="143" xfId="4" applyNumberFormat="1" applyFont="1" applyBorder="1" applyAlignment="1"/>
    <xf numFmtId="43" fontId="0" fillId="0" borderId="143" xfId="4" applyFont="1" applyBorder="1"/>
    <xf numFmtId="171" fontId="7" fillId="23" borderId="0" xfId="4" applyNumberFormat="1" applyFont="1" applyFill="1" applyBorder="1" applyAlignment="1" applyProtection="1">
      <alignment horizontal="center"/>
      <protection hidden="1"/>
    </xf>
    <xf numFmtId="167" fontId="3" fillId="0" borderId="0" xfId="5" applyNumberFormat="1" applyFont="1"/>
    <xf numFmtId="0" fontId="7" fillId="16" borderId="14" xfId="0" applyFont="1" applyFill="1" applyBorder="1" applyAlignment="1" applyProtection="1">
      <alignment horizontal="center"/>
      <protection hidden="1"/>
    </xf>
    <xf numFmtId="9" fontId="5" fillId="23" borderId="14" xfId="11" applyFont="1" applyFill="1" applyBorder="1" applyAlignment="1" applyProtection="1">
      <alignment horizontal="center"/>
      <protection hidden="1"/>
    </xf>
    <xf numFmtId="0" fontId="26" fillId="22" borderId="14" xfId="0" applyFont="1" applyFill="1" applyBorder="1"/>
    <xf numFmtId="0" fontId="26" fillId="0" borderId="143" xfId="0" applyFont="1" applyBorder="1" applyAlignment="1" applyProtection="1">
      <alignment horizontal="justify" vertical="justify"/>
      <protection hidden="1"/>
    </xf>
    <xf numFmtId="0" fontId="0" fillId="0" borderId="143" xfId="0" applyBorder="1"/>
    <xf numFmtId="0" fontId="9" fillId="0" borderId="143" xfId="0" applyFont="1" applyBorder="1" applyAlignment="1">
      <alignment horizontal="left" vertical="center" indent="1"/>
    </xf>
    <xf numFmtId="0" fontId="7" fillId="0" borderId="143" xfId="0" applyFont="1" applyBorder="1" applyAlignment="1">
      <alignment vertical="center"/>
    </xf>
    <xf numFmtId="0" fontId="74" fillId="0" borderId="143" xfId="0" applyFont="1" applyBorder="1" applyProtection="1">
      <protection hidden="1"/>
    </xf>
    <xf numFmtId="171" fontId="3" fillId="0" borderId="143" xfId="4" applyNumberFormat="1" applyFont="1" applyBorder="1" applyAlignment="1">
      <alignment vertical="center"/>
    </xf>
    <xf numFmtId="171" fontId="0" fillId="20" borderId="15" xfId="0" applyNumberFormat="1" applyFill="1" applyBorder="1" applyAlignment="1">
      <alignment vertical="center"/>
    </xf>
    <xf numFmtId="0" fontId="26" fillId="22" borderId="14" xfId="0" applyFont="1" applyFill="1" applyBorder="1" applyAlignment="1">
      <alignment horizontal="center" vertical="center"/>
    </xf>
    <xf numFmtId="0" fontId="5" fillId="0" borderId="64" xfId="0" applyFont="1" applyBorder="1"/>
    <xf numFmtId="0" fontId="3" fillId="9" borderId="64" xfId="0" applyFont="1" applyFill="1" applyBorder="1" applyAlignment="1">
      <alignment horizontal="center"/>
    </xf>
    <xf numFmtId="171" fontId="4" fillId="0" borderId="143" xfId="4" applyNumberFormat="1" applyFont="1" applyBorder="1" applyAlignment="1" applyProtection="1">
      <alignment horizontal="right" vertical="center"/>
      <protection hidden="1"/>
    </xf>
    <xf numFmtId="0" fontId="0" fillId="20" borderId="67" xfId="0" applyFill="1" applyBorder="1" applyAlignment="1" applyProtection="1">
      <alignment horizontal="center"/>
      <protection hidden="1"/>
    </xf>
    <xf numFmtId="0" fontId="9" fillId="20" borderId="67" xfId="0" applyFont="1" applyFill="1" applyBorder="1" applyAlignment="1" applyProtection="1">
      <alignment horizontal="left" vertical="center"/>
      <protection hidden="1"/>
    </xf>
    <xf numFmtId="167" fontId="9" fillId="0" borderId="67" xfId="5" applyNumberFormat="1" applyFont="1" applyBorder="1" applyAlignment="1" applyProtection="1">
      <alignment horizontal="center"/>
      <protection hidden="1"/>
    </xf>
    <xf numFmtId="0" fontId="0" fillId="20" borderId="67" xfId="0" applyFill="1" applyBorder="1" applyAlignment="1">
      <alignment vertical="center"/>
    </xf>
    <xf numFmtId="0" fontId="5" fillId="0" borderId="143" xfId="0" applyFont="1" applyBorder="1"/>
    <xf numFmtId="0" fontId="9" fillId="0" borderId="143" xfId="0" applyFont="1" applyBorder="1" applyAlignment="1" applyProtection="1">
      <alignment horizontal="left" indent="1"/>
      <protection hidden="1"/>
    </xf>
    <xf numFmtId="171" fontId="6" fillId="5" borderId="32" xfId="4" applyNumberFormat="1" applyFont="1" applyFill="1" applyBorder="1" applyAlignment="1" applyProtection="1">
      <alignment horizontal="center"/>
      <protection locked="0"/>
    </xf>
    <xf numFmtId="14" fontId="79" fillId="0" borderId="5" xfId="0" applyNumberFormat="1" applyFont="1" applyBorder="1" applyAlignment="1">
      <alignment horizontal="center"/>
    </xf>
    <xf numFmtId="0" fontId="69" fillId="0" borderId="14" xfId="0" applyFont="1" applyBorder="1"/>
    <xf numFmtId="0" fontId="69" fillId="0" borderId="15" xfId="0" applyFont="1" applyBorder="1"/>
    <xf numFmtId="14" fontId="79" fillId="0" borderId="7" xfId="0" applyNumberFormat="1" applyFont="1" applyBorder="1" applyAlignment="1">
      <alignment horizontal="center"/>
    </xf>
    <xf numFmtId="0" fontId="5" fillId="6" borderId="39" xfId="0" applyFont="1" applyFill="1" applyBorder="1" applyAlignment="1" applyProtection="1">
      <alignment horizontal="center"/>
      <protection hidden="1"/>
    </xf>
    <xf numFmtId="167" fontId="6" fillId="5" borderId="43" xfId="5" applyNumberFormat="1" applyFont="1" applyFill="1" applyBorder="1" applyProtection="1">
      <protection locked="0"/>
    </xf>
    <xf numFmtId="167" fontId="5" fillId="6" borderId="45" xfId="5" applyNumberFormat="1" applyFont="1" applyFill="1" applyBorder="1" applyAlignment="1" applyProtection="1">
      <alignment vertical="center"/>
      <protection hidden="1"/>
    </xf>
    <xf numFmtId="0" fontId="9" fillId="0" borderId="143" xfId="0" applyFont="1" applyBorder="1" applyAlignment="1">
      <alignment horizontal="justify" vertical="justify"/>
    </xf>
    <xf numFmtId="0" fontId="26" fillId="0" borderId="143" xfId="0" applyFont="1" applyBorder="1" applyAlignment="1">
      <alignment horizontal="justify" vertical="justify"/>
    </xf>
    <xf numFmtId="0" fontId="26" fillId="0" borderId="143" xfId="0" applyFont="1" applyBorder="1" applyAlignment="1">
      <alignment horizontal="justify" vertical="center"/>
    </xf>
    <xf numFmtId="0" fontId="9" fillId="0" borderId="143" xfId="0" applyFont="1" applyBorder="1" applyAlignment="1">
      <alignment horizontal="left" vertical="center" indent="2"/>
    </xf>
    <xf numFmtId="0" fontId="26" fillId="0" borderId="143" xfId="0" applyFont="1" applyBorder="1" applyAlignment="1">
      <alignment horizontal="left" vertical="justify" indent="2"/>
    </xf>
    <xf numFmtId="0" fontId="26" fillId="0" borderId="143" xfId="0" applyFont="1" applyBorder="1" applyAlignment="1">
      <alignment horizontal="left" vertical="center" indent="2"/>
    </xf>
    <xf numFmtId="171" fontId="25" fillId="0" borderId="145" xfId="4" applyNumberFormat="1" applyFont="1" applyBorder="1" applyAlignment="1" applyProtection="1">
      <alignment horizontal="left"/>
      <protection hidden="1"/>
    </xf>
    <xf numFmtId="0" fontId="0" fillId="0" borderId="17" xfId="0" applyBorder="1" applyAlignment="1" applyProtection="1">
      <alignment horizontal="center"/>
      <protection hidden="1"/>
    </xf>
    <xf numFmtId="0" fontId="7" fillId="0" borderId="12" xfId="0" applyFont="1" applyBorder="1"/>
    <xf numFmtId="0" fontId="5" fillId="20" borderId="246" xfId="0" applyFont="1" applyFill="1" applyBorder="1" applyAlignment="1">
      <alignment vertical="center"/>
    </xf>
    <xf numFmtId="0" fontId="5" fillId="20" borderId="247" xfId="0" applyFont="1" applyFill="1" applyBorder="1" applyAlignment="1">
      <alignment vertical="center"/>
    </xf>
    <xf numFmtId="0" fontId="5" fillId="20" borderId="246" xfId="0" applyFont="1" applyFill="1" applyBorder="1" applyAlignment="1">
      <alignment vertical="justify"/>
    </xf>
    <xf numFmtId="0" fontId="15" fillId="20" borderId="247" xfId="0" applyFont="1" applyFill="1" applyBorder="1" applyAlignment="1">
      <alignment vertical="justify"/>
    </xf>
    <xf numFmtId="0" fontId="15" fillId="20" borderId="247" xfId="0" applyFont="1" applyFill="1" applyBorder="1" applyAlignment="1">
      <alignment vertical="center"/>
    </xf>
    <xf numFmtId="0" fontId="10" fillId="6" borderId="40" xfId="0" applyFont="1" applyFill="1" applyBorder="1" applyAlignment="1" applyProtection="1">
      <alignment horizontal="left" vertical="center"/>
      <protection hidden="1"/>
    </xf>
    <xf numFmtId="0" fontId="18" fillId="6" borderId="26" xfId="0" applyFont="1" applyFill="1" applyBorder="1" applyAlignment="1" applyProtection="1">
      <alignment horizontal="left" vertical="justify"/>
      <protection hidden="1"/>
    </xf>
    <xf numFmtId="171" fontId="4" fillId="5" borderId="4" xfId="4" applyNumberFormat="1" applyFont="1" applyFill="1" applyBorder="1" applyAlignment="1" applyProtection="1">
      <alignment horizontal="left"/>
      <protection locked="0"/>
    </xf>
    <xf numFmtId="167" fontId="0" fillId="5" borderId="60" xfId="0" applyNumberFormat="1" applyFill="1" applyBorder="1" applyAlignment="1">
      <alignment horizontal="center"/>
    </xf>
    <xf numFmtId="167" fontId="0" fillId="5" borderId="61" xfId="0" applyNumberFormat="1" applyFill="1" applyBorder="1" applyAlignment="1">
      <alignment horizontal="center"/>
    </xf>
    <xf numFmtId="167" fontId="0" fillId="5" borderId="50" xfId="0" applyNumberFormat="1" applyFill="1" applyBorder="1" applyAlignment="1">
      <alignment horizontal="center"/>
    </xf>
    <xf numFmtId="171" fontId="1" fillId="20" borderId="15" xfId="4" applyNumberFormat="1" applyFont="1" applyFill="1" applyBorder="1"/>
    <xf numFmtId="0" fontId="7" fillId="0" borderId="17" xfId="0" applyFont="1" applyBorder="1" applyAlignment="1" applyProtection="1">
      <alignment horizontal="left"/>
      <protection hidden="1"/>
    </xf>
    <xf numFmtId="171" fontId="1" fillId="0" borderId="19" xfId="4" applyNumberFormat="1" applyFont="1" applyFill="1" applyBorder="1"/>
    <xf numFmtId="0" fontId="26" fillId="0" borderId="252" xfId="0" applyFont="1" applyBorder="1"/>
    <xf numFmtId="171" fontId="25" fillId="0" borderId="252" xfId="0" applyNumberFormat="1" applyFont="1" applyBorder="1" applyAlignment="1" applyProtection="1">
      <alignment horizontal="left"/>
      <protection hidden="1"/>
    </xf>
    <xf numFmtId="0" fontId="26" fillId="0" borderId="252" xfId="0" applyFont="1" applyBorder="1" applyAlignment="1">
      <alignment vertical="justify"/>
    </xf>
    <xf numFmtId="0" fontId="9" fillId="0" borderId="252" xfId="0" applyFont="1" applyBorder="1"/>
    <xf numFmtId="171" fontId="1" fillId="0" borderId="253" xfId="4" applyNumberFormat="1" applyFont="1" applyBorder="1"/>
    <xf numFmtId="171" fontId="7" fillId="0" borderId="17" xfId="0" applyNumberFormat="1" applyFont="1" applyBorder="1" applyAlignment="1" applyProtection="1">
      <alignment horizontal="left"/>
      <protection hidden="1"/>
    </xf>
    <xf numFmtId="0" fontId="5" fillId="17" borderId="28" xfId="0" applyFont="1" applyFill="1" applyBorder="1" applyAlignment="1">
      <alignment horizontal="center" vertical="center"/>
    </xf>
    <xf numFmtId="0" fontId="5" fillId="17" borderId="23" xfId="0" applyFont="1" applyFill="1" applyBorder="1" applyAlignment="1">
      <alignment horizontal="center" vertical="center"/>
    </xf>
    <xf numFmtId="167" fontId="4" fillId="5" borderId="29" xfId="5" applyNumberFormat="1" applyFont="1" applyFill="1" applyBorder="1" applyAlignment="1" applyProtection="1">
      <alignment horizontal="center"/>
      <protection locked="0"/>
    </xf>
    <xf numFmtId="167" fontId="4" fillId="5" borderId="3" xfId="5" applyNumberFormat="1" applyFont="1" applyFill="1" applyBorder="1" applyAlignment="1" applyProtection="1">
      <alignment horizontal="center"/>
      <protection locked="0"/>
    </xf>
    <xf numFmtId="167" fontId="4" fillId="5" borderId="27" xfId="5" applyNumberFormat="1" applyFont="1" applyFill="1" applyBorder="1" applyAlignment="1" applyProtection="1">
      <alignment horizontal="center"/>
      <protection locked="0"/>
    </xf>
    <xf numFmtId="0" fontId="5" fillId="0" borderId="29" xfId="0" applyFont="1" applyBorder="1" applyAlignment="1">
      <alignment vertical="center"/>
    </xf>
    <xf numFmtId="0" fontId="3" fillId="9" borderId="29" xfId="0" applyFont="1" applyFill="1" applyBorder="1" applyAlignment="1">
      <alignment horizontal="center" vertical="center"/>
    </xf>
    <xf numFmtId="0" fontId="3" fillId="0" borderId="0" xfId="0" applyFont="1" applyAlignment="1">
      <alignment vertical="center"/>
    </xf>
    <xf numFmtId="174" fontId="0" fillId="0" borderId="0" xfId="11" applyNumberFormat="1" applyFont="1"/>
    <xf numFmtId="0" fontId="5" fillId="0" borderId="252" xfId="0" applyFont="1" applyBorder="1" applyAlignment="1">
      <alignment vertical="center"/>
    </xf>
    <xf numFmtId="174" fontId="0" fillId="0" borderId="252" xfId="11" applyNumberFormat="1" applyFont="1" applyBorder="1" applyAlignment="1">
      <alignment horizontal="center" vertical="center"/>
    </xf>
    <xf numFmtId="0" fontId="5" fillId="0" borderId="252" xfId="0" applyFont="1" applyBorder="1" applyAlignment="1">
      <alignment horizontal="center" vertical="center"/>
    </xf>
    <xf numFmtId="0" fontId="5" fillId="0" borderId="246" xfId="0" applyFont="1" applyBorder="1" applyAlignment="1">
      <alignment horizontal="center" vertical="center"/>
    </xf>
    <xf numFmtId="0" fontId="5" fillId="0" borderId="254" xfId="0" applyFont="1" applyBorder="1" applyAlignment="1">
      <alignment vertical="center"/>
    </xf>
    <xf numFmtId="174" fontId="0" fillId="0" borderId="254" xfId="11" applyNumberFormat="1" applyFont="1" applyBorder="1" applyAlignment="1">
      <alignment horizontal="center" vertical="center"/>
    </xf>
    <xf numFmtId="0" fontId="5" fillId="0" borderId="254" xfId="0" applyFont="1" applyBorder="1" applyAlignment="1">
      <alignment horizontal="center" vertical="center"/>
    </xf>
    <xf numFmtId="171" fontId="0" fillId="0" borderId="247" xfId="4" applyNumberFormat="1" applyFont="1" applyBorder="1"/>
    <xf numFmtId="0" fontId="5" fillId="0" borderId="248" xfId="0" applyFont="1" applyBorder="1" applyAlignment="1">
      <alignment horizontal="center"/>
    </xf>
    <xf numFmtId="171" fontId="0" fillId="0" borderId="249" xfId="4" applyNumberFormat="1" applyFont="1" applyBorder="1"/>
    <xf numFmtId="0" fontId="5" fillId="0" borderId="250" xfId="0" applyFont="1" applyBorder="1" applyAlignment="1">
      <alignment horizontal="center"/>
    </xf>
    <xf numFmtId="0" fontId="5" fillId="0" borderId="255" xfId="0" applyFont="1" applyBorder="1" applyAlignment="1">
      <alignment vertical="center"/>
    </xf>
    <xf numFmtId="174" fontId="0" fillId="0" borderId="255" xfId="11" applyNumberFormat="1" applyFont="1" applyBorder="1" applyAlignment="1">
      <alignment horizontal="center" vertical="center"/>
    </xf>
    <xf numFmtId="0" fontId="5" fillId="0" borderId="255" xfId="0" applyFont="1" applyBorder="1" applyAlignment="1">
      <alignment horizontal="center" vertical="center"/>
    </xf>
    <xf numFmtId="171" fontId="0" fillId="0" borderId="251" xfId="4" applyNumberFormat="1" applyFont="1" applyBorder="1"/>
    <xf numFmtId="43" fontId="4" fillId="0" borderId="1" xfId="4" applyFont="1" applyFill="1" applyBorder="1" applyAlignment="1" applyProtection="1">
      <alignment horizontal="left"/>
      <protection hidden="1"/>
    </xf>
    <xf numFmtId="170" fontId="0" fillId="0" borderId="254" xfId="4" applyNumberFormat="1" applyFont="1" applyBorder="1" applyAlignment="1">
      <alignment vertical="center"/>
    </xf>
    <xf numFmtId="170" fontId="0" fillId="0" borderId="252" xfId="4" applyNumberFormat="1" applyFont="1" applyBorder="1"/>
    <xf numFmtId="170" fontId="0" fillId="0" borderId="255" xfId="4" applyNumberFormat="1" applyFont="1" applyBorder="1"/>
    <xf numFmtId="0" fontId="0" fillId="0" borderId="256" xfId="0" applyBorder="1"/>
    <xf numFmtId="0" fontId="0" fillId="0" borderId="152" xfId="0" applyBorder="1" applyProtection="1">
      <protection hidden="1"/>
    </xf>
    <xf numFmtId="0" fontId="3" fillId="20" borderId="212" xfId="0" applyFont="1" applyFill="1" applyBorder="1" applyAlignment="1">
      <alignment horizontal="center" vertical="center"/>
    </xf>
    <xf numFmtId="0" fontId="3" fillId="0" borderId="211" xfId="0" applyFont="1" applyBorder="1" applyAlignment="1">
      <alignment horizontal="center"/>
    </xf>
    <xf numFmtId="171" fontId="30" fillId="0" borderId="43" xfId="4" applyNumberFormat="1" applyFont="1" applyFill="1" applyBorder="1" applyProtection="1">
      <protection hidden="1"/>
    </xf>
    <xf numFmtId="167" fontId="6" fillId="9" borderId="24" xfId="5" applyNumberFormat="1" applyFont="1" applyFill="1" applyBorder="1" applyProtection="1">
      <protection hidden="1"/>
    </xf>
    <xf numFmtId="0" fontId="16" fillId="6" borderId="32" xfId="0" applyFont="1" applyFill="1" applyBorder="1" applyAlignment="1" applyProtection="1">
      <alignment horizontal="center" vertical="center"/>
      <protection hidden="1"/>
    </xf>
    <xf numFmtId="167" fontId="16" fillId="9" borderId="49" xfId="5" applyNumberFormat="1" applyFont="1" applyFill="1" applyBorder="1" applyProtection="1">
      <protection hidden="1"/>
    </xf>
    <xf numFmtId="2" fontId="100" fillId="5" borderId="139" xfId="0" applyNumberFormat="1" applyFont="1" applyFill="1" applyBorder="1" applyAlignment="1" applyProtection="1">
      <alignment horizontal="center"/>
      <protection locked="0"/>
    </xf>
    <xf numFmtId="2" fontId="100" fillId="5" borderId="139" xfId="0" applyNumberFormat="1" applyFont="1" applyFill="1" applyBorder="1" applyAlignment="1" applyProtection="1">
      <alignment horizontal="center" vertical="center"/>
      <protection locked="0"/>
    </xf>
    <xf numFmtId="167" fontId="5" fillId="9" borderId="7" xfId="5" applyNumberFormat="1" applyFont="1" applyFill="1" applyBorder="1" applyAlignment="1" applyProtection="1">
      <alignment horizontal="center"/>
      <protection hidden="1"/>
    </xf>
    <xf numFmtId="171" fontId="3" fillId="18" borderId="143" xfId="4" applyNumberFormat="1" applyFont="1" applyFill="1" applyBorder="1" applyProtection="1">
      <protection hidden="1"/>
    </xf>
    <xf numFmtId="0" fontId="3" fillId="18" borderId="260" xfId="0" applyFont="1" applyFill="1" applyBorder="1" applyProtection="1">
      <protection hidden="1"/>
    </xf>
    <xf numFmtId="0" fontId="3" fillId="18" borderId="262" xfId="0" applyFont="1" applyFill="1" applyBorder="1" applyProtection="1">
      <protection hidden="1"/>
    </xf>
    <xf numFmtId="0" fontId="6" fillId="18" borderId="262" xfId="0" applyFont="1" applyFill="1" applyBorder="1" applyProtection="1">
      <protection hidden="1"/>
    </xf>
    <xf numFmtId="0" fontId="6" fillId="18" borderId="264" xfId="0" applyFont="1" applyFill="1" applyBorder="1" applyProtection="1">
      <protection hidden="1"/>
    </xf>
    <xf numFmtId="171" fontId="3" fillId="18" borderId="147" xfId="4" applyNumberFormat="1" applyFont="1" applyFill="1" applyBorder="1" applyProtection="1">
      <protection hidden="1"/>
    </xf>
    <xf numFmtId="171" fontId="3" fillId="18" borderId="261" xfId="4" applyNumberFormat="1" applyFont="1" applyFill="1" applyBorder="1" applyProtection="1">
      <protection hidden="1"/>
    </xf>
    <xf numFmtId="171" fontId="3" fillId="18" borderId="263" xfId="4" applyNumberFormat="1" applyFont="1" applyFill="1" applyBorder="1" applyProtection="1">
      <protection hidden="1"/>
    </xf>
    <xf numFmtId="171" fontId="0" fillId="18" borderId="143" xfId="4" applyNumberFormat="1" applyFont="1" applyFill="1" applyBorder="1" applyProtection="1">
      <protection hidden="1"/>
    </xf>
    <xf numFmtId="171" fontId="0" fillId="18" borderId="263" xfId="4" applyNumberFormat="1" applyFont="1" applyFill="1" applyBorder="1" applyProtection="1">
      <protection hidden="1"/>
    </xf>
    <xf numFmtId="171" fontId="0" fillId="18" borderId="145" xfId="4" applyNumberFormat="1" applyFont="1" applyFill="1" applyBorder="1" applyProtection="1">
      <protection hidden="1"/>
    </xf>
    <xf numFmtId="171" fontId="0" fillId="18" borderId="265" xfId="4" applyNumberFormat="1" applyFont="1" applyFill="1" applyBorder="1" applyProtection="1">
      <protection hidden="1"/>
    </xf>
    <xf numFmtId="0" fontId="3" fillId="18" borderId="262" xfId="0" applyFont="1" applyFill="1" applyBorder="1" applyAlignment="1" applyProtection="1">
      <alignment vertical="justify"/>
      <protection hidden="1"/>
    </xf>
    <xf numFmtId="0" fontId="4" fillId="0" borderId="1" xfId="0" applyFont="1" applyBorder="1" applyAlignment="1" applyProtection="1">
      <alignment horizontal="left"/>
      <protection hidden="1"/>
    </xf>
    <xf numFmtId="167" fontId="5" fillId="9" borderId="0" xfId="6" applyNumberFormat="1" applyFont="1" applyFill="1" applyProtection="1">
      <protection hidden="1"/>
    </xf>
    <xf numFmtId="167" fontId="3" fillId="18" borderId="266" xfId="0" applyNumberFormat="1" applyFont="1" applyFill="1" applyBorder="1" applyProtection="1">
      <protection hidden="1"/>
    </xf>
    <xf numFmtId="167" fontId="3" fillId="18" borderId="49" xfId="0" applyNumberFormat="1" applyFont="1" applyFill="1" applyBorder="1" applyProtection="1">
      <protection hidden="1"/>
    </xf>
    <xf numFmtId="0" fontId="3" fillId="18" borderId="49" xfId="0" applyFont="1" applyFill="1" applyBorder="1" applyProtection="1">
      <protection hidden="1"/>
    </xf>
    <xf numFmtId="167" fontId="3" fillId="18" borderId="49" xfId="6" applyNumberFormat="1" applyFont="1" applyFill="1" applyBorder="1" applyProtection="1">
      <protection hidden="1"/>
    </xf>
    <xf numFmtId="167" fontId="0" fillId="18" borderId="49" xfId="6" applyNumberFormat="1" applyFont="1" applyFill="1" applyBorder="1" applyProtection="1">
      <protection hidden="1"/>
    </xf>
    <xf numFmtId="167" fontId="0" fillId="18" borderId="44" xfId="0" applyNumberFormat="1" applyFill="1" applyBorder="1" applyProtection="1">
      <protection hidden="1"/>
    </xf>
    <xf numFmtId="43" fontId="7" fillId="9" borderId="0" xfId="4" applyFont="1" applyFill="1" applyProtection="1">
      <protection hidden="1"/>
    </xf>
    <xf numFmtId="0" fontId="3" fillId="20" borderId="227" xfId="0" applyFont="1" applyFill="1" applyBorder="1" applyAlignment="1" applyProtection="1">
      <alignment horizontal="center" vertical="center"/>
      <protection hidden="1"/>
    </xf>
    <xf numFmtId="0" fontId="0" fillId="20" borderId="227" xfId="0" applyFill="1" applyBorder="1" applyAlignment="1">
      <alignment vertical="center"/>
    </xf>
    <xf numFmtId="171" fontId="9" fillId="0" borderId="227" xfId="4" applyNumberFormat="1" applyFont="1" applyFill="1" applyBorder="1" applyAlignment="1" applyProtection="1">
      <alignment horizontal="center" vertical="center"/>
      <protection hidden="1"/>
    </xf>
    <xf numFmtId="0" fontId="9" fillId="0" borderId="246" xfId="0" applyFont="1" applyBorder="1" applyProtection="1">
      <protection hidden="1"/>
    </xf>
    <xf numFmtId="171" fontId="9" fillId="0" borderId="247" xfId="4" applyNumberFormat="1" applyFont="1" applyBorder="1" applyProtection="1">
      <protection hidden="1"/>
    </xf>
    <xf numFmtId="0" fontId="9" fillId="0" borderId="248" xfId="0" applyFont="1" applyBorder="1" applyProtection="1">
      <protection hidden="1"/>
    </xf>
    <xf numFmtId="171" fontId="9" fillId="0" borderId="249" xfId="4" applyNumberFormat="1" applyFont="1" applyBorder="1" applyProtection="1">
      <protection hidden="1"/>
    </xf>
    <xf numFmtId="0" fontId="9" fillId="0" borderId="250" xfId="0" applyFont="1" applyBorder="1" applyProtection="1">
      <protection hidden="1"/>
    </xf>
    <xf numFmtId="171" fontId="9" fillId="0" borderId="251" xfId="4" applyNumberFormat="1" applyFont="1" applyBorder="1" applyProtection="1">
      <protection hidden="1"/>
    </xf>
    <xf numFmtId="171" fontId="4" fillId="0" borderId="1" xfId="4" applyNumberFormat="1" applyFont="1" applyFill="1" applyBorder="1" applyAlignment="1" applyProtection="1">
      <alignment horizontal="right"/>
      <protection hidden="1"/>
    </xf>
    <xf numFmtId="167" fontId="39" fillId="5" borderId="27" xfId="5" applyNumberFormat="1" applyFont="1" applyFill="1" applyBorder="1" applyProtection="1">
      <protection locked="0"/>
    </xf>
    <xf numFmtId="171" fontId="6" fillId="0" borderId="263" xfId="4" applyNumberFormat="1" applyFont="1" applyFill="1" applyBorder="1" applyAlignment="1" applyProtection="1">
      <alignment horizontal="center"/>
      <protection hidden="1"/>
    </xf>
    <xf numFmtId="171" fontId="11" fillId="5" borderId="143" xfId="4" applyNumberFormat="1" applyFont="1" applyFill="1" applyBorder="1" applyAlignment="1" applyProtection="1">
      <alignment horizontal="center"/>
      <protection locked="0"/>
    </xf>
    <xf numFmtId="0" fontId="9" fillId="0" borderId="262" xfId="0" applyFont="1" applyBorder="1" applyAlignment="1" applyProtection="1">
      <alignment horizontal="justify" vertical="justify"/>
      <protection hidden="1"/>
    </xf>
    <xf numFmtId="0" fontId="0" fillId="0" borderId="262" xfId="0" applyBorder="1" applyProtection="1">
      <protection hidden="1"/>
    </xf>
    <xf numFmtId="0" fontId="4" fillId="0" borderId="262" xfId="0" applyFont="1" applyBorder="1" applyAlignment="1" applyProtection="1">
      <alignment horizontal="left"/>
      <protection hidden="1"/>
    </xf>
    <xf numFmtId="171" fontId="0" fillId="5" borderId="145" xfId="4" applyNumberFormat="1" applyFont="1" applyFill="1" applyBorder="1" applyProtection="1">
      <protection locked="0"/>
    </xf>
    <xf numFmtId="0" fontId="0" fillId="5" borderId="145" xfId="0" applyFill="1" applyBorder="1" applyProtection="1">
      <protection locked="0"/>
    </xf>
    <xf numFmtId="171" fontId="6" fillId="0" borderId="265" xfId="4" applyNumberFormat="1" applyFont="1" applyFill="1" applyBorder="1" applyAlignment="1" applyProtection="1">
      <alignment horizontal="center"/>
      <protection hidden="1"/>
    </xf>
    <xf numFmtId="171" fontId="6" fillId="5" borderId="269" xfId="4" applyNumberFormat="1" applyFont="1" applyFill="1" applyBorder="1" applyAlignment="1" applyProtection="1">
      <alignment horizontal="center"/>
      <protection locked="0"/>
    </xf>
    <xf numFmtId="0" fontId="4" fillId="0" borderId="262" xfId="0" applyFont="1" applyBorder="1" applyAlignment="1" applyProtection="1">
      <alignment horizontal="left" vertical="center"/>
      <protection hidden="1"/>
    </xf>
    <xf numFmtId="0" fontId="3" fillId="0" borderId="262" xfId="0" applyFont="1" applyBorder="1" applyAlignment="1" applyProtection="1">
      <alignment horizontal="left" vertical="center"/>
      <protection hidden="1"/>
    </xf>
    <xf numFmtId="0" fontId="3" fillId="0" borderId="264" xfId="0" applyFont="1" applyBorder="1" applyAlignment="1" applyProtection="1">
      <alignment horizontal="left" vertical="center"/>
      <protection hidden="1"/>
    </xf>
    <xf numFmtId="171" fontId="0" fillId="0" borderId="143" xfId="4" applyNumberFormat="1" applyFont="1" applyFill="1" applyBorder="1" applyProtection="1">
      <protection hidden="1"/>
    </xf>
    <xf numFmtId="0" fontId="9" fillId="0" borderId="0" xfId="0" applyFont="1" applyAlignment="1">
      <alignment vertical="center"/>
    </xf>
    <xf numFmtId="0" fontId="76" fillId="0" borderId="0" xfId="0" applyFont="1" applyAlignment="1">
      <alignment horizontal="right" textRotation="90"/>
    </xf>
    <xf numFmtId="0" fontId="9" fillId="0" borderId="14" xfId="0" applyFont="1" applyBorder="1"/>
    <xf numFmtId="0" fontId="9" fillId="22" borderId="14" xfId="0" applyFont="1" applyFill="1" applyBorder="1" applyAlignment="1">
      <alignment horizontal="center"/>
    </xf>
    <xf numFmtId="0" fontId="21" fillId="0" borderId="0" xfId="0" applyFont="1" applyAlignment="1">
      <alignment horizontal="left" vertical="justify" indent="1"/>
    </xf>
    <xf numFmtId="0" fontId="0" fillId="9" borderId="0" xfId="0" applyFill="1" applyAlignment="1" applyProtection="1">
      <alignment horizontal="center"/>
      <protection hidden="1"/>
    </xf>
    <xf numFmtId="0" fontId="26" fillId="0" borderId="0" xfId="0" applyFont="1" applyAlignment="1">
      <alignment vertical="justify"/>
    </xf>
    <xf numFmtId="0" fontId="5" fillId="0" borderId="27" xfId="0" applyFont="1" applyBorder="1" applyAlignment="1">
      <alignment vertical="center"/>
    </xf>
    <xf numFmtId="0" fontId="3" fillId="9" borderId="27" xfId="0" applyFont="1" applyFill="1" applyBorder="1" applyAlignment="1">
      <alignment horizontal="center" vertical="center"/>
    </xf>
    <xf numFmtId="167" fontId="19" fillId="9" borderId="44" xfId="5" applyNumberFormat="1" applyFont="1" applyFill="1" applyBorder="1" applyProtection="1">
      <protection hidden="1"/>
    </xf>
    <xf numFmtId="0" fontId="0" fillId="20" borderId="227" xfId="0" applyFill="1" applyBorder="1" applyAlignment="1">
      <alignment horizontal="center" vertical="center"/>
    </xf>
    <xf numFmtId="0" fontId="4" fillId="20" borderId="227" xfId="0" applyFont="1" applyFill="1" applyBorder="1" applyAlignment="1">
      <alignment horizontal="center" vertical="center"/>
    </xf>
    <xf numFmtId="0" fontId="9" fillId="20" borderId="227" xfId="0" applyFont="1" applyFill="1" applyBorder="1" applyAlignment="1">
      <alignment horizontal="center" vertical="center"/>
    </xf>
    <xf numFmtId="0" fontId="8" fillId="0" borderId="227" xfId="0" applyFont="1" applyBorder="1" applyAlignment="1" applyProtection="1">
      <alignment horizontal="center" vertical="center"/>
      <protection hidden="1"/>
    </xf>
    <xf numFmtId="0" fontId="26" fillId="0" borderId="143" xfId="0" applyFont="1" applyBorder="1" applyAlignment="1" applyProtection="1">
      <alignment horizontal="justify" vertical="center"/>
      <protection hidden="1"/>
    </xf>
    <xf numFmtId="171" fontId="4" fillId="0" borderId="263" xfId="4" applyNumberFormat="1" applyFont="1" applyBorder="1" applyAlignment="1" applyProtection="1">
      <alignment horizontal="right"/>
      <protection hidden="1"/>
    </xf>
    <xf numFmtId="0" fontId="26" fillId="0" borderId="143" xfId="0" applyFont="1" applyBorder="1" applyAlignment="1">
      <alignment horizontal="left" indent="1"/>
    </xf>
    <xf numFmtId="0" fontId="0" fillId="20" borderId="267" xfId="0" applyFill="1" applyBorder="1" applyAlignment="1" applyProtection="1">
      <alignment horizontal="center"/>
      <protection hidden="1"/>
    </xf>
    <xf numFmtId="171" fontId="0" fillId="20" borderId="269" xfId="4" applyNumberFormat="1" applyFont="1" applyFill="1" applyBorder="1"/>
    <xf numFmtId="0" fontId="0" fillId="20" borderId="262" xfId="0" applyFill="1" applyBorder="1" applyAlignment="1" applyProtection="1">
      <alignment horizontal="center"/>
      <protection hidden="1"/>
    </xf>
    <xf numFmtId="171" fontId="0" fillId="20" borderId="263" xfId="4" applyNumberFormat="1" applyFont="1" applyFill="1" applyBorder="1"/>
    <xf numFmtId="171" fontId="0" fillId="20" borderId="263" xfId="0" applyNumberFormat="1" applyFill="1" applyBorder="1"/>
    <xf numFmtId="0" fontId="0" fillId="20" borderId="262" xfId="0" applyFill="1" applyBorder="1" applyAlignment="1" applyProtection="1">
      <alignment horizontal="center" vertical="center"/>
      <protection hidden="1"/>
    </xf>
    <xf numFmtId="0" fontId="0" fillId="20" borderId="264" xfId="0" applyFill="1" applyBorder="1" applyAlignment="1" applyProtection="1">
      <alignment horizontal="center" vertical="center"/>
      <protection hidden="1"/>
    </xf>
    <xf numFmtId="171" fontId="0" fillId="20" borderId="265" xfId="4" applyNumberFormat="1" applyFont="1" applyFill="1" applyBorder="1"/>
    <xf numFmtId="0" fontId="5" fillId="0" borderId="144" xfId="0" applyFont="1" applyBorder="1"/>
    <xf numFmtId="171" fontId="0" fillId="0" borderId="144" xfId="4" applyNumberFormat="1" applyFont="1" applyBorder="1"/>
    <xf numFmtId="0" fontId="4" fillId="0" borderId="143" xfId="0" applyFont="1" applyBorder="1" applyAlignment="1">
      <alignment horizontal="left" vertical="justify"/>
    </xf>
    <xf numFmtId="171" fontId="3" fillId="0" borderId="142" xfId="0" applyNumberFormat="1" applyFont="1" applyBorder="1"/>
    <xf numFmtId="0" fontId="9" fillId="0" borderId="143" xfId="0" applyFont="1" applyBorder="1" applyAlignment="1">
      <alignment horizontal="left" vertical="justify"/>
    </xf>
    <xf numFmtId="171" fontId="3" fillId="0" borderId="142" xfId="4" applyNumberFormat="1" applyFont="1" applyBorder="1" applyAlignment="1">
      <alignment vertical="center"/>
    </xf>
    <xf numFmtId="0" fontId="3" fillId="0" borderId="145" xfId="0" applyFont="1" applyBorder="1"/>
    <xf numFmtId="0" fontId="0" fillId="0" borderId="145" xfId="0" applyBorder="1"/>
    <xf numFmtId="171" fontId="3" fillId="0" borderId="143" xfId="4" applyNumberFormat="1" applyFont="1" applyBorder="1"/>
    <xf numFmtId="0" fontId="26" fillId="0" borderId="143" xfId="0" applyFont="1" applyBorder="1" applyAlignment="1">
      <alignment horizontal="left" vertical="center"/>
    </xf>
    <xf numFmtId="0" fontId="4" fillId="0" borderId="14" xfId="0" applyFont="1" applyBorder="1" applyAlignment="1" applyProtection="1">
      <alignment horizontal="center" vertical="center"/>
      <protection hidden="1"/>
    </xf>
    <xf numFmtId="0" fontId="0" fillId="0" borderId="277" xfId="0" applyBorder="1"/>
    <xf numFmtId="0" fontId="26" fillId="0" borderId="14" xfId="0" applyFont="1" applyBorder="1" applyAlignment="1">
      <alignment vertical="justify"/>
    </xf>
    <xf numFmtId="0" fontId="26" fillId="0" borderId="278" xfId="0" applyFont="1" applyBorder="1" applyAlignment="1">
      <alignment horizontal="center" vertical="center"/>
    </xf>
    <xf numFmtId="0" fontId="76" fillId="23" borderId="0" xfId="0" applyFont="1" applyFill="1" applyAlignment="1" applyProtection="1">
      <alignment horizontal="left" indent="1"/>
      <protection hidden="1"/>
    </xf>
    <xf numFmtId="0" fontId="99" fillId="0" borderId="250" xfId="0" applyFont="1" applyBorder="1" applyAlignment="1">
      <alignment horizontal="center" vertical="center"/>
    </xf>
    <xf numFmtId="171" fontId="6" fillId="5" borderId="43" xfId="4" applyNumberFormat="1" applyFont="1" applyFill="1" applyBorder="1" applyAlignment="1" applyProtection="1">
      <alignment horizontal="center"/>
      <protection locked="0"/>
    </xf>
    <xf numFmtId="171" fontId="17" fillId="0" borderId="55" xfId="4" applyNumberFormat="1" applyFont="1" applyFill="1" applyBorder="1" applyProtection="1">
      <protection hidden="1"/>
    </xf>
    <xf numFmtId="0" fontId="26" fillId="0" borderId="142" xfId="0" applyFont="1" applyBorder="1"/>
    <xf numFmtId="171" fontId="3" fillId="0" borderId="235" xfId="4" applyNumberFormat="1" applyFont="1" applyBorder="1"/>
    <xf numFmtId="0" fontId="26" fillId="0" borderId="234" xfId="0" applyFont="1" applyBorder="1" applyAlignment="1">
      <alignment horizontal="left" vertical="center" indent="1"/>
    </xf>
    <xf numFmtId="171" fontId="3" fillId="0" borderId="236" xfId="4" applyNumberFormat="1" applyFont="1" applyBorder="1"/>
    <xf numFmtId="0" fontId="26" fillId="0" borderId="143" xfId="0" applyFont="1" applyBorder="1" applyAlignment="1">
      <alignment horizontal="left" vertical="justify"/>
    </xf>
    <xf numFmtId="0" fontId="26" fillId="0" borderId="143" xfId="0" applyFont="1" applyBorder="1" applyAlignment="1">
      <alignment horizontal="left" vertical="center" indent="1"/>
    </xf>
    <xf numFmtId="0" fontId="9" fillId="0" borderId="237" xfId="0" applyFont="1" applyBorder="1" applyAlignment="1" applyProtection="1">
      <alignment horizontal="left" indent="1"/>
      <protection hidden="1"/>
    </xf>
    <xf numFmtId="0" fontId="9" fillId="0" borderId="238" xfId="0" applyFont="1" applyBorder="1" applyAlignment="1" applyProtection="1">
      <alignment horizontal="left" indent="1"/>
      <protection hidden="1"/>
    </xf>
    <xf numFmtId="0" fontId="4" fillId="0" borderId="143" xfId="0" applyFont="1" applyBorder="1" applyAlignment="1" applyProtection="1">
      <alignment horizontal="left" vertical="center" indent="1"/>
      <protection hidden="1"/>
    </xf>
    <xf numFmtId="0" fontId="4" fillId="0" borderId="143" xfId="0" applyFont="1" applyBorder="1" applyAlignment="1">
      <alignment horizontal="left" vertical="justify" indent="1"/>
    </xf>
    <xf numFmtId="0" fontId="26" fillId="0" borderId="143" xfId="0" applyFont="1" applyBorder="1"/>
    <xf numFmtId="0" fontId="26" fillId="0" borderId="143" xfId="0" applyFont="1" applyBorder="1" applyAlignment="1">
      <alignment vertical="center"/>
    </xf>
    <xf numFmtId="171" fontId="3" fillId="0" borderId="145" xfId="4" applyNumberFormat="1" applyFont="1" applyBorder="1"/>
    <xf numFmtId="0" fontId="9" fillId="0" borderId="143" xfId="0" applyFont="1" applyBorder="1" applyAlignment="1" applyProtection="1">
      <alignment horizontal="left"/>
      <protection hidden="1"/>
    </xf>
    <xf numFmtId="0" fontId="70" fillId="0" borderId="143" xfId="0" applyFont="1" applyBorder="1" applyAlignment="1" applyProtection="1">
      <alignment horizontal="left" wrapText="1"/>
      <protection hidden="1"/>
    </xf>
    <xf numFmtId="0" fontId="9" fillId="0" borderId="143" xfId="0" applyFont="1" applyBorder="1" applyAlignment="1">
      <alignment horizontal="left" vertical="justify" indent="2"/>
    </xf>
    <xf numFmtId="0" fontId="7" fillId="0" borderId="143" xfId="0" applyFont="1" applyBorder="1" applyAlignment="1" applyProtection="1">
      <alignment horizontal="left"/>
      <protection hidden="1"/>
    </xf>
    <xf numFmtId="171" fontId="9" fillId="0" borderId="145" xfId="4" applyNumberFormat="1" applyFont="1" applyBorder="1"/>
    <xf numFmtId="0" fontId="27" fillId="22" borderId="14" xfId="0" applyFont="1" applyFill="1" applyBorder="1" applyAlignment="1">
      <alignment horizontal="center" vertical="justify"/>
    </xf>
    <xf numFmtId="0" fontId="26" fillId="0" borderId="143" xfId="0" applyFont="1" applyBorder="1" applyAlignment="1" applyProtection="1">
      <alignment horizontal="left"/>
      <protection hidden="1"/>
    </xf>
    <xf numFmtId="0" fontId="9" fillId="0" borderId="143" xfId="0" applyFont="1" applyBorder="1" applyProtection="1">
      <protection hidden="1"/>
    </xf>
    <xf numFmtId="171" fontId="4" fillId="0" borderId="143" xfId="4" applyNumberFormat="1" applyFont="1" applyBorder="1"/>
    <xf numFmtId="167" fontId="1" fillId="0" borderId="145" xfId="5" applyNumberFormat="1" applyFont="1" applyBorder="1"/>
    <xf numFmtId="171" fontId="25" fillId="0" borderId="255" xfId="0" applyNumberFormat="1" applyFont="1" applyBorder="1" applyAlignment="1" applyProtection="1">
      <alignment horizontal="left"/>
      <protection hidden="1"/>
    </xf>
    <xf numFmtId="171" fontId="1" fillId="20" borderId="13" xfId="4" applyNumberFormat="1" applyFont="1" applyFill="1" applyBorder="1"/>
    <xf numFmtId="0" fontId="76" fillId="0" borderId="0" xfId="0" applyFont="1" applyAlignment="1" applyProtection="1">
      <alignment horizontal="left"/>
      <protection hidden="1"/>
    </xf>
    <xf numFmtId="0" fontId="25" fillId="0" borderId="0" xfId="0" applyFont="1" applyAlignment="1" applyProtection="1">
      <alignment horizontal="left" indent="1"/>
      <protection hidden="1"/>
    </xf>
    <xf numFmtId="0" fontId="76" fillId="0" borderId="0" xfId="0" applyFont="1" applyAlignment="1" applyProtection="1">
      <alignment horizontal="left" indent="1"/>
      <protection hidden="1"/>
    </xf>
    <xf numFmtId="0" fontId="4" fillId="0" borderId="143" xfId="0" applyFont="1" applyBorder="1" applyAlignment="1">
      <alignment horizontal="justify" vertical="justify"/>
    </xf>
    <xf numFmtId="171" fontId="0" fillId="5" borderId="268" xfId="4" applyNumberFormat="1" applyFont="1" applyFill="1" applyBorder="1" applyAlignment="1" applyProtection="1">
      <alignment vertical="center"/>
      <protection locked="0"/>
    </xf>
    <xf numFmtId="171" fontId="28" fillId="0" borderId="268" xfId="4" applyNumberFormat="1" applyFont="1" applyFill="1" applyBorder="1" applyAlignment="1" applyProtection="1">
      <alignment vertical="center"/>
      <protection hidden="1"/>
    </xf>
    <xf numFmtId="171" fontId="6" fillId="0" borderId="269" xfId="4" applyNumberFormat="1" applyFont="1" applyFill="1" applyBorder="1" applyAlignment="1" applyProtection="1">
      <alignment horizontal="center" vertical="center"/>
      <protection hidden="1"/>
    </xf>
    <xf numFmtId="171" fontId="0" fillId="5" borderId="143" xfId="4" applyNumberFormat="1" applyFont="1" applyFill="1" applyBorder="1" applyAlignment="1" applyProtection="1">
      <alignment vertical="center"/>
      <protection locked="0"/>
    </xf>
    <xf numFmtId="171" fontId="28" fillId="0" borderId="143" xfId="4" applyNumberFormat="1" applyFont="1" applyFill="1" applyBorder="1" applyAlignment="1" applyProtection="1">
      <alignment vertical="center"/>
      <protection hidden="1"/>
    </xf>
    <xf numFmtId="171" fontId="6" fillId="0" borderId="263" xfId="4" applyNumberFormat="1" applyFont="1" applyFill="1" applyBorder="1" applyAlignment="1" applyProtection="1">
      <alignment horizontal="center" vertical="center"/>
      <protection hidden="1"/>
    </xf>
    <xf numFmtId="171" fontId="0" fillId="5" borderId="143" xfId="4" applyNumberFormat="1" applyFont="1" applyFill="1" applyBorder="1" applyProtection="1">
      <protection locked="0"/>
    </xf>
    <xf numFmtId="171" fontId="0" fillId="5" borderId="143" xfId="4" applyNumberFormat="1" applyFont="1" applyFill="1" applyBorder="1" applyAlignment="1" applyProtection="1">
      <alignment horizontal="center"/>
      <protection locked="0"/>
    </xf>
    <xf numFmtId="0" fontId="3" fillId="6" borderId="262" xfId="0" applyFont="1" applyFill="1" applyBorder="1" applyAlignment="1" applyProtection="1">
      <alignment horizontal="left" vertical="center"/>
      <protection hidden="1"/>
    </xf>
    <xf numFmtId="0" fontId="9" fillId="5" borderId="143" xfId="0" applyFont="1" applyFill="1" applyBorder="1" applyAlignment="1" applyProtection="1">
      <alignment horizontal="left" vertical="center"/>
      <protection locked="0"/>
    </xf>
    <xf numFmtId="171" fontId="18" fillId="0" borderId="263" xfId="4" applyNumberFormat="1" applyFont="1" applyFill="1" applyBorder="1" applyAlignment="1" applyProtection="1">
      <alignment horizontal="center"/>
      <protection locked="0"/>
    </xf>
    <xf numFmtId="171" fontId="17" fillId="5" borderId="263" xfId="4" applyNumberFormat="1" applyFont="1" applyFill="1" applyBorder="1" applyProtection="1">
      <protection locked="0"/>
    </xf>
    <xf numFmtId="171" fontId="0" fillId="5" borderId="143" xfId="4" applyNumberFormat="1" applyFont="1" applyFill="1" applyBorder="1" applyAlignment="1" applyProtection="1">
      <alignment horizontal="left" vertical="center"/>
      <protection locked="0"/>
    </xf>
    <xf numFmtId="171" fontId="17" fillId="0" borderId="265" xfId="4" applyNumberFormat="1" applyFont="1" applyFill="1" applyBorder="1" applyAlignment="1" applyProtection="1">
      <alignment horizontal="center"/>
      <protection locked="0"/>
    </xf>
    <xf numFmtId="167" fontId="7" fillId="17" borderId="45" xfId="5" applyNumberFormat="1" applyFont="1" applyFill="1" applyBorder="1" applyProtection="1">
      <protection hidden="1"/>
    </xf>
    <xf numFmtId="0" fontId="48" fillId="5" borderId="39" xfId="0" applyFont="1" applyFill="1" applyBorder="1" applyAlignment="1" applyProtection="1">
      <alignment horizontal="center" vertical="center"/>
      <protection locked="0"/>
    </xf>
    <xf numFmtId="0" fontId="15" fillId="6" borderId="52" xfId="0" applyFont="1" applyFill="1" applyBorder="1" applyAlignment="1" applyProtection="1">
      <alignment horizontal="left" vertical="center"/>
      <protection hidden="1"/>
    </xf>
    <xf numFmtId="0" fontId="15" fillId="0" borderId="39" xfId="0" applyFont="1" applyBorder="1" applyAlignment="1" applyProtection="1">
      <alignment horizontal="left" vertical="center"/>
      <protection hidden="1"/>
    </xf>
    <xf numFmtId="0" fontId="78" fillId="0" borderId="143" xfId="0" applyFont="1" applyBorder="1" applyAlignment="1" applyProtection="1">
      <alignment horizontal="center" vertical="center"/>
      <protection hidden="1"/>
    </xf>
    <xf numFmtId="0" fontId="99" fillId="0" borderId="251" xfId="0" applyFont="1" applyBorder="1" applyAlignment="1">
      <alignment horizontal="center" vertical="center"/>
    </xf>
    <xf numFmtId="0" fontId="0" fillId="0" borderId="248" xfId="0" applyBorder="1" applyProtection="1">
      <protection locked="0"/>
    </xf>
    <xf numFmtId="3" fontId="0" fillId="0" borderId="249" xfId="0" applyNumberFormat="1" applyBorder="1" applyProtection="1">
      <protection locked="0"/>
    </xf>
    <xf numFmtId="0" fontId="0" fillId="0" borderId="249" xfId="0" applyBorder="1" applyProtection="1">
      <protection locked="0"/>
    </xf>
    <xf numFmtId="0" fontId="5" fillId="0" borderId="280" xfId="0" applyFont="1" applyBorder="1" applyAlignment="1" applyProtection="1">
      <alignment horizontal="center"/>
      <protection hidden="1"/>
    </xf>
    <xf numFmtId="171" fontId="5" fillId="0" borderId="281" xfId="4" applyNumberFormat="1" applyFont="1" applyBorder="1" applyAlignment="1" applyProtection="1">
      <alignment horizontal="center"/>
      <protection hidden="1"/>
    </xf>
    <xf numFmtId="0" fontId="3" fillId="0" borderId="1" xfId="0" applyFont="1" applyBorder="1"/>
    <xf numFmtId="0" fontId="5" fillId="9" borderId="1" xfId="0" applyFont="1" applyFill="1" applyBorder="1"/>
    <xf numFmtId="171" fontId="0" fillId="0" borderId="1" xfId="4" applyNumberFormat="1" applyFont="1" applyBorder="1"/>
    <xf numFmtId="171" fontId="5" fillId="9" borderId="1" xfId="4" applyNumberFormat="1" applyFont="1" applyFill="1" applyBorder="1"/>
    <xf numFmtId="171" fontId="5" fillId="0" borderId="1" xfId="4" applyNumberFormat="1" applyFont="1" applyBorder="1"/>
    <xf numFmtId="167" fontId="0" fillId="0" borderId="1" xfId="0" applyNumberFormat="1" applyBorder="1"/>
    <xf numFmtId="171" fontId="78" fillId="0" borderId="263" xfId="4" applyNumberFormat="1" applyFont="1" applyFill="1" applyBorder="1" applyAlignment="1" applyProtection="1">
      <alignment horizontal="center" vertical="center"/>
    </xf>
    <xf numFmtId="43" fontId="0" fillId="0" borderId="0" xfId="4" applyFont="1"/>
    <xf numFmtId="0" fontId="9" fillId="0" borderId="0" xfId="0" applyFont="1" applyAlignment="1">
      <alignment vertical="justify"/>
    </xf>
    <xf numFmtId="171" fontId="0" fillId="0" borderId="0" xfId="4" applyNumberFormat="1" applyFont="1" applyAlignment="1">
      <alignment horizontal="center"/>
    </xf>
    <xf numFmtId="171" fontId="0" fillId="0" borderId="0" xfId="4" applyNumberFormat="1" applyFont="1" applyAlignment="1">
      <alignment vertical="center"/>
    </xf>
    <xf numFmtId="0" fontId="5" fillId="0" borderId="0" xfId="0" applyFont="1" applyAlignment="1">
      <alignment horizontal="center"/>
    </xf>
    <xf numFmtId="0" fontId="5" fillId="16" borderId="282" xfId="0" applyFont="1" applyFill="1" applyBorder="1" applyAlignment="1">
      <alignment horizontal="center" vertical="center"/>
    </xf>
    <xf numFmtId="175" fontId="5" fillId="16" borderId="283" xfId="0" applyNumberFormat="1" applyFont="1" applyFill="1" applyBorder="1" applyAlignment="1">
      <alignment horizontal="center" vertical="center"/>
    </xf>
    <xf numFmtId="175" fontId="10" fillId="16" borderId="283" xfId="0" applyNumberFormat="1" applyFont="1" applyFill="1" applyBorder="1" applyAlignment="1">
      <alignment horizontal="center" vertical="justify"/>
    </xf>
    <xf numFmtId="175" fontId="5" fillId="16" borderId="284" xfId="0" applyNumberFormat="1" applyFont="1" applyFill="1" applyBorder="1" applyAlignment="1">
      <alignment horizontal="center" vertical="center"/>
    </xf>
    <xf numFmtId="171" fontId="5" fillId="0" borderId="143" xfId="4" applyNumberFormat="1" applyFont="1" applyBorder="1"/>
    <xf numFmtId="0" fontId="15" fillId="0" borderId="143" xfId="0" applyFont="1" applyBorder="1" applyAlignment="1">
      <alignment vertical="center"/>
    </xf>
    <xf numFmtId="0" fontId="15" fillId="0" borderId="267" xfId="0" applyFont="1" applyBorder="1" applyAlignment="1">
      <alignment vertical="center"/>
    </xf>
    <xf numFmtId="171" fontId="5" fillId="0" borderId="268" xfId="4" applyNumberFormat="1" applyFont="1" applyBorder="1"/>
    <xf numFmtId="0" fontId="21" fillId="0" borderId="268" xfId="0" applyFont="1" applyBorder="1" applyAlignment="1">
      <alignment vertical="justify"/>
    </xf>
    <xf numFmtId="171" fontId="5" fillId="0" borderId="269" xfId="4" applyNumberFormat="1" applyFont="1" applyBorder="1"/>
    <xf numFmtId="0" fontId="21" fillId="0" borderId="262" xfId="0" applyFont="1" applyBorder="1" applyAlignment="1">
      <alignment vertical="justify"/>
    </xf>
    <xf numFmtId="171" fontId="5" fillId="0" borderId="263" xfId="4" applyNumberFormat="1" applyFont="1" applyBorder="1"/>
    <xf numFmtId="0" fontId="21" fillId="0" borderId="264" xfId="0" applyFont="1" applyBorder="1" applyAlignment="1">
      <alignment vertical="justify"/>
    </xf>
    <xf numFmtId="171" fontId="5" fillId="0" borderId="145" xfId="4" applyNumberFormat="1" applyFont="1" applyBorder="1"/>
    <xf numFmtId="0" fontId="15" fillId="0" borderId="145" xfId="0" applyFont="1" applyBorder="1" applyAlignment="1">
      <alignment vertical="center"/>
    </xf>
    <xf numFmtId="171" fontId="5" fillId="0" borderId="265" xfId="4" applyNumberFormat="1" applyFont="1" applyBorder="1"/>
    <xf numFmtId="0" fontId="21" fillId="0" borderId="0" xfId="0" applyFont="1" applyAlignment="1">
      <alignment vertical="justify"/>
    </xf>
    <xf numFmtId="171" fontId="5" fillId="0" borderId="0" xfId="4" applyNumberFormat="1" applyFont="1" applyBorder="1"/>
    <xf numFmtId="0" fontId="15" fillId="0" borderId="0" xfId="0" applyFont="1" applyAlignment="1">
      <alignment vertical="center"/>
    </xf>
    <xf numFmtId="0" fontId="15" fillId="9" borderId="63" xfId="0" applyFont="1" applyFill="1" applyBorder="1" applyAlignment="1">
      <alignment horizontal="left" vertical="center"/>
    </xf>
    <xf numFmtId="171" fontId="5" fillId="9" borderId="64" xfId="4" applyNumberFormat="1" applyFont="1" applyFill="1" applyBorder="1"/>
    <xf numFmtId="0" fontId="21" fillId="9" borderId="64" xfId="0" applyFont="1" applyFill="1" applyBorder="1" applyAlignment="1">
      <alignment horizontal="center" vertical="justify"/>
    </xf>
    <xf numFmtId="171" fontId="15" fillId="9" borderId="45" xfId="0" applyNumberFormat="1" applyFont="1" applyFill="1" applyBorder="1" applyAlignment="1">
      <alignment vertical="center"/>
    </xf>
    <xf numFmtId="43" fontId="0" fillId="0" borderId="0" xfId="0" applyNumberFormat="1"/>
    <xf numFmtId="0" fontId="5" fillId="16" borderId="285" xfId="0" applyFont="1" applyFill="1" applyBorder="1" applyAlignment="1">
      <alignment horizontal="center" vertical="center"/>
    </xf>
    <xf numFmtId="175" fontId="5" fillId="16" borderId="286" xfId="0" applyNumberFormat="1" applyFont="1" applyFill="1" applyBorder="1" applyAlignment="1">
      <alignment horizontal="center" vertical="center"/>
    </xf>
    <xf numFmtId="175" fontId="5" fillId="16" borderId="287" xfId="0" applyNumberFormat="1" applyFont="1" applyFill="1" applyBorder="1" applyAlignment="1">
      <alignment horizontal="center" vertical="center"/>
    </xf>
    <xf numFmtId="0" fontId="9" fillId="0" borderId="63" xfId="0" applyFont="1" applyBorder="1" applyAlignment="1">
      <alignment vertical="justify"/>
    </xf>
    <xf numFmtId="171" fontId="0" fillId="0" borderId="64" xfId="0" applyNumberFormat="1" applyBorder="1"/>
    <xf numFmtId="171" fontId="0" fillId="0" borderId="45" xfId="0" applyNumberFormat="1" applyBorder="1"/>
    <xf numFmtId="175" fontId="10" fillId="16" borderId="286" xfId="0" applyNumberFormat="1" applyFont="1" applyFill="1" applyBorder="1" applyAlignment="1">
      <alignment horizontal="center" vertical="justify"/>
    </xf>
    <xf numFmtId="0" fontId="54" fillId="10" borderId="56" xfId="7" applyFont="1" applyFill="1" applyBorder="1" applyAlignment="1">
      <alignment horizontal="center" vertical="center" wrapText="1"/>
    </xf>
    <xf numFmtId="0" fontId="54" fillId="10" borderId="57" xfId="7" applyFont="1" applyFill="1" applyBorder="1" applyAlignment="1">
      <alignment horizontal="center" vertical="center" wrapText="1"/>
    </xf>
    <xf numFmtId="0" fontId="54" fillId="10" borderId="41" xfId="7" applyFont="1" applyFill="1" applyBorder="1" applyAlignment="1">
      <alignment horizontal="center" vertical="center" wrapText="1"/>
    </xf>
    <xf numFmtId="0" fontId="54" fillId="10" borderId="4" xfId="7" applyFont="1" applyFill="1" applyBorder="1" applyAlignment="1">
      <alignment horizontal="center" vertical="center" textRotation="90" wrapText="1"/>
    </xf>
    <xf numFmtId="0" fontId="54" fillId="10" borderId="6" xfId="7" applyFont="1" applyFill="1" applyBorder="1" applyAlignment="1">
      <alignment horizontal="center" vertical="center" textRotation="90" wrapText="1"/>
    </xf>
    <xf numFmtId="3" fontId="0" fillId="3" borderId="17" xfId="0" applyNumberFormat="1" applyFill="1" applyBorder="1" applyAlignment="1">
      <alignment horizontal="left" wrapText="1"/>
    </xf>
    <xf numFmtId="3" fontId="0" fillId="3" borderId="19" xfId="0" applyNumberFormat="1" applyFill="1" applyBorder="1" applyAlignment="1">
      <alignment horizontal="left" wrapText="1"/>
    </xf>
    <xf numFmtId="0" fontId="73" fillId="15" borderId="14" xfId="0" applyFont="1" applyFill="1" applyBorder="1" applyAlignment="1">
      <alignment horizontal="center" vertical="center"/>
    </xf>
    <xf numFmtId="0" fontId="73" fillId="15" borderId="0" xfId="0" applyFont="1" applyFill="1" applyAlignment="1">
      <alignment horizontal="center" vertical="center"/>
    </xf>
    <xf numFmtId="0" fontId="73" fillId="15" borderId="15" xfId="0" applyFont="1" applyFill="1" applyBorder="1" applyAlignment="1">
      <alignment horizontal="center" vertical="center"/>
    </xf>
    <xf numFmtId="0" fontId="11" fillId="0" borderId="0" xfId="0" applyFont="1" applyAlignment="1">
      <alignment horizontal="left" vertical="justify"/>
    </xf>
    <xf numFmtId="167" fontId="0" fillId="0" borderId="0" xfId="5" applyNumberFormat="1" applyFont="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167" fontId="0" fillId="0" borderId="6" xfId="5" applyNumberFormat="1" applyFont="1" applyBorder="1" applyAlignment="1">
      <alignment horizontal="center"/>
    </xf>
    <xf numFmtId="167" fontId="0" fillId="0" borderId="7" xfId="5" applyNumberFormat="1" applyFont="1" applyBorder="1" applyAlignment="1">
      <alignment horizontal="center"/>
    </xf>
    <xf numFmtId="0" fontId="10" fillId="0" borderId="72" xfId="0" applyFont="1" applyBorder="1" applyAlignment="1">
      <alignment horizontal="center"/>
    </xf>
    <xf numFmtId="0" fontId="10" fillId="0" borderId="73" xfId="0" applyFont="1" applyBorder="1" applyAlignment="1">
      <alignment horizontal="center"/>
    </xf>
    <xf numFmtId="0" fontId="10" fillId="0" borderId="74" xfId="0" applyFont="1" applyBorder="1" applyAlignment="1">
      <alignment horizontal="center"/>
    </xf>
    <xf numFmtId="167" fontId="0" fillId="0" borderId="0" xfId="5" applyNumberFormat="1" applyFont="1" applyBorder="1" applyAlignment="1">
      <alignment horizontal="center"/>
    </xf>
    <xf numFmtId="0" fontId="75" fillId="0" borderId="116" xfId="0" applyFont="1" applyBorder="1" applyAlignment="1">
      <alignment horizontal="center"/>
    </xf>
    <xf numFmtId="0" fontId="75" fillId="0" borderId="117" xfId="0" applyFont="1" applyBorder="1" applyAlignment="1">
      <alignment horizontal="center"/>
    </xf>
    <xf numFmtId="0" fontId="75" fillId="0" borderId="118" xfId="0" applyFont="1" applyBorder="1" applyAlignment="1">
      <alignment horizontal="center"/>
    </xf>
    <xf numFmtId="0" fontId="6" fillId="12" borderId="0" xfId="0" applyFont="1" applyFill="1" applyAlignment="1">
      <alignment horizontal="left"/>
    </xf>
    <xf numFmtId="0" fontId="3" fillId="12" borderId="0" xfId="0" applyFont="1" applyFill="1" applyAlignment="1">
      <alignment horizontal="left"/>
    </xf>
    <xf numFmtId="0" fontId="0" fillId="0" borderId="53" xfId="0" applyBorder="1" applyAlignment="1">
      <alignment horizontal="center"/>
    </xf>
    <xf numFmtId="0" fontId="0" fillId="0" borderId="51" xfId="0" applyBorder="1" applyAlignment="1">
      <alignment horizontal="center"/>
    </xf>
    <xf numFmtId="0" fontId="0" fillId="0" borderId="48" xfId="0" applyBorder="1" applyAlignment="1">
      <alignment horizontal="center"/>
    </xf>
    <xf numFmtId="0" fontId="67" fillId="12" borderId="0" xfId="0" applyFont="1" applyFill="1" applyAlignment="1">
      <alignment horizontal="left"/>
    </xf>
    <xf numFmtId="9" fontId="65" fillId="6" borderId="0" xfId="0" applyNumberFormat="1" applyFont="1" applyFill="1" applyAlignment="1">
      <alignment horizontal="left" vertical="center"/>
    </xf>
    <xf numFmtId="0" fontId="67" fillId="0" borderId="0" xfId="0" applyFont="1" applyAlignment="1">
      <alignment horizontal="left"/>
    </xf>
    <xf numFmtId="0" fontId="6" fillId="0" borderId="0" xfId="0" applyFont="1" applyAlignment="1">
      <alignment horizontal="left"/>
    </xf>
    <xf numFmtId="0" fontId="67" fillId="6" borderId="0" xfId="0" applyFont="1" applyFill="1" applyAlignment="1">
      <alignment horizontal="left"/>
    </xf>
    <xf numFmtId="0" fontId="10" fillId="0" borderId="4" xfId="0" applyFont="1" applyBorder="1" applyAlignment="1">
      <alignment horizontal="left" vertical="center"/>
    </xf>
    <xf numFmtId="0" fontId="0" fillId="0" borderId="1" xfId="0" applyBorder="1"/>
    <xf numFmtId="0" fontId="4" fillId="12" borderId="109" xfId="0" applyFont="1" applyFill="1" applyBorder="1" applyAlignment="1">
      <alignment horizontal="left"/>
    </xf>
    <xf numFmtId="0" fontId="4" fillId="12" borderId="0" xfId="0" applyFont="1" applyFill="1" applyAlignment="1">
      <alignment horizontal="left"/>
    </xf>
    <xf numFmtId="0" fontId="4" fillId="12" borderId="106" xfId="0" applyFont="1" applyFill="1" applyBorder="1" applyAlignment="1">
      <alignment horizontal="left"/>
    </xf>
    <xf numFmtId="0" fontId="15" fillId="0" borderId="4" xfId="0" applyFont="1" applyBorder="1" applyAlignment="1">
      <alignment horizontal="left"/>
    </xf>
    <xf numFmtId="0" fontId="15" fillId="0" borderId="1" xfId="0" applyFont="1" applyBorder="1" applyAlignment="1">
      <alignment horizontal="left"/>
    </xf>
    <xf numFmtId="0" fontId="10" fillId="0" borderId="34" xfId="0" applyFont="1" applyBorder="1" applyAlignment="1">
      <alignment horizontal="left" vertical="center"/>
    </xf>
    <xf numFmtId="0" fontId="10" fillId="0" borderId="20" xfId="0" applyFont="1" applyBorder="1" applyAlignment="1">
      <alignment horizontal="left" vertical="center"/>
    </xf>
    <xf numFmtId="0" fontId="35" fillId="5" borderId="68" xfId="0" applyFont="1" applyFill="1" applyBorder="1" applyAlignment="1">
      <alignment horizontal="center"/>
    </xf>
    <xf numFmtId="0" fontId="35" fillId="5" borderId="61" xfId="0" applyFont="1" applyFill="1" applyBorder="1" applyAlignment="1">
      <alignment horizontal="center"/>
    </xf>
    <xf numFmtId="0" fontId="35" fillId="5" borderId="50" xfId="0" applyFont="1" applyFill="1" applyBorder="1" applyAlignment="1">
      <alignment horizontal="center"/>
    </xf>
    <xf numFmtId="0" fontId="10" fillId="0" borderId="42" xfId="0" applyFont="1" applyBorder="1" applyAlignment="1">
      <alignment horizontal="left" vertical="center"/>
    </xf>
    <xf numFmtId="0" fontId="10" fillId="0" borderId="26" xfId="0" applyFont="1" applyBorder="1" applyAlignment="1">
      <alignment horizontal="left" vertical="center"/>
    </xf>
    <xf numFmtId="0" fontId="5" fillId="12" borderId="110" xfId="0" applyFont="1" applyFill="1" applyBorder="1" applyAlignment="1">
      <alignment horizontal="center" vertical="justify"/>
    </xf>
    <xf numFmtId="0" fontId="5" fillId="12" borderId="111" xfId="0" applyFont="1" applyFill="1" applyBorder="1" applyAlignment="1">
      <alignment horizontal="center" vertical="justify"/>
    </xf>
    <xf numFmtId="0" fontId="5" fillId="12" borderId="112" xfId="0" applyFont="1" applyFill="1" applyBorder="1" applyAlignment="1">
      <alignment horizontal="center" vertical="justify"/>
    </xf>
    <xf numFmtId="0" fontId="6" fillId="12" borderId="104" xfId="0" applyFont="1" applyFill="1" applyBorder="1" applyAlignment="1">
      <alignment horizontal="left"/>
    </xf>
    <xf numFmtId="0" fontId="6" fillId="12" borderId="126" xfId="0" applyFont="1" applyFill="1" applyBorder="1" applyAlignment="1">
      <alignment horizontal="left"/>
    </xf>
    <xf numFmtId="0" fontId="6" fillId="12" borderId="106" xfId="0" applyFont="1" applyFill="1" applyBorder="1" applyAlignment="1">
      <alignment horizontal="left"/>
    </xf>
    <xf numFmtId="0" fontId="4" fillId="0" borderId="60" xfId="0" applyFont="1" applyBorder="1" applyAlignment="1">
      <alignment horizontal="left"/>
    </xf>
    <xf numFmtId="0" fontId="4" fillId="0" borderId="62" xfId="0" applyFont="1" applyBorder="1" applyAlignment="1">
      <alignment horizontal="left"/>
    </xf>
    <xf numFmtId="0" fontId="25" fillId="12" borderId="0" xfId="0" applyFont="1" applyFill="1" applyAlignment="1">
      <alignment horizontal="left"/>
    </xf>
    <xf numFmtId="43" fontId="0" fillId="0" borderId="60" xfId="4" applyFont="1" applyBorder="1" applyAlignment="1" applyProtection="1">
      <alignment horizontal="center"/>
      <protection hidden="1"/>
    </xf>
    <xf numFmtId="43" fontId="0" fillId="0" borderId="50" xfId="4" applyFont="1" applyBorder="1" applyAlignment="1" applyProtection="1">
      <alignment horizontal="center"/>
      <protection hidden="1"/>
    </xf>
    <xf numFmtId="0" fontId="6" fillId="0" borderId="2" xfId="0" applyFont="1" applyBorder="1" applyAlignment="1" applyProtection="1">
      <alignment horizontal="center"/>
      <protection hidden="1"/>
    </xf>
    <xf numFmtId="0" fontId="6" fillId="0" borderId="3" xfId="0" applyFont="1" applyBorder="1" applyAlignment="1" applyProtection="1">
      <alignment horizontal="center"/>
      <protection hidden="1"/>
    </xf>
    <xf numFmtId="167" fontId="60" fillId="0" borderId="6" xfId="6" applyNumberFormat="1" applyFont="1" applyBorder="1" applyAlignment="1" applyProtection="1">
      <alignment horizontal="center"/>
      <protection hidden="1"/>
    </xf>
    <xf numFmtId="167" fontId="60" fillId="0" borderId="7" xfId="6" applyNumberFormat="1" applyFont="1" applyBorder="1" applyAlignment="1" applyProtection="1">
      <alignment horizontal="center"/>
      <protection hidden="1"/>
    </xf>
    <xf numFmtId="0" fontId="9" fillId="0" borderId="0" xfId="0" applyFont="1" applyAlignment="1" applyProtection="1">
      <alignment horizontal="left"/>
      <protection hidden="1"/>
    </xf>
    <xf numFmtId="0" fontId="9" fillId="0" borderId="0" xfId="0" applyFont="1" applyAlignment="1" applyProtection="1">
      <alignment horizontal="left" vertical="center"/>
      <protection hidden="1"/>
    </xf>
    <xf numFmtId="0" fontId="6" fillId="8" borderId="0" xfId="0" applyFont="1" applyFill="1" applyAlignment="1" applyProtection="1">
      <alignment horizontal="left"/>
      <protection hidden="1"/>
    </xf>
    <xf numFmtId="0" fontId="0" fillId="8" borderId="0" xfId="0" applyFill="1" applyAlignment="1" applyProtection="1">
      <alignment horizontal="left"/>
      <protection hidden="1"/>
    </xf>
    <xf numFmtId="0" fontId="5" fillId="0" borderId="0" xfId="0" applyFont="1" applyAlignment="1" applyProtection="1">
      <alignment horizontal="center" vertical="center" textRotation="90"/>
      <protection hidden="1"/>
    </xf>
    <xf numFmtId="0" fontId="6" fillId="8" borderId="125" xfId="0" applyFont="1" applyFill="1" applyBorder="1" applyAlignment="1" applyProtection="1">
      <alignment horizontal="left"/>
      <protection hidden="1"/>
    </xf>
    <xf numFmtId="0" fontId="0" fillId="8" borderId="98" xfId="0" applyFill="1" applyBorder="1" applyAlignment="1" applyProtection="1">
      <alignment horizontal="left"/>
      <protection hidden="1"/>
    </xf>
    <xf numFmtId="0" fontId="6" fillId="0" borderId="109" xfId="0" applyFont="1" applyBorder="1" applyAlignment="1">
      <alignment horizontal="left"/>
    </xf>
    <xf numFmtId="0" fontId="73" fillId="15" borderId="119" xfId="0" applyFont="1" applyFill="1" applyBorder="1" applyAlignment="1" applyProtection="1">
      <alignment horizontal="center" vertical="center"/>
      <protection hidden="1"/>
    </xf>
    <xf numFmtId="0" fontId="73" fillId="15" borderId="0" xfId="0" applyFont="1" applyFill="1" applyAlignment="1" applyProtection="1">
      <alignment horizontal="center" vertical="center"/>
      <protection hidden="1"/>
    </xf>
    <xf numFmtId="0" fontId="73" fillId="15" borderId="97" xfId="0" applyFont="1" applyFill="1" applyBorder="1" applyAlignment="1" applyProtection="1">
      <alignment horizontal="center" vertical="center"/>
      <protection hidden="1"/>
    </xf>
    <xf numFmtId="0" fontId="8" fillId="0" borderId="119" xfId="0" applyFont="1" applyBorder="1" applyAlignment="1" applyProtection="1">
      <alignment horizontal="center" vertical="center" textRotation="90"/>
      <protection hidden="1"/>
    </xf>
    <xf numFmtId="0" fontId="27" fillId="8" borderId="0" xfId="0" applyFont="1" applyFill="1" applyAlignment="1" applyProtection="1">
      <alignment horizontal="left" vertical="justify"/>
      <protection hidden="1"/>
    </xf>
    <xf numFmtId="0" fontId="10" fillId="8" borderId="0" xfId="0" applyFont="1" applyFill="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left"/>
      <protection hidden="1"/>
    </xf>
    <xf numFmtId="0" fontId="9" fillId="8" borderId="0" xfId="0" applyFont="1" applyFill="1" applyAlignment="1" applyProtection="1">
      <alignment horizontal="left"/>
      <protection hidden="1"/>
    </xf>
    <xf numFmtId="0" fontId="5" fillId="0" borderId="0" xfId="0" applyFont="1" applyAlignment="1" applyProtection="1">
      <alignment horizontal="center" vertical="justify" textRotation="90"/>
      <protection hidden="1"/>
    </xf>
    <xf numFmtId="0" fontId="26" fillId="8" borderId="0" xfId="0" applyFont="1" applyFill="1" applyAlignment="1" applyProtection="1">
      <alignment horizontal="left" vertical="justify"/>
      <protection hidden="1"/>
    </xf>
    <xf numFmtId="0" fontId="10" fillId="0" borderId="0" xfId="0" applyFont="1" applyAlignment="1" applyProtection="1">
      <alignment horizontal="center" vertical="justify" textRotation="90"/>
      <protection hidden="1"/>
    </xf>
    <xf numFmtId="167" fontId="0" fillId="0" borderId="60" xfId="0" applyNumberFormat="1" applyBorder="1" applyAlignment="1" applyProtection="1">
      <alignment horizontal="center"/>
      <protection hidden="1"/>
    </xf>
    <xf numFmtId="0" fontId="0" fillId="0" borderId="50" xfId="0" applyBorder="1" applyAlignment="1" applyProtection="1">
      <alignment horizontal="center"/>
      <protection hidden="1"/>
    </xf>
    <xf numFmtId="0" fontId="9" fillId="8" borderId="0" xfId="0" applyFont="1" applyFill="1" applyAlignment="1" applyProtection="1">
      <alignment horizontal="left" vertical="center"/>
      <protection hidden="1"/>
    </xf>
    <xf numFmtId="0" fontId="4" fillId="8" borderId="0" xfId="0" applyFont="1" applyFill="1" applyAlignment="1" applyProtection="1">
      <alignment horizontal="left" vertical="center"/>
      <protection hidden="1"/>
    </xf>
    <xf numFmtId="0" fontId="16" fillId="0" borderId="120" xfId="0" applyFont="1" applyBorder="1" applyAlignment="1" applyProtection="1">
      <alignment horizontal="center"/>
      <protection hidden="1"/>
    </xf>
    <xf numFmtId="0" fontId="5" fillId="0" borderId="120" xfId="0" applyFont="1" applyBorder="1" applyAlignment="1" applyProtection="1">
      <alignment horizontal="center"/>
      <protection hidden="1"/>
    </xf>
    <xf numFmtId="0" fontId="9" fillId="8" borderId="95" xfId="0" applyFont="1" applyFill="1" applyBorder="1" applyAlignment="1" applyProtection="1">
      <alignment horizontal="left"/>
      <protection hidden="1"/>
    </xf>
    <xf numFmtId="0" fontId="26" fillId="0" borderId="0" xfId="0" applyFont="1" applyAlignment="1" applyProtection="1">
      <alignment horizontal="left"/>
      <protection hidden="1"/>
    </xf>
    <xf numFmtId="0" fontId="0" fillId="8" borderId="95" xfId="0" applyFill="1" applyBorder="1" applyAlignment="1" applyProtection="1">
      <alignment horizontal="left"/>
      <protection hidden="1"/>
    </xf>
    <xf numFmtId="0" fontId="10" fillId="0" borderId="121" xfId="0" applyFont="1" applyBorder="1" applyAlignment="1" applyProtection="1">
      <alignment horizontal="center" textRotation="90"/>
      <protection hidden="1"/>
    </xf>
    <xf numFmtId="0" fontId="10" fillId="0" borderId="119" xfId="0" applyFont="1" applyBorder="1" applyAlignment="1" applyProtection="1">
      <alignment horizontal="center" textRotation="90"/>
      <protection hidden="1"/>
    </xf>
    <xf numFmtId="0" fontId="0" fillId="0" borderId="98" xfId="0" applyBorder="1" applyAlignment="1" applyProtection="1">
      <alignment horizontal="center"/>
      <protection hidden="1"/>
    </xf>
    <xf numFmtId="0" fontId="35" fillId="8" borderId="0" xfId="0" applyFont="1" applyFill="1" applyAlignment="1" applyProtection="1">
      <alignment horizontal="center" vertical="center"/>
      <protection hidden="1"/>
    </xf>
    <xf numFmtId="0" fontId="5" fillId="0" borderId="122" xfId="0" applyFont="1" applyBorder="1" applyAlignment="1" applyProtection="1">
      <alignment horizontal="center" textRotation="90"/>
      <protection hidden="1"/>
    </xf>
    <xf numFmtId="0" fontId="5" fillId="0" borderId="123" xfId="0" applyFont="1" applyBorder="1" applyAlignment="1" applyProtection="1">
      <alignment horizontal="center" textRotation="90"/>
      <protection hidden="1"/>
    </xf>
    <xf numFmtId="0" fontId="5" fillId="0" borderId="124" xfId="0" applyFont="1" applyBorder="1" applyAlignment="1" applyProtection="1">
      <alignment horizontal="center" textRotation="90"/>
      <protection hidden="1"/>
    </xf>
    <xf numFmtId="167" fontId="0" fillId="5" borderId="60" xfId="0" applyNumberFormat="1" applyFill="1" applyBorder="1" applyAlignment="1">
      <alignment horizontal="center"/>
    </xf>
    <xf numFmtId="0" fontId="0" fillId="5" borderId="50" xfId="0"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167" fontId="57" fillId="5" borderId="6" xfId="5" applyNumberFormat="1" applyFont="1" applyFill="1" applyBorder="1" applyAlignment="1">
      <alignment horizontal="center"/>
    </xf>
    <xf numFmtId="167" fontId="57" fillId="5" borderId="7" xfId="5" applyNumberFormat="1" applyFont="1" applyFill="1" applyBorder="1" applyAlignment="1">
      <alignment horizontal="center"/>
    </xf>
    <xf numFmtId="0" fontId="10" fillId="8" borderId="0" xfId="0" applyFont="1" applyFill="1" applyAlignment="1" applyProtection="1">
      <alignment horizontal="left" vertical="center"/>
      <protection hidden="1"/>
    </xf>
    <xf numFmtId="0" fontId="10" fillId="0" borderId="0" xfId="0" applyFont="1" applyAlignment="1" applyProtection="1">
      <alignment vertical="center"/>
      <protection hidden="1"/>
    </xf>
    <xf numFmtId="0" fontId="10" fillId="8" borderId="0" xfId="0" applyFont="1" applyFill="1" applyAlignment="1" applyProtection="1">
      <alignment vertical="center"/>
      <protection hidden="1"/>
    </xf>
    <xf numFmtId="0" fontId="26" fillId="8" borderId="0" xfId="0" applyFont="1" applyFill="1" applyAlignment="1" applyProtection="1">
      <alignment vertical="justify"/>
      <protection hidden="1"/>
    </xf>
    <xf numFmtId="0" fontId="75" fillId="0" borderId="95" xfId="0" applyFont="1" applyBorder="1" applyAlignment="1" applyProtection="1">
      <alignment horizontal="center"/>
      <protection hidden="1"/>
    </xf>
    <xf numFmtId="0" fontId="10" fillId="0" borderId="0" xfId="0" applyFont="1" applyAlignment="1" applyProtection="1">
      <alignment horizontal="left" vertical="center"/>
      <protection hidden="1"/>
    </xf>
    <xf numFmtId="0" fontId="16" fillId="0" borderId="0" xfId="0" applyFont="1" applyAlignment="1" applyProtection="1">
      <alignment horizontal="center" vertical="center" textRotation="90"/>
      <protection hidden="1"/>
    </xf>
    <xf numFmtId="0" fontId="16" fillId="0" borderId="119" xfId="0" applyFont="1" applyBorder="1" applyAlignment="1" applyProtection="1">
      <alignment horizontal="center" vertical="center" textRotation="90"/>
      <protection hidden="1"/>
    </xf>
    <xf numFmtId="0" fontId="26" fillId="0" borderId="0" xfId="0" applyFont="1" applyAlignment="1" applyProtection="1">
      <alignment vertical="justify"/>
      <protection hidden="1"/>
    </xf>
    <xf numFmtId="0" fontId="6" fillId="0" borderId="119" xfId="0" applyFont="1" applyBorder="1" applyAlignment="1" applyProtection="1">
      <alignment horizontal="left"/>
      <protection hidden="1"/>
    </xf>
    <xf numFmtId="0" fontId="15" fillId="0" borderId="0" xfId="0" applyFont="1" applyAlignment="1" applyProtection="1">
      <alignment vertical="center"/>
      <protection hidden="1"/>
    </xf>
    <xf numFmtId="0" fontId="10" fillId="8" borderId="0" xfId="0" applyFont="1" applyFill="1" applyAlignment="1" applyProtection="1">
      <alignment horizontal="left" vertical="justify"/>
      <protection hidden="1"/>
    </xf>
    <xf numFmtId="0" fontId="4" fillId="0" borderId="0" xfId="0" applyFont="1" applyAlignment="1" applyProtection="1">
      <alignment horizontal="left"/>
      <protection hidden="1"/>
    </xf>
    <xf numFmtId="0" fontId="5" fillId="0" borderId="119" xfId="0" applyFont="1" applyBorder="1" applyAlignment="1" applyProtection="1">
      <alignment horizontal="center" textRotation="90"/>
      <protection hidden="1"/>
    </xf>
    <xf numFmtId="0" fontId="9" fillId="0" borderId="0" xfId="0" applyFont="1" applyAlignment="1" applyProtection="1">
      <alignment horizontal="left" vertical="justify"/>
      <protection hidden="1"/>
    </xf>
    <xf numFmtId="0" fontId="67" fillId="0" borderId="2" xfId="0" applyFont="1" applyBorder="1" applyAlignment="1" applyProtection="1">
      <alignment horizontal="center"/>
      <protection locked="0"/>
    </xf>
    <xf numFmtId="0" fontId="67" fillId="0" borderId="3" xfId="0" applyFont="1" applyBorder="1" applyAlignment="1" applyProtection="1">
      <alignment horizontal="center"/>
      <protection locked="0"/>
    </xf>
    <xf numFmtId="167" fontId="2" fillId="0" borderId="6" xfId="6" applyNumberFormat="1" applyFont="1" applyBorder="1" applyAlignment="1" applyProtection="1">
      <alignment horizontal="center"/>
      <protection locked="0"/>
    </xf>
    <xf numFmtId="167" fontId="2" fillId="0" borderId="7" xfId="6" applyNumberFormat="1" applyFont="1" applyBorder="1" applyAlignment="1" applyProtection="1">
      <alignment horizontal="center"/>
      <protection locked="0"/>
    </xf>
    <xf numFmtId="43" fontId="0" fillId="0" borderId="60" xfId="4" applyFont="1" applyBorder="1" applyAlignment="1" applyProtection="1">
      <alignment horizontal="center"/>
      <protection locked="0"/>
    </xf>
    <xf numFmtId="43" fontId="0" fillId="0" borderId="50" xfId="4" applyFont="1" applyBorder="1" applyAlignment="1" applyProtection="1">
      <alignment horizontal="center"/>
      <protection locked="0"/>
    </xf>
    <xf numFmtId="0" fontId="3" fillId="0" borderId="0" xfId="0" applyFont="1" applyAlignment="1">
      <alignment horizontal="left"/>
    </xf>
    <xf numFmtId="0" fontId="0" fillId="0" borderId="0" xfId="0" applyAlignment="1">
      <alignment horizontal="left"/>
    </xf>
    <xf numFmtId="0" fontId="0" fillId="0" borderId="0" xfId="0" applyAlignment="1">
      <alignment horizontal="center"/>
    </xf>
    <xf numFmtId="167" fontId="0" fillId="0" borderId="60" xfId="0" applyNumberFormat="1" applyBorder="1" applyAlignment="1" applyProtection="1">
      <alignment horizontal="center"/>
      <protection locked="0"/>
    </xf>
    <xf numFmtId="0" fontId="0" fillId="0" borderId="50" xfId="0" applyBorder="1" applyAlignment="1" applyProtection="1">
      <alignment horizontal="center"/>
      <protection locked="0"/>
    </xf>
    <xf numFmtId="0" fontId="3" fillId="0" borderId="1" xfId="0" applyFont="1" applyBorder="1" applyAlignment="1">
      <alignment horizontal="center"/>
    </xf>
    <xf numFmtId="0" fontId="0" fillId="0" borderId="1" xfId="0" applyBorder="1" applyAlignment="1">
      <alignment horizontal="center"/>
    </xf>
    <xf numFmtId="167" fontId="0" fillId="0" borderId="1" xfId="0" applyNumberForma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left"/>
    </xf>
    <xf numFmtId="0" fontId="0" fillId="0" borderId="1" xfId="0" applyBorder="1" applyAlignment="1">
      <alignment horizontal="left"/>
    </xf>
    <xf numFmtId="171" fontId="0" fillId="0" borderId="1" xfId="4" applyNumberFormat="1" applyFont="1" applyBorder="1" applyAlignment="1">
      <alignment horizontal="center"/>
    </xf>
    <xf numFmtId="167" fontId="0" fillId="0" borderId="1" xfId="5" applyNumberFormat="1" applyFont="1" applyBorder="1" applyAlignment="1">
      <alignment horizont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9" borderId="1" xfId="0" applyFont="1" applyFill="1" applyBorder="1" applyAlignment="1">
      <alignment horizontal="center"/>
    </xf>
    <xf numFmtId="0" fontId="5" fillId="0" borderId="1" xfId="0" applyFont="1" applyBorder="1" applyAlignment="1">
      <alignment horizontal="left"/>
    </xf>
    <xf numFmtId="0" fontId="3" fillId="0" borderId="1" xfId="0" applyFont="1" applyBorder="1" applyAlignment="1">
      <alignment horizontal="left" wrapText="1"/>
    </xf>
    <xf numFmtId="0" fontId="0" fillId="0" borderId="60" xfId="0" applyBorder="1" applyAlignment="1" applyProtection="1">
      <alignment horizontal="center"/>
      <protection locked="0"/>
    </xf>
    <xf numFmtId="0" fontId="35" fillId="2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15" fillId="0" borderId="149" xfId="0" applyFont="1" applyBorder="1" applyAlignment="1" applyProtection="1">
      <alignment horizontal="center" vertical="center" textRotation="90"/>
      <protection hidden="1"/>
    </xf>
    <xf numFmtId="0" fontId="15" fillId="0" borderId="150" xfId="0" applyFont="1" applyBorder="1" applyAlignment="1" applyProtection="1">
      <alignment horizontal="center" vertical="center" textRotation="90"/>
      <protection hidden="1"/>
    </xf>
    <xf numFmtId="0" fontId="15" fillId="0" borderId="151" xfId="0" applyFont="1" applyBorder="1" applyAlignment="1" applyProtection="1">
      <alignment horizontal="center" vertical="center" textRotation="90"/>
      <protection hidden="1"/>
    </xf>
    <xf numFmtId="0" fontId="4" fillId="0" borderId="149" xfId="0" applyFont="1" applyBorder="1" applyAlignment="1" applyProtection="1">
      <alignment horizontal="justify" vertical="justify"/>
      <protection hidden="1"/>
    </xf>
    <xf numFmtId="0" fontId="0" fillId="20" borderId="159" xfId="0" applyFill="1" applyBorder="1" applyAlignment="1" applyProtection="1">
      <alignment horizontal="left"/>
      <protection hidden="1"/>
    </xf>
    <xf numFmtId="0" fontId="0" fillId="20" borderId="157" xfId="0" applyFill="1" applyBorder="1" applyAlignment="1" applyProtection="1">
      <alignment horizontal="left"/>
      <protection hidden="1"/>
    </xf>
    <xf numFmtId="0" fontId="0" fillId="20" borderId="160" xfId="0" applyFill="1" applyBorder="1" applyAlignment="1" applyProtection="1">
      <alignment horizontal="left"/>
      <protection hidden="1"/>
    </xf>
    <xf numFmtId="0" fontId="0" fillId="0" borderId="152" xfId="0" applyBorder="1" applyAlignment="1" applyProtection="1">
      <alignment horizontal="left"/>
      <protection hidden="1"/>
    </xf>
    <xf numFmtId="0" fontId="0" fillId="0" borderId="153" xfId="0" applyBorder="1" applyAlignment="1" applyProtection="1">
      <alignment horizontal="left"/>
      <protection hidden="1"/>
    </xf>
    <xf numFmtId="0" fontId="0" fillId="20" borderId="161" xfId="0" applyFill="1" applyBorder="1" applyAlignment="1" applyProtection="1">
      <alignment horizontal="left"/>
      <protection hidden="1"/>
    </xf>
    <xf numFmtId="0" fontId="0" fillId="20" borderId="162" xfId="0" applyFill="1" applyBorder="1" applyAlignment="1" applyProtection="1">
      <alignment horizontal="left"/>
      <protection hidden="1"/>
    </xf>
    <xf numFmtId="0" fontId="0" fillId="20" borderId="158" xfId="0" applyFill="1" applyBorder="1" applyAlignment="1" applyProtection="1">
      <alignment horizontal="left"/>
      <protection hidden="1"/>
    </xf>
    <xf numFmtId="0" fontId="4" fillId="20" borderId="154" xfId="0" applyFont="1" applyFill="1" applyBorder="1" applyAlignment="1" applyProtection="1">
      <alignment horizontal="left" vertical="center"/>
      <protection hidden="1"/>
    </xf>
    <xf numFmtId="0" fontId="4" fillId="20" borderId="155" xfId="0" applyFont="1" applyFill="1" applyBorder="1" applyAlignment="1" applyProtection="1">
      <alignment horizontal="left" vertical="center"/>
      <protection hidden="1"/>
    </xf>
    <xf numFmtId="0" fontId="10" fillId="20" borderId="152" xfId="0" applyFont="1" applyFill="1" applyBorder="1" applyAlignment="1" applyProtection="1">
      <alignment horizontal="left" vertical="justify"/>
      <protection hidden="1"/>
    </xf>
    <xf numFmtId="0" fontId="10" fillId="20" borderId="153" xfId="0" applyFont="1" applyFill="1" applyBorder="1" applyAlignment="1" applyProtection="1">
      <alignment horizontal="left" vertical="justify"/>
      <protection hidden="1"/>
    </xf>
    <xf numFmtId="0" fontId="9" fillId="0" borderId="151" xfId="0" applyFont="1" applyBorder="1" applyAlignment="1" applyProtection="1">
      <alignment horizontal="left" vertical="center"/>
      <protection hidden="1"/>
    </xf>
    <xf numFmtId="0" fontId="9" fillId="20" borderId="149" xfId="0" applyFont="1" applyFill="1" applyBorder="1" applyAlignment="1" applyProtection="1">
      <alignment horizontal="justify" vertical="justify"/>
      <protection hidden="1"/>
    </xf>
    <xf numFmtId="0" fontId="9" fillId="0" borderId="150" xfId="0" applyFont="1" applyBorder="1" applyAlignment="1" applyProtection="1">
      <alignment horizontal="left"/>
      <protection hidden="1"/>
    </xf>
    <xf numFmtId="0" fontId="26" fillId="20" borderId="150" xfId="0" applyFont="1" applyFill="1" applyBorder="1" applyAlignment="1" applyProtection="1">
      <alignment horizontal="left" vertical="justify"/>
      <protection hidden="1"/>
    </xf>
    <xf numFmtId="0" fontId="9" fillId="20" borderId="151" xfId="0" applyFont="1" applyFill="1" applyBorder="1" applyAlignment="1" applyProtection="1">
      <alignment horizontal="left"/>
      <protection hidden="1"/>
    </xf>
    <xf numFmtId="0" fontId="9" fillId="20" borderId="149" xfId="0" applyFont="1" applyFill="1" applyBorder="1" applyAlignment="1" applyProtection="1">
      <alignment horizontal="left" vertical="justify"/>
      <protection hidden="1"/>
    </xf>
    <xf numFmtId="0" fontId="9" fillId="20" borderId="150" xfId="0" applyFont="1" applyFill="1" applyBorder="1" applyAlignment="1" applyProtection="1">
      <alignment horizontal="left" vertical="justify"/>
      <protection hidden="1"/>
    </xf>
    <xf numFmtId="0" fontId="15" fillId="0" borderId="164" xfId="0" applyFont="1" applyBorder="1" applyAlignment="1" applyProtection="1">
      <alignment horizontal="justify" vertical="center" textRotation="90"/>
      <protection hidden="1"/>
    </xf>
    <xf numFmtId="0" fontId="9" fillId="0" borderId="150" xfId="0" applyFont="1" applyBorder="1" applyAlignment="1">
      <alignment horizontal="left" vertical="justify" wrapText="1"/>
    </xf>
    <xf numFmtId="0" fontId="9" fillId="0" borderId="150" xfId="0" applyFont="1" applyBorder="1" applyAlignment="1">
      <alignment horizontal="left" vertical="justify"/>
    </xf>
    <xf numFmtId="0" fontId="9" fillId="0" borderId="150" xfId="0" applyFont="1" applyBorder="1" applyAlignment="1" applyProtection="1">
      <alignment horizontal="justify" vertical="justify"/>
      <protection hidden="1"/>
    </xf>
    <xf numFmtId="0" fontId="25" fillId="0" borderId="149" xfId="0" applyFont="1" applyBorder="1" applyAlignment="1">
      <alignment horizontal="justify" vertical="center" textRotation="90"/>
    </xf>
    <xf numFmtId="0" fontId="25" fillId="0" borderId="150" xfId="0" applyFont="1" applyBorder="1" applyAlignment="1">
      <alignment horizontal="justify" vertical="center" textRotation="90"/>
    </xf>
    <xf numFmtId="0" fontId="25" fillId="0" borderId="153" xfId="0" applyFont="1" applyBorder="1" applyAlignment="1">
      <alignment horizontal="justify" vertical="center" textRotation="90"/>
    </xf>
    <xf numFmtId="0" fontId="25" fillId="0" borderId="158" xfId="0" applyFont="1" applyBorder="1" applyAlignment="1">
      <alignment horizontal="justify" vertical="center" textRotation="90"/>
    </xf>
    <xf numFmtId="0" fontId="9" fillId="20" borderId="150" xfId="0" applyFont="1" applyFill="1" applyBorder="1" applyAlignment="1" applyProtection="1">
      <alignment horizontal="justify" vertical="justify"/>
      <protection hidden="1"/>
    </xf>
    <xf numFmtId="0" fontId="3" fillId="0" borderId="151" xfId="0" applyFont="1" applyBorder="1" applyAlignment="1" applyProtection="1">
      <alignment horizontal="left"/>
      <protection hidden="1"/>
    </xf>
    <xf numFmtId="0" fontId="0" fillId="0" borderId="151" xfId="0" applyBorder="1" applyAlignment="1" applyProtection="1">
      <alignment horizontal="left"/>
      <protection hidden="1"/>
    </xf>
    <xf numFmtId="0" fontId="9" fillId="0" borderId="150" xfId="0" applyFont="1" applyBorder="1" applyAlignment="1" applyProtection="1">
      <alignment horizontal="left" vertical="justify"/>
      <protection hidden="1"/>
    </xf>
    <xf numFmtId="0" fontId="3" fillId="0" borderId="25" xfId="0" applyFont="1" applyBorder="1" applyAlignment="1" applyProtection="1">
      <alignment horizontal="center"/>
      <protection hidden="1"/>
    </xf>
    <xf numFmtId="0" fontId="6" fillId="0" borderId="37" xfId="0" applyFont="1" applyBorder="1" applyAlignment="1" applyProtection="1">
      <alignment horizontal="center"/>
      <protection hidden="1"/>
    </xf>
    <xf numFmtId="0" fontId="65" fillId="0" borderId="151" xfId="0" applyFont="1" applyBorder="1" applyAlignment="1" applyProtection="1">
      <alignment horizontal="left" wrapText="1"/>
      <protection hidden="1"/>
    </xf>
    <xf numFmtId="0" fontId="16" fillId="0" borderId="173" xfId="0" applyFont="1" applyBorder="1" applyAlignment="1" applyProtection="1">
      <alignment horizontal="center" vertical="center" textRotation="90"/>
      <protection hidden="1"/>
    </xf>
    <xf numFmtId="0" fontId="16" fillId="0" borderId="98" xfId="0" applyFont="1" applyBorder="1" applyAlignment="1" applyProtection="1">
      <alignment horizontal="center" vertical="center" textRotation="90"/>
      <protection hidden="1"/>
    </xf>
    <xf numFmtId="171" fontId="9" fillId="20" borderId="150" xfId="4" applyNumberFormat="1" applyFont="1" applyFill="1" applyBorder="1" applyAlignment="1" applyProtection="1">
      <alignment horizontal="left" vertical="justify" wrapText="1"/>
      <protection hidden="1"/>
    </xf>
    <xf numFmtId="171" fontId="9" fillId="20" borderId="150" xfId="4" applyNumberFormat="1" applyFont="1" applyFill="1" applyBorder="1" applyAlignment="1" applyProtection="1">
      <alignment horizontal="left" vertical="justify"/>
      <protection hidden="1"/>
    </xf>
    <xf numFmtId="0" fontId="5" fillId="0" borderId="149" xfId="0" applyFont="1" applyBorder="1" applyAlignment="1">
      <alignment horizontal="center" vertical="center" textRotation="90"/>
    </xf>
    <xf numFmtId="0" fontId="5" fillId="0" borderId="150" xfId="0" applyFont="1" applyBorder="1" applyAlignment="1">
      <alignment horizontal="center" vertical="center" textRotation="90"/>
    </xf>
    <xf numFmtId="0" fontId="5" fillId="0" borderId="151" xfId="0" applyFont="1" applyBorder="1" applyAlignment="1">
      <alignment horizontal="center" vertical="center" textRotation="90"/>
    </xf>
    <xf numFmtId="0" fontId="9" fillId="0" borderId="149" xfId="0" applyFont="1" applyBorder="1" applyAlignment="1" applyProtection="1">
      <alignment horizontal="left"/>
      <protection hidden="1"/>
    </xf>
    <xf numFmtId="0" fontId="9" fillId="20" borderId="150" xfId="0" applyFont="1" applyFill="1" applyBorder="1" applyAlignment="1" applyProtection="1">
      <alignment horizontal="left" wrapText="1"/>
      <protection hidden="1"/>
    </xf>
    <xf numFmtId="0" fontId="9" fillId="0" borderId="150" xfId="0" applyFont="1" applyBorder="1" applyAlignment="1" applyProtection="1">
      <alignment horizontal="left" wrapText="1"/>
      <protection hidden="1"/>
    </xf>
    <xf numFmtId="0" fontId="10" fillId="0" borderId="169" xfId="0" applyFont="1" applyBorder="1" applyAlignment="1" applyProtection="1">
      <alignment horizontal="left" wrapText="1"/>
      <protection hidden="1"/>
    </xf>
    <xf numFmtId="0" fontId="10" fillId="0" borderId="170" xfId="0" applyFont="1" applyBorder="1" applyAlignment="1" applyProtection="1">
      <alignment horizontal="left" wrapText="1"/>
      <protection hidden="1"/>
    </xf>
    <xf numFmtId="0" fontId="10" fillId="0" borderId="169" xfId="0" applyFont="1" applyBorder="1" applyAlignment="1" applyProtection="1">
      <alignment horizontal="left" vertical="justify"/>
      <protection hidden="1"/>
    </xf>
    <xf numFmtId="0" fontId="10" fillId="0" borderId="170" xfId="0" applyFont="1" applyBorder="1" applyAlignment="1" applyProtection="1">
      <alignment horizontal="left" vertical="justify"/>
      <protection hidden="1"/>
    </xf>
    <xf numFmtId="0" fontId="10" fillId="20" borderId="171" xfId="0" applyFont="1" applyFill="1" applyBorder="1" applyAlignment="1" applyProtection="1">
      <alignment horizontal="left" vertical="center" wrapText="1"/>
      <protection hidden="1"/>
    </xf>
    <xf numFmtId="0" fontId="10" fillId="20" borderId="172" xfId="0" applyFont="1" applyFill="1" applyBorder="1" applyAlignment="1" applyProtection="1">
      <alignment horizontal="left" vertical="center" wrapText="1"/>
      <protection hidden="1"/>
    </xf>
    <xf numFmtId="0" fontId="10" fillId="0" borderId="163" xfId="0" applyFont="1" applyBorder="1" applyAlignment="1" applyProtection="1">
      <alignment horizontal="left" vertical="center"/>
      <protection hidden="1"/>
    </xf>
    <xf numFmtId="0" fontId="10" fillId="20" borderId="163" xfId="0" applyFont="1" applyFill="1" applyBorder="1" applyAlignment="1" applyProtection="1">
      <alignment vertical="center"/>
      <protection hidden="1"/>
    </xf>
    <xf numFmtId="0" fontId="3" fillId="0" borderId="150" xfId="0" applyFont="1" applyBorder="1" applyAlignment="1">
      <alignment horizontal="left"/>
    </xf>
    <xf numFmtId="0" fontId="0" fillId="0" borderId="150" xfId="0" applyBorder="1" applyAlignment="1">
      <alignment horizontal="left"/>
    </xf>
    <xf numFmtId="171" fontId="9" fillId="20" borderId="150" xfId="4" applyNumberFormat="1" applyFont="1" applyFill="1" applyBorder="1" applyAlignment="1" applyProtection="1">
      <alignment horizontal="left"/>
      <protection hidden="1"/>
    </xf>
    <xf numFmtId="0" fontId="26" fillId="0" borderId="163" xfId="0" applyFont="1" applyBorder="1" applyAlignment="1" applyProtection="1">
      <alignment horizontal="left" vertical="justify"/>
      <protection hidden="1"/>
    </xf>
    <xf numFmtId="0" fontId="3" fillId="20" borderId="0" xfId="0" applyFont="1" applyFill="1" applyAlignment="1" applyProtection="1">
      <alignment horizontal="left" vertical="justify"/>
      <protection hidden="1"/>
    </xf>
    <xf numFmtId="0" fontId="3" fillId="0" borderId="0" xfId="0" applyFont="1" applyAlignment="1" applyProtection="1">
      <alignment horizontal="left"/>
      <protection hidden="1"/>
    </xf>
    <xf numFmtId="0" fontId="9" fillId="0" borderId="0" xfId="0" applyFont="1" applyAlignment="1" applyProtection="1">
      <alignment horizontal="justify" vertical="justify"/>
      <protection hidden="1"/>
    </xf>
    <xf numFmtId="0" fontId="9" fillId="0" borderId="150" xfId="0" applyFont="1" applyBorder="1" applyAlignment="1">
      <alignment horizontal="left" wrapText="1"/>
    </xf>
    <xf numFmtId="0" fontId="9" fillId="0" borderId="150" xfId="0" applyFont="1" applyBorder="1" applyAlignment="1">
      <alignment horizontal="left"/>
    </xf>
    <xf numFmtId="0" fontId="9" fillId="20" borderId="151" xfId="0" applyFont="1" applyFill="1" applyBorder="1" applyAlignment="1">
      <alignment horizontal="left" vertical="justify"/>
    </xf>
    <xf numFmtId="0" fontId="26" fillId="20" borderId="163" xfId="0" applyFont="1" applyFill="1" applyBorder="1" applyAlignment="1" applyProtection="1">
      <alignment horizontal="left" vertical="justify" wrapText="1"/>
      <protection hidden="1"/>
    </xf>
    <xf numFmtId="0" fontId="26" fillId="20" borderId="163" xfId="0" applyFont="1" applyFill="1" applyBorder="1" applyAlignment="1" applyProtection="1">
      <alignment horizontal="left" vertical="justify"/>
      <protection hidden="1"/>
    </xf>
    <xf numFmtId="0" fontId="4" fillId="20" borderId="0" xfId="0" applyFont="1" applyFill="1" applyAlignment="1" applyProtection="1">
      <alignment horizontal="left"/>
      <protection hidden="1"/>
    </xf>
    <xf numFmtId="0" fontId="16" fillId="0" borderId="166" xfId="0" applyFont="1" applyBorder="1" applyAlignment="1">
      <alignment horizontal="center" vertical="center" textRotation="90"/>
    </xf>
    <xf numFmtId="0" fontId="16" fillId="0" borderId="163" xfId="0" applyFont="1" applyBorder="1" applyAlignment="1">
      <alignment horizontal="center" vertical="center" textRotation="90"/>
    </xf>
    <xf numFmtId="0" fontId="16" fillId="0" borderId="168" xfId="0" applyFont="1" applyBorder="1" applyAlignment="1">
      <alignment horizontal="center" vertical="center" textRotation="90"/>
    </xf>
    <xf numFmtId="0" fontId="3" fillId="0" borderId="0" xfId="0" applyFont="1" applyAlignment="1" applyProtection="1">
      <alignment horizontal="justify" vertical="justify"/>
      <protection hidden="1"/>
    </xf>
    <xf numFmtId="0" fontId="3" fillId="20" borderId="0" xfId="0" applyFont="1" applyFill="1" applyAlignment="1" applyProtection="1">
      <alignment horizontal="justify"/>
      <protection hidden="1"/>
    </xf>
    <xf numFmtId="0" fontId="10" fillId="0" borderId="149" xfId="0" applyFont="1" applyBorder="1" applyAlignment="1">
      <alignment horizontal="center" vertical="center" textRotation="90"/>
    </xf>
    <xf numFmtId="0" fontId="10" fillId="0" borderId="150" xfId="0" applyFont="1" applyBorder="1" applyAlignment="1">
      <alignment horizontal="center" vertical="center" textRotation="90"/>
    </xf>
    <xf numFmtId="0" fontId="10" fillId="0" borderId="151" xfId="0" applyFont="1" applyBorder="1" applyAlignment="1">
      <alignment horizontal="center" vertical="center" textRotation="90"/>
    </xf>
    <xf numFmtId="0" fontId="15" fillId="0" borderId="0" xfId="0" applyFont="1" applyAlignment="1">
      <alignment horizontal="center" vertical="justify" textRotation="90"/>
    </xf>
    <xf numFmtId="0" fontId="4" fillId="0" borderId="0" xfId="0" applyFont="1" applyAlignment="1" applyProtection="1">
      <alignment horizontal="left" vertical="justify"/>
      <protection hidden="1"/>
    </xf>
    <xf numFmtId="0" fontId="5" fillId="0" borderId="153" xfId="0" applyFont="1" applyBorder="1" applyAlignment="1" applyProtection="1">
      <alignment vertical="center" textRotation="90"/>
      <protection hidden="1"/>
    </xf>
    <xf numFmtId="0" fontId="3" fillId="0" borderId="149" xfId="0" applyFont="1" applyBorder="1" applyAlignment="1" applyProtection="1">
      <alignment horizontal="center" textRotation="90"/>
      <protection hidden="1"/>
    </xf>
    <xf numFmtId="0" fontId="0" fillId="0" borderId="150" xfId="0" applyBorder="1" applyAlignment="1" applyProtection="1">
      <alignment horizontal="center" textRotation="90"/>
      <protection hidden="1"/>
    </xf>
    <xf numFmtId="0" fontId="0" fillId="0" borderId="151" xfId="0" applyBorder="1" applyAlignment="1" applyProtection="1">
      <alignment horizontal="center" textRotation="90"/>
      <protection hidden="1"/>
    </xf>
    <xf numFmtId="0" fontId="3" fillId="20" borderId="150" xfId="0" applyFont="1" applyFill="1" applyBorder="1" applyAlignment="1" applyProtection="1">
      <alignment horizontal="left"/>
      <protection hidden="1"/>
    </xf>
    <xf numFmtId="0" fontId="0" fillId="20" borderId="150" xfId="0" applyFill="1" applyBorder="1" applyAlignment="1" applyProtection="1">
      <alignment horizontal="left"/>
      <protection hidden="1"/>
    </xf>
    <xf numFmtId="0" fontId="0" fillId="0" borderId="161" xfId="0" applyBorder="1" applyAlignment="1">
      <alignment horizontal="center"/>
    </xf>
    <xf numFmtId="0" fontId="0" fillId="0" borderId="162" xfId="0" applyBorder="1" applyAlignment="1">
      <alignment horizontal="center"/>
    </xf>
    <xf numFmtId="0" fontId="0" fillId="0" borderId="158" xfId="0" applyBorder="1" applyAlignment="1">
      <alignment horizontal="center"/>
    </xf>
    <xf numFmtId="0" fontId="8" fillId="0" borderId="159" xfId="0" applyFont="1" applyBorder="1" applyAlignment="1">
      <alignment horizontal="center" vertical="center" textRotation="90"/>
    </xf>
    <xf numFmtId="0" fontId="8" fillId="0" borderId="152" xfId="0" applyFont="1" applyBorder="1" applyAlignment="1">
      <alignment horizontal="center" vertical="center" textRotation="90"/>
    </xf>
    <xf numFmtId="0" fontId="8" fillId="0" borderId="161" xfId="0" applyFont="1" applyBorder="1" applyAlignment="1">
      <alignment horizontal="center" vertical="center" textRotation="90"/>
    </xf>
    <xf numFmtId="0" fontId="9" fillId="20" borderId="228" xfId="0" applyFont="1" applyFill="1" applyBorder="1" applyAlignment="1">
      <alignment horizontal="center" vertical="justify"/>
    </xf>
    <xf numFmtId="0" fontId="9" fillId="20" borderId="229" xfId="0" applyFont="1" applyFill="1" applyBorder="1" applyAlignment="1">
      <alignment horizontal="center" vertical="justify"/>
    </xf>
    <xf numFmtId="171" fontId="9" fillId="0" borderId="228" xfId="4" applyNumberFormat="1" applyFont="1" applyFill="1" applyBorder="1" applyAlignment="1" applyProtection="1">
      <alignment horizontal="center"/>
      <protection hidden="1"/>
    </xf>
    <xf numFmtId="171" fontId="9" fillId="0" borderId="156" xfId="4" applyNumberFormat="1" applyFont="1" applyFill="1" applyBorder="1" applyAlignment="1" applyProtection="1">
      <alignment horizontal="center"/>
      <protection hidden="1"/>
    </xf>
    <xf numFmtId="171" fontId="18" fillId="0" borderId="242" xfId="4" applyNumberFormat="1" applyFont="1" applyBorder="1" applyAlignment="1" applyProtection="1">
      <alignment horizontal="center"/>
    </xf>
    <xf numFmtId="0" fontId="3" fillId="0" borderId="242" xfId="0" applyFont="1" applyBorder="1" applyAlignment="1">
      <alignment horizontal="center" vertical="justify"/>
    </xf>
    <xf numFmtId="0" fontId="3" fillId="20" borderId="159" xfId="0" applyFont="1" applyFill="1" applyBorder="1" applyAlignment="1" applyProtection="1">
      <alignment horizontal="left" vertical="center"/>
      <protection hidden="1"/>
    </xf>
    <xf numFmtId="0" fontId="3" fillId="20" borderId="157" xfId="0" applyFont="1" applyFill="1" applyBorder="1" applyAlignment="1" applyProtection="1">
      <alignment horizontal="left" vertical="center"/>
      <protection hidden="1"/>
    </xf>
    <xf numFmtId="0" fontId="3" fillId="20" borderId="160" xfId="0" applyFont="1" applyFill="1" applyBorder="1" applyAlignment="1" applyProtection="1">
      <alignment horizontal="left" vertical="center"/>
      <protection hidden="1"/>
    </xf>
    <xf numFmtId="0" fontId="3" fillId="0" borderId="152"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153" xfId="0" applyFont="1" applyBorder="1" applyAlignment="1" applyProtection="1">
      <alignment horizontal="left" vertical="center"/>
      <protection hidden="1"/>
    </xf>
    <xf numFmtId="0" fontId="3" fillId="20" borderId="152" xfId="0" applyFont="1" applyFill="1" applyBorder="1" applyAlignment="1" applyProtection="1">
      <alignment horizontal="left" vertical="center"/>
      <protection hidden="1"/>
    </xf>
    <xf numFmtId="0" fontId="3" fillId="20" borderId="0" xfId="0" applyFont="1" applyFill="1" applyAlignment="1" applyProtection="1">
      <alignment horizontal="left" vertical="center"/>
      <protection hidden="1"/>
    </xf>
    <xf numFmtId="0" fontId="3" fillId="20" borderId="153" xfId="0" applyFont="1" applyFill="1" applyBorder="1" applyAlignment="1" applyProtection="1">
      <alignment horizontal="left" vertical="center"/>
      <protection hidden="1"/>
    </xf>
    <xf numFmtId="171" fontId="9" fillId="20" borderId="188" xfId="4" applyNumberFormat="1" applyFont="1" applyFill="1" applyBorder="1" applyAlignment="1" applyProtection="1">
      <alignment horizontal="center"/>
      <protection hidden="1"/>
    </xf>
    <xf numFmtId="171" fontId="9" fillId="20" borderId="153" xfId="4" applyNumberFormat="1" applyFont="1" applyFill="1" applyBorder="1" applyAlignment="1" applyProtection="1">
      <alignment horizontal="center"/>
      <protection hidden="1"/>
    </xf>
    <xf numFmtId="171" fontId="9" fillId="0" borderId="188" xfId="4" applyNumberFormat="1" applyFont="1" applyBorder="1" applyAlignment="1" applyProtection="1">
      <alignment horizontal="center"/>
      <protection hidden="1"/>
    </xf>
    <xf numFmtId="171" fontId="9" fillId="0" borderId="153" xfId="4" applyNumberFormat="1" applyFont="1" applyBorder="1" applyAlignment="1" applyProtection="1">
      <alignment horizontal="center"/>
      <protection hidden="1"/>
    </xf>
    <xf numFmtId="171" fontId="9" fillId="0" borderId="213" xfId="4" applyNumberFormat="1" applyFont="1" applyBorder="1" applyAlignment="1" applyProtection="1">
      <alignment horizontal="center"/>
      <protection hidden="1"/>
    </xf>
    <xf numFmtId="171" fontId="9" fillId="0" borderId="158" xfId="4" applyNumberFormat="1" applyFont="1" applyBorder="1" applyAlignment="1" applyProtection="1">
      <alignment horizontal="center"/>
      <protection hidden="1"/>
    </xf>
    <xf numFmtId="171" fontId="9" fillId="20" borderId="214" xfId="4" applyNumberFormat="1" applyFont="1" applyFill="1" applyBorder="1" applyAlignment="1" applyProtection="1">
      <alignment horizontal="center"/>
      <protection hidden="1"/>
    </xf>
    <xf numFmtId="171" fontId="9" fillId="20" borderId="160" xfId="4" applyNumberFormat="1" applyFont="1" applyFill="1" applyBorder="1" applyAlignment="1" applyProtection="1">
      <alignment horizontal="center"/>
      <protection hidden="1"/>
    </xf>
    <xf numFmtId="0" fontId="5" fillId="20" borderId="152" xfId="0" applyFont="1" applyFill="1" applyBorder="1" applyAlignment="1" applyProtection="1">
      <alignment horizontal="left" vertical="center"/>
      <protection hidden="1"/>
    </xf>
    <xf numFmtId="0" fontId="5" fillId="20" borderId="0" xfId="0" applyFont="1" applyFill="1" applyAlignment="1" applyProtection="1">
      <alignment horizontal="left" vertical="center"/>
      <protection hidden="1"/>
    </xf>
    <xf numFmtId="0" fontId="5" fillId="20" borderId="153" xfId="0" applyFont="1" applyFill="1" applyBorder="1" applyAlignment="1" applyProtection="1">
      <alignment horizontal="left" vertical="center"/>
      <protection hidden="1"/>
    </xf>
    <xf numFmtId="0" fontId="3" fillId="0" borderId="152" xfId="0" applyFont="1" applyBorder="1" applyAlignment="1" applyProtection="1">
      <alignment horizontal="left"/>
      <protection hidden="1"/>
    </xf>
    <xf numFmtId="0" fontId="3" fillId="0" borderId="153" xfId="0" applyFont="1" applyBorder="1" applyAlignment="1" applyProtection="1">
      <alignment horizontal="left"/>
      <protection hidden="1"/>
    </xf>
    <xf numFmtId="167" fontId="0" fillId="20" borderId="196" xfId="5" applyNumberFormat="1" applyFont="1" applyFill="1" applyBorder="1" applyAlignment="1" applyProtection="1">
      <alignment horizontal="center"/>
      <protection hidden="1"/>
    </xf>
    <xf numFmtId="167" fontId="0" fillId="20" borderId="177" xfId="5" applyNumberFormat="1" applyFont="1" applyFill="1" applyBorder="1" applyAlignment="1" applyProtection="1">
      <alignment horizontal="center"/>
      <protection hidden="1"/>
    </xf>
    <xf numFmtId="167" fontId="0" fillId="20" borderId="197" xfId="5" applyNumberFormat="1" applyFont="1" applyFill="1" applyBorder="1" applyAlignment="1" applyProtection="1">
      <alignment horizontal="center"/>
      <protection hidden="1"/>
    </xf>
    <xf numFmtId="0" fontId="3" fillId="0" borderId="161" xfId="0" applyFont="1" applyBorder="1" applyAlignment="1" applyProtection="1">
      <alignment horizontal="left"/>
      <protection hidden="1"/>
    </xf>
    <xf numFmtId="0" fontId="3" fillId="0" borderId="162" xfId="0" applyFont="1" applyBorder="1" applyAlignment="1" applyProtection="1">
      <alignment horizontal="left"/>
      <protection hidden="1"/>
    </xf>
    <xf numFmtId="0" fontId="3" fillId="0" borderId="158" xfId="0" applyFont="1" applyBorder="1" applyAlignment="1" applyProtection="1">
      <alignment horizontal="left"/>
      <protection hidden="1"/>
    </xf>
    <xf numFmtId="0" fontId="5" fillId="9" borderId="56" xfId="0" applyFont="1" applyFill="1" applyBorder="1" applyAlignment="1" applyProtection="1">
      <alignment horizontal="center" vertical="center"/>
      <protection hidden="1"/>
    </xf>
    <xf numFmtId="0" fontId="5" fillId="9" borderId="57" xfId="0" applyFont="1" applyFill="1" applyBorder="1" applyAlignment="1" applyProtection="1">
      <alignment horizontal="center" vertical="center"/>
      <protection hidden="1"/>
    </xf>
    <xf numFmtId="0" fontId="5" fillId="9" borderId="41" xfId="0" applyFont="1" applyFill="1" applyBorder="1" applyAlignment="1" applyProtection="1">
      <alignment horizontal="center" vertical="center"/>
      <protection hidden="1"/>
    </xf>
    <xf numFmtId="0" fontId="3" fillId="0" borderId="159" xfId="0" applyFont="1" applyBorder="1" applyAlignment="1" applyProtection="1">
      <alignment horizontal="left" vertical="center"/>
      <protection hidden="1"/>
    </xf>
    <xf numFmtId="0" fontId="3" fillId="0" borderId="157" xfId="0" applyFont="1" applyBorder="1" applyAlignment="1" applyProtection="1">
      <alignment horizontal="left" vertical="center"/>
      <protection hidden="1"/>
    </xf>
    <xf numFmtId="0" fontId="3" fillId="0" borderId="160" xfId="0" applyFont="1" applyBorder="1" applyAlignment="1" applyProtection="1">
      <alignment horizontal="left" vertical="center"/>
      <protection hidden="1"/>
    </xf>
    <xf numFmtId="0" fontId="3" fillId="0" borderId="149" xfId="0" applyFont="1" applyBorder="1" applyAlignment="1" applyProtection="1">
      <alignment vertical="center" textRotation="90"/>
      <protection hidden="1"/>
    </xf>
    <xf numFmtId="0" fontId="0" fillId="0" borderId="150" xfId="0" applyBorder="1" applyAlignment="1" applyProtection="1">
      <alignment vertical="center" textRotation="90"/>
      <protection hidden="1"/>
    </xf>
    <xf numFmtId="0" fontId="0" fillId="0" borderId="151" xfId="0" applyBorder="1" applyAlignment="1" applyProtection="1">
      <alignment vertical="center" textRotation="90"/>
      <protection hidden="1"/>
    </xf>
    <xf numFmtId="0" fontId="65" fillId="9" borderId="176" xfId="0" applyFont="1" applyFill="1" applyBorder="1" applyAlignment="1">
      <alignment horizontal="right" vertical="center"/>
    </xf>
    <xf numFmtId="0" fontId="10" fillId="0" borderId="215" xfId="0" applyFont="1" applyBorder="1" applyAlignment="1" applyProtection="1">
      <alignment horizontal="center" vertical="center" textRotation="90"/>
      <protection hidden="1"/>
    </xf>
    <xf numFmtId="0" fontId="10" fillId="0" borderId="152" xfId="0" applyFont="1" applyBorder="1" applyAlignment="1" applyProtection="1">
      <alignment horizontal="center" vertical="center" textRotation="90"/>
      <protection hidden="1"/>
    </xf>
    <xf numFmtId="0" fontId="10" fillId="0" borderId="161" xfId="0" applyFont="1" applyBorder="1" applyAlignment="1" applyProtection="1">
      <alignment horizontal="center" vertical="center" textRotation="90"/>
      <protection hidden="1"/>
    </xf>
    <xf numFmtId="0" fontId="3" fillId="20" borderId="192" xfId="0" applyFont="1" applyFill="1" applyBorder="1" applyAlignment="1">
      <alignment vertical="justify"/>
    </xf>
    <xf numFmtId="0" fontId="3" fillId="20" borderId="176" xfId="0" applyFont="1" applyFill="1" applyBorder="1" applyAlignment="1">
      <alignment vertical="justify"/>
    </xf>
    <xf numFmtId="0" fontId="3" fillId="20" borderId="193" xfId="0" applyFont="1" applyFill="1" applyBorder="1" applyAlignment="1">
      <alignment vertical="justify"/>
    </xf>
    <xf numFmtId="0" fontId="3" fillId="0" borderId="194" xfId="0" applyFont="1" applyBorder="1" applyAlignment="1">
      <alignment vertical="justify"/>
    </xf>
    <xf numFmtId="0" fontId="3" fillId="0" borderId="0" xfId="0" applyFont="1" applyAlignment="1">
      <alignment vertical="justify"/>
    </xf>
    <xf numFmtId="0" fontId="3" fillId="0" borderId="195" xfId="0" applyFont="1" applyBorder="1" applyAlignment="1">
      <alignment vertical="justify"/>
    </xf>
    <xf numFmtId="0" fontId="3" fillId="20" borderId="194" xfId="0" applyFont="1" applyFill="1" applyBorder="1" applyAlignment="1">
      <alignment vertical="justify"/>
    </xf>
    <xf numFmtId="0" fontId="3" fillId="20" borderId="0" xfId="0" applyFont="1" applyFill="1" applyAlignment="1">
      <alignment vertical="justify"/>
    </xf>
    <xf numFmtId="0" fontId="3" fillId="20" borderId="195" xfId="0" applyFont="1" applyFill="1" applyBorder="1" applyAlignment="1">
      <alignment vertical="justify"/>
    </xf>
    <xf numFmtId="0" fontId="3" fillId="20" borderId="196" xfId="0" applyFont="1" applyFill="1" applyBorder="1" applyAlignment="1">
      <alignment vertical="justify"/>
    </xf>
    <xf numFmtId="0" fontId="3" fillId="20" borderId="177" xfId="0" applyFont="1" applyFill="1" applyBorder="1" applyAlignment="1">
      <alignment vertical="justify"/>
    </xf>
    <xf numFmtId="0" fontId="3" fillId="20" borderId="197" xfId="0" applyFont="1" applyFill="1" applyBorder="1" applyAlignment="1">
      <alignment vertical="justify"/>
    </xf>
    <xf numFmtId="167" fontId="0" fillId="20" borderId="186" xfId="5" applyNumberFormat="1" applyFont="1" applyFill="1" applyBorder="1" applyAlignment="1" applyProtection="1">
      <alignment horizontal="center"/>
      <protection hidden="1"/>
    </xf>
    <xf numFmtId="167" fontId="0" fillId="20" borderId="187" xfId="5" applyNumberFormat="1" applyFont="1" applyFill="1" applyBorder="1" applyAlignment="1" applyProtection="1">
      <alignment horizontal="center"/>
      <protection hidden="1"/>
    </xf>
    <xf numFmtId="167" fontId="0" fillId="0" borderId="188" xfId="5" applyNumberFormat="1" applyFont="1" applyFill="1" applyBorder="1" applyAlignment="1" applyProtection="1">
      <alignment horizontal="center"/>
      <protection hidden="1"/>
    </xf>
    <xf numFmtId="167" fontId="0" fillId="0" borderId="189" xfId="5" applyNumberFormat="1" applyFont="1" applyFill="1" applyBorder="1" applyAlignment="1" applyProtection="1">
      <alignment horizontal="center"/>
      <protection hidden="1"/>
    </xf>
    <xf numFmtId="167" fontId="16" fillId="20" borderId="190" xfId="5" applyNumberFormat="1" applyFont="1" applyFill="1" applyBorder="1" applyAlignment="1" applyProtection="1">
      <alignment horizontal="center"/>
      <protection hidden="1"/>
    </xf>
    <xf numFmtId="167" fontId="16" fillId="20" borderId="191" xfId="5" applyNumberFormat="1" applyFont="1" applyFill="1" applyBorder="1" applyAlignment="1" applyProtection="1">
      <alignment horizontal="center"/>
      <protection hidden="1"/>
    </xf>
    <xf numFmtId="167" fontId="0" fillId="0" borderId="200" xfId="5" applyNumberFormat="1" applyFont="1" applyBorder="1" applyAlignment="1">
      <alignment horizontal="center"/>
    </xf>
    <xf numFmtId="167" fontId="0" fillId="0" borderId="208" xfId="5" applyNumberFormat="1" applyFont="1" applyBorder="1" applyAlignment="1">
      <alignment horizontal="center"/>
    </xf>
    <xf numFmtId="0" fontId="5" fillId="0" borderId="177" xfId="0" applyFont="1" applyBorder="1" applyAlignment="1">
      <alignment horizontal="left"/>
    </xf>
    <xf numFmtId="0" fontId="15" fillId="0" borderId="257" xfId="0"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66" xfId="0" applyFont="1" applyBorder="1" applyAlignment="1" applyProtection="1">
      <alignment horizontal="center" vertical="center"/>
      <protection hidden="1"/>
    </xf>
    <xf numFmtId="0" fontId="3" fillId="0" borderId="200" xfId="0" applyFont="1" applyBorder="1" applyAlignment="1">
      <alignment horizontal="left" vertical="justify"/>
    </xf>
    <xf numFmtId="0" fontId="0" fillId="0" borderId="200" xfId="0" applyBorder="1" applyAlignment="1">
      <alignment horizontal="left" vertical="justify"/>
    </xf>
    <xf numFmtId="0" fontId="3" fillId="0" borderId="208" xfId="0" applyFont="1" applyBorder="1" applyAlignment="1">
      <alignment horizontal="left" vertical="justify"/>
    </xf>
    <xf numFmtId="0" fontId="0" fillId="0" borderId="208" xfId="0" applyBorder="1" applyAlignment="1">
      <alignment horizontal="left" vertical="justify"/>
    </xf>
    <xf numFmtId="167" fontId="0" fillId="20" borderId="0" xfId="5" applyNumberFormat="1" applyFont="1" applyFill="1" applyBorder="1" applyAlignment="1" applyProtection="1">
      <alignment horizontal="center"/>
      <protection hidden="1"/>
    </xf>
    <xf numFmtId="167" fontId="5" fillId="20" borderId="0" xfId="5" applyNumberFormat="1" applyFont="1" applyFill="1" applyBorder="1" applyAlignment="1" applyProtection="1">
      <alignment horizontal="center"/>
      <protection hidden="1"/>
    </xf>
    <xf numFmtId="0" fontId="5" fillId="20" borderId="1" xfId="0" applyFont="1" applyFill="1" applyBorder="1" applyAlignment="1" applyProtection="1">
      <alignment horizontal="left"/>
      <protection hidden="1"/>
    </xf>
    <xf numFmtId="0" fontId="5" fillId="20" borderId="25" xfId="0" applyFont="1" applyFill="1" applyBorder="1" applyAlignment="1" applyProtection="1">
      <alignment horizontal="left"/>
      <protection hidden="1"/>
    </xf>
    <xf numFmtId="0" fontId="10" fillId="0" borderId="39" xfId="0" applyFont="1" applyBorder="1" applyAlignment="1" applyProtection="1">
      <alignment horizontal="left"/>
      <protection hidden="1"/>
    </xf>
    <xf numFmtId="0" fontId="10" fillId="0" borderId="53" xfId="0" applyFont="1" applyBorder="1" applyAlignment="1" applyProtection="1">
      <alignment horizontal="left"/>
      <protection hidden="1"/>
    </xf>
    <xf numFmtId="0" fontId="10" fillId="0" borderId="56" xfId="0" applyFont="1" applyBorder="1" applyAlignment="1" applyProtection="1">
      <alignment horizontal="center" vertical="center"/>
      <protection hidden="1"/>
    </xf>
    <xf numFmtId="0" fontId="10" fillId="0" borderId="57"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167" fontId="0" fillId="20" borderId="192" xfId="5" applyNumberFormat="1" applyFont="1" applyFill="1" applyBorder="1" applyAlignment="1" applyProtection="1">
      <alignment horizontal="center"/>
      <protection hidden="1"/>
    </xf>
    <xf numFmtId="167" fontId="0" fillId="20" borderId="176" xfId="5" applyNumberFormat="1" applyFont="1" applyFill="1" applyBorder="1" applyAlignment="1" applyProtection="1">
      <alignment horizontal="center"/>
      <protection hidden="1"/>
    </xf>
    <xf numFmtId="167" fontId="0" fillId="20" borderId="193" xfId="5" applyNumberFormat="1" applyFont="1" applyFill="1" applyBorder="1" applyAlignment="1" applyProtection="1">
      <alignment horizontal="center"/>
      <protection hidden="1"/>
    </xf>
    <xf numFmtId="167" fontId="0" fillId="0" borderId="194" xfId="5" applyNumberFormat="1" applyFont="1" applyFill="1" applyBorder="1" applyAlignment="1" applyProtection="1">
      <alignment horizontal="center"/>
      <protection hidden="1"/>
    </xf>
    <xf numFmtId="167" fontId="0" fillId="0" borderId="0" xfId="5" applyNumberFormat="1" applyFont="1" applyFill="1" applyBorder="1" applyAlignment="1" applyProtection="1">
      <alignment horizontal="center"/>
      <protection hidden="1"/>
    </xf>
    <xf numFmtId="167" fontId="0" fillId="0" borderId="195" xfId="5" applyNumberFormat="1" applyFont="1" applyFill="1" applyBorder="1" applyAlignment="1" applyProtection="1">
      <alignment horizontal="center"/>
      <protection hidden="1"/>
    </xf>
    <xf numFmtId="167" fontId="0" fillId="20" borderId="194" xfId="5" applyNumberFormat="1" applyFont="1" applyFill="1" applyBorder="1" applyAlignment="1" applyProtection="1">
      <alignment horizontal="center"/>
      <protection hidden="1"/>
    </xf>
    <xf numFmtId="167" fontId="0" fillId="20" borderId="195" xfId="5" applyNumberFormat="1" applyFont="1" applyFill="1" applyBorder="1" applyAlignment="1" applyProtection="1">
      <alignment horizontal="center"/>
      <protection hidden="1"/>
    </xf>
    <xf numFmtId="167" fontId="0" fillId="0" borderId="194" xfId="0" applyNumberFormat="1" applyBorder="1" applyAlignment="1" applyProtection="1">
      <alignment horizontal="center"/>
      <protection hidden="1"/>
    </xf>
    <xf numFmtId="0" fontId="0" fillId="0" borderId="195" xfId="0" applyBorder="1" applyAlignment="1" applyProtection="1">
      <alignment horizontal="center"/>
      <protection hidden="1"/>
    </xf>
    <xf numFmtId="0" fontId="65" fillId="9" borderId="176" xfId="0" applyFont="1" applyFill="1" applyBorder="1" applyAlignment="1">
      <alignment horizontal="left" vertical="center" indent="1"/>
    </xf>
    <xf numFmtId="0" fontId="65" fillId="9" borderId="219" xfId="0" applyFont="1" applyFill="1" applyBorder="1" applyAlignment="1">
      <alignment horizontal="left" vertical="center" indent="1"/>
    </xf>
    <xf numFmtId="0" fontId="21" fillId="0" borderId="179" xfId="0" applyFont="1" applyBorder="1" applyAlignment="1">
      <alignment horizontal="center" textRotation="90"/>
    </xf>
    <xf numFmtId="0" fontId="21" fillId="0" borderId="180" xfId="0" applyFont="1" applyBorder="1" applyAlignment="1">
      <alignment horizontal="center" textRotation="90"/>
    </xf>
    <xf numFmtId="0" fontId="21" fillId="0" borderId="181" xfId="0" applyFont="1" applyBorder="1" applyAlignment="1">
      <alignment horizontal="center" textRotation="90"/>
    </xf>
    <xf numFmtId="0" fontId="4" fillId="20" borderId="176" xfId="0" applyFont="1" applyFill="1" applyBorder="1" applyAlignment="1">
      <alignment horizontal="left"/>
    </xf>
    <xf numFmtId="0" fontId="16" fillId="20" borderId="177" xfId="0" applyFont="1" applyFill="1" applyBorder="1" applyAlignment="1">
      <alignment horizontal="left"/>
    </xf>
    <xf numFmtId="0" fontId="21" fillId="0" borderId="179" xfId="0" applyFont="1" applyBorder="1" applyAlignment="1">
      <alignment horizontal="justify" vertical="center" textRotation="90"/>
    </xf>
    <xf numFmtId="0" fontId="21" fillId="0" borderId="180" xfId="0" applyFont="1" applyBorder="1" applyAlignment="1">
      <alignment horizontal="justify" vertical="center" textRotation="90"/>
    </xf>
    <xf numFmtId="0" fontId="21" fillId="0" borderId="181" xfId="0" applyFont="1" applyBorder="1" applyAlignment="1">
      <alignment horizontal="justify" vertical="center" textRotation="90"/>
    </xf>
    <xf numFmtId="0" fontId="4" fillId="0" borderId="176" xfId="0" applyFont="1" applyBorder="1" applyAlignment="1">
      <alignment horizontal="left"/>
    </xf>
    <xf numFmtId="0" fontId="3" fillId="20" borderId="0" xfId="0" applyFont="1" applyFill="1" applyAlignment="1">
      <alignment horizontal="left"/>
    </xf>
    <xf numFmtId="0" fontId="0" fillId="20" borderId="0" xfId="0" applyFill="1" applyAlignment="1">
      <alignment horizontal="left"/>
    </xf>
    <xf numFmtId="167" fontId="16" fillId="0" borderId="190" xfId="0" applyNumberFormat="1" applyFont="1" applyBorder="1" applyAlignment="1" applyProtection="1">
      <alignment horizontal="center"/>
      <protection hidden="1"/>
    </xf>
    <xf numFmtId="167" fontId="16" fillId="0" borderId="177" xfId="0" applyNumberFormat="1" applyFont="1" applyBorder="1" applyAlignment="1" applyProtection="1">
      <alignment horizontal="center"/>
      <protection hidden="1"/>
    </xf>
    <xf numFmtId="167" fontId="16" fillId="0" borderId="191" xfId="0" applyNumberFormat="1" applyFont="1" applyBorder="1" applyAlignment="1" applyProtection="1">
      <alignment horizontal="center"/>
      <protection hidden="1"/>
    </xf>
    <xf numFmtId="167" fontId="0" fillId="20" borderId="198" xfId="5" applyNumberFormat="1" applyFont="1" applyFill="1" applyBorder="1" applyAlignment="1" applyProtection="1">
      <alignment horizontal="center"/>
      <protection hidden="1"/>
    </xf>
    <xf numFmtId="167" fontId="0" fillId="20" borderId="12" xfId="5" applyNumberFormat="1" applyFont="1" applyFill="1" applyBorder="1" applyAlignment="1" applyProtection="1">
      <alignment horizontal="center"/>
      <protection hidden="1"/>
    </xf>
    <xf numFmtId="167" fontId="0" fillId="20" borderId="217" xfId="5" applyNumberFormat="1" applyFont="1" applyFill="1" applyBorder="1" applyAlignment="1" applyProtection="1">
      <alignment horizontal="center"/>
      <protection hidden="1"/>
    </xf>
    <xf numFmtId="167" fontId="0" fillId="0" borderId="153" xfId="5" applyNumberFormat="1" applyFont="1" applyFill="1" applyBorder="1" applyAlignment="1" applyProtection="1">
      <alignment horizontal="center"/>
      <protection hidden="1"/>
    </xf>
    <xf numFmtId="167" fontId="0" fillId="20" borderId="188" xfId="5" applyNumberFormat="1" applyFont="1" applyFill="1" applyBorder="1" applyAlignment="1" applyProtection="1">
      <alignment horizontal="center"/>
      <protection hidden="1"/>
    </xf>
    <xf numFmtId="167" fontId="0" fillId="20" borderId="153" xfId="5" applyNumberFormat="1" applyFont="1" applyFill="1" applyBorder="1" applyAlignment="1" applyProtection="1">
      <alignment horizontal="center"/>
      <protection hidden="1"/>
    </xf>
    <xf numFmtId="167" fontId="5" fillId="20" borderId="188" xfId="5" applyNumberFormat="1" applyFont="1" applyFill="1" applyBorder="1" applyAlignment="1" applyProtection="1">
      <alignment horizontal="center"/>
      <protection hidden="1"/>
    </xf>
    <xf numFmtId="167" fontId="5" fillId="20" borderId="153" xfId="5" applyNumberFormat="1" applyFont="1" applyFill="1" applyBorder="1" applyAlignment="1" applyProtection="1">
      <alignment horizontal="center"/>
      <protection hidden="1"/>
    </xf>
    <xf numFmtId="167" fontId="0" fillId="0" borderId="186" xfId="5" applyNumberFormat="1" applyFont="1" applyFill="1" applyBorder="1" applyAlignment="1" applyProtection="1">
      <alignment horizontal="center"/>
      <protection hidden="1"/>
    </xf>
    <xf numFmtId="167" fontId="0" fillId="0" borderId="187" xfId="5" applyNumberFormat="1" applyFont="1" applyFill="1" applyBorder="1" applyAlignment="1" applyProtection="1">
      <alignment horizontal="center"/>
      <protection hidden="1"/>
    </xf>
    <xf numFmtId="0" fontId="26" fillId="20" borderId="169" xfId="0" applyFont="1" applyFill="1" applyBorder="1" applyAlignment="1" applyProtection="1">
      <alignment horizontal="left" vertical="justify"/>
      <protection hidden="1"/>
    </xf>
    <xf numFmtId="0" fontId="26" fillId="20" borderId="0" xfId="0" applyFont="1" applyFill="1" applyAlignment="1" applyProtection="1">
      <alignment horizontal="left" vertical="justify"/>
      <protection hidden="1"/>
    </xf>
    <xf numFmtId="0" fontId="26" fillId="20" borderId="210" xfId="0" applyFont="1" applyFill="1" applyBorder="1" applyAlignment="1">
      <alignment horizontal="left" vertical="justify" wrapText="1"/>
    </xf>
    <xf numFmtId="0" fontId="26" fillId="20" borderId="157" xfId="0" applyFont="1" applyFill="1" applyBorder="1" applyAlignment="1">
      <alignment horizontal="left" vertical="justify"/>
    </xf>
    <xf numFmtId="0" fontId="26" fillId="0" borderId="169" xfId="0" applyFont="1" applyBorder="1" applyAlignment="1">
      <alignment horizontal="left" vertical="justify"/>
    </xf>
    <xf numFmtId="0" fontId="26" fillId="0" borderId="0" xfId="0" applyFont="1" applyAlignment="1">
      <alignment horizontal="left" vertical="justify"/>
    </xf>
    <xf numFmtId="0" fontId="3" fillId="20" borderId="159" xfId="0" applyFont="1" applyFill="1" applyBorder="1" applyAlignment="1" applyProtection="1">
      <alignment horizontal="left" vertical="justify"/>
      <protection hidden="1"/>
    </xf>
    <xf numFmtId="0" fontId="3" fillId="20" borderId="157" xfId="0" applyFont="1" applyFill="1" applyBorder="1" applyAlignment="1" applyProtection="1">
      <alignment horizontal="left" vertical="justify"/>
      <protection hidden="1"/>
    </xf>
    <xf numFmtId="0" fontId="3" fillId="20" borderId="160" xfId="0" applyFont="1" applyFill="1" applyBorder="1" applyAlignment="1" applyProtection="1">
      <alignment horizontal="left" vertical="justify"/>
      <protection hidden="1"/>
    </xf>
    <xf numFmtId="167" fontId="0" fillId="20" borderId="218" xfId="5" applyNumberFormat="1" applyFont="1" applyFill="1" applyBorder="1" applyAlignment="1" applyProtection="1">
      <alignment horizontal="center"/>
      <protection hidden="1"/>
    </xf>
    <xf numFmtId="167" fontId="9" fillId="0" borderId="201" xfId="0" applyNumberFormat="1" applyFont="1" applyBorder="1" applyAlignment="1">
      <alignment horizontal="center" vertical="center"/>
    </xf>
    <xf numFmtId="0" fontId="9" fillId="0" borderId="202" xfId="0" applyFont="1" applyBorder="1" applyAlignment="1">
      <alignment horizontal="center" vertical="center"/>
    </xf>
    <xf numFmtId="0" fontId="9" fillId="0" borderId="220" xfId="0" applyFont="1" applyBorder="1" applyAlignment="1">
      <alignment horizontal="center" vertical="center"/>
    </xf>
    <xf numFmtId="167" fontId="0" fillId="0" borderId="201" xfId="5" applyNumberFormat="1" applyFont="1" applyBorder="1" applyAlignment="1">
      <alignment horizontal="center"/>
    </xf>
    <xf numFmtId="167" fontId="0" fillId="0" borderId="202" xfId="5" applyNumberFormat="1" applyFont="1" applyBorder="1" applyAlignment="1">
      <alignment horizontal="center"/>
    </xf>
    <xf numFmtId="167" fontId="0" fillId="0" borderId="203" xfId="5" applyNumberFormat="1" applyFont="1" applyBorder="1" applyAlignment="1">
      <alignment horizontal="center"/>
    </xf>
    <xf numFmtId="167" fontId="0" fillId="0" borderId="221" xfId="5" applyNumberFormat="1" applyFont="1" applyBorder="1" applyAlignment="1">
      <alignment horizontal="center"/>
    </xf>
    <xf numFmtId="167" fontId="0" fillId="0" borderId="222" xfId="5" applyNumberFormat="1" applyFont="1" applyBorder="1" applyAlignment="1">
      <alignment horizontal="center"/>
    </xf>
    <xf numFmtId="167" fontId="0" fillId="0" borderId="223" xfId="5" applyNumberFormat="1" applyFont="1" applyBorder="1" applyAlignment="1">
      <alignment horizontal="center"/>
    </xf>
    <xf numFmtId="0" fontId="26" fillId="0" borderId="226" xfId="0" applyFont="1" applyBorder="1" applyAlignment="1" applyProtection="1">
      <alignment horizontal="left" wrapText="1"/>
      <protection hidden="1"/>
    </xf>
    <xf numFmtId="0" fontId="26" fillId="0" borderId="162" xfId="0" applyFont="1" applyBorder="1" applyAlignment="1" applyProtection="1">
      <alignment horizontal="left" wrapText="1"/>
      <protection hidden="1"/>
    </xf>
    <xf numFmtId="0" fontId="16" fillId="0" borderId="231" xfId="0" applyFont="1" applyBorder="1" applyAlignment="1" applyProtection="1">
      <alignment horizontal="center"/>
      <protection hidden="1"/>
    </xf>
    <xf numFmtId="0" fontId="35" fillId="20" borderId="159" xfId="0" applyFont="1" applyFill="1" applyBorder="1" applyAlignment="1" applyProtection="1">
      <alignment horizontal="center" vertical="center"/>
      <protection hidden="1"/>
    </xf>
    <xf numFmtId="0" fontId="35" fillId="20" borderId="157" xfId="0" applyFont="1" applyFill="1" applyBorder="1" applyAlignment="1" applyProtection="1">
      <alignment horizontal="center" vertical="center"/>
      <protection hidden="1"/>
    </xf>
    <xf numFmtId="0" fontId="35" fillId="20" borderId="160" xfId="0" applyFont="1" applyFill="1" applyBorder="1" applyAlignment="1" applyProtection="1">
      <alignment horizontal="center" vertical="center"/>
      <protection hidden="1"/>
    </xf>
    <xf numFmtId="0" fontId="35" fillId="20" borderId="152" xfId="0" applyFont="1" applyFill="1" applyBorder="1" applyAlignment="1" applyProtection="1">
      <alignment horizontal="center" vertical="center"/>
      <protection hidden="1"/>
    </xf>
    <xf numFmtId="0" fontId="35" fillId="20" borderId="153" xfId="0" applyFont="1" applyFill="1" applyBorder="1" applyAlignment="1" applyProtection="1">
      <alignment horizontal="center" vertical="center"/>
      <protection hidden="1"/>
    </xf>
    <xf numFmtId="0" fontId="5" fillId="0" borderId="241" xfId="0" applyFont="1" applyBorder="1" applyAlignment="1" applyProtection="1">
      <alignment horizontal="center"/>
      <protection hidden="1"/>
    </xf>
    <xf numFmtId="0" fontId="21" fillId="0" borderId="175" xfId="0" applyFont="1" applyBorder="1" applyAlignment="1" applyProtection="1">
      <alignment horizontal="center" vertical="justify"/>
      <protection hidden="1"/>
    </xf>
    <xf numFmtId="0" fontId="21" fillId="0" borderId="57" xfId="0" applyFont="1" applyBorder="1" applyAlignment="1" applyProtection="1">
      <alignment horizontal="center" vertical="justify"/>
      <protection hidden="1"/>
    </xf>
    <xf numFmtId="0" fontId="21" fillId="0" borderId="59" xfId="0" applyFont="1" applyBorder="1" applyAlignment="1" applyProtection="1">
      <alignment horizontal="center" vertical="justify"/>
      <protection hidden="1"/>
    </xf>
    <xf numFmtId="0" fontId="0" fillId="0" borderId="239"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66" xfId="0" applyBorder="1" applyAlignment="1" applyProtection="1">
      <alignment horizontal="center"/>
      <protection hidden="1"/>
    </xf>
    <xf numFmtId="167" fontId="0" fillId="20" borderId="199" xfId="5" applyNumberFormat="1" applyFont="1" applyFill="1" applyBorder="1" applyAlignment="1" applyProtection="1">
      <alignment horizontal="center"/>
      <protection hidden="1"/>
    </xf>
    <xf numFmtId="167" fontId="0" fillId="20" borderId="189" xfId="5" applyNumberFormat="1" applyFont="1" applyFill="1" applyBorder="1" applyAlignment="1" applyProtection="1">
      <alignment horizontal="center"/>
      <protection hidden="1"/>
    </xf>
    <xf numFmtId="167" fontId="5" fillId="20" borderId="189" xfId="5" applyNumberFormat="1" applyFont="1" applyFill="1" applyBorder="1" applyAlignment="1" applyProtection="1">
      <alignment horizontal="center"/>
      <protection hidden="1"/>
    </xf>
    <xf numFmtId="0" fontId="0" fillId="21" borderId="190" xfId="0" applyFill="1" applyBorder="1" applyAlignment="1">
      <alignment horizontal="center"/>
    </xf>
    <xf numFmtId="0" fontId="0" fillId="21" borderId="177" xfId="0" applyFill="1" applyBorder="1" applyAlignment="1">
      <alignment horizontal="center"/>
    </xf>
    <xf numFmtId="0" fontId="0" fillId="21" borderId="191" xfId="0" applyFill="1" applyBorder="1" applyAlignment="1">
      <alignment horizontal="center"/>
    </xf>
    <xf numFmtId="167" fontId="16" fillId="20" borderId="190" xfId="0" applyNumberFormat="1" applyFont="1" applyFill="1" applyBorder="1" applyAlignment="1" applyProtection="1">
      <alignment horizontal="center"/>
      <protection hidden="1"/>
    </xf>
    <xf numFmtId="167" fontId="16" fillId="20" borderId="177" xfId="0" applyNumberFormat="1" applyFont="1" applyFill="1" applyBorder="1" applyAlignment="1" applyProtection="1">
      <alignment horizontal="center"/>
      <protection hidden="1"/>
    </xf>
    <xf numFmtId="167" fontId="16" fillId="20" borderId="191" xfId="0" applyNumberFormat="1" applyFont="1" applyFill="1" applyBorder="1" applyAlignment="1" applyProtection="1">
      <alignment horizontal="center"/>
      <protection hidden="1"/>
    </xf>
    <xf numFmtId="167" fontId="0" fillId="0" borderId="176" xfId="5" applyNumberFormat="1" applyFont="1" applyFill="1" applyBorder="1" applyAlignment="1" applyProtection="1">
      <alignment horizontal="center"/>
      <protection hidden="1"/>
    </xf>
    <xf numFmtId="0" fontId="16" fillId="0" borderId="175" xfId="0" applyFont="1" applyBorder="1" applyAlignment="1" applyProtection="1">
      <alignment horizontal="center" vertical="center"/>
      <protection hidden="1"/>
    </xf>
    <xf numFmtId="0" fontId="16" fillId="0" borderId="57" xfId="0" applyFont="1" applyBorder="1" applyAlignment="1" applyProtection="1">
      <alignment horizontal="center" vertical="center"/>
      <protection hidden="1"/>
    </xf>
    <xf numFmtId="167" fontId="16" fillId="0" borderId="190" xfId="5" applyNumberFormat="1" applyFont="1" applyFill="1" applyBorder="1" applyAlignment="1" applyProtection="1">
      <alignment horizontal="center"/>
      <protection hidden="1"/>
    </xf>
    <xf numFmtId="167" fontId="16" fillId="0" borderId="191" xfId="5" applyNumberFormat="1" applyFont="1" applyFill="1" applyBorder="1" applyAlignment="1" applyProtection="1">
      <alignment horizontal="center"/>
      <protection hidden="1"/>
    </xf>
    <xf numFmtId="167" fontId="0" fillId="20" borderId="219" xfId="5" applyNumberFormat="1" applyFont="1" applyFill="1" applyBorder="1" applyAlignment="1" applyProtection="1">
      <alignment horizontal="center"/>
      <protection hidden="1"/>
    </xf>
    <xf numFmtId="0" fontId="3" fillId="20" borderId="161" xfId="0" applyFont="1" applyFill="1" applyBorder="1" applyAlignment="1" applyProtection="1">
      <alignment horizontal="left"/>
      <protection hidden="1"/>
    </xf>
    <xf numFmtId="0" fontId="3" fillId="20" borderId="162" xfId="0" applyFont="1" applyFill="1" applyBorder="1" applyAlignment="1" applyProtection="1">
      <alignment horizontal="left"/>
      <protection hidden="1"/>
    </xf>
    <xf numFmtId="0" fontId="3" fillId="20" borderId="158" xfId="0" applyFont="1" applyFill="1" applyBorder="1" applyAlignment="1" applyProtection="1">
      <alignment horizontal="left"/>
      <protection hidden="1"/>
    </xf>
    <xf numFmtId="0" fontId="4" fillId="20" borderId="161" xfId="0" applyFont="1" applyFill="1" applyBorder="1" applyAlignment="1" applyProtection="1">
      <alignment horizontal="left" vertical="center"/>
      <protection hidden="1"/>
    </xf>
    <xf numFmtId="0" fontId="4" fillId="20" borderId="162" xfId="0" applyFont="1" applyFill="1" applyBorder="1" applyAlignment="1" applyProtection="1">
      <alignment horizontal="left" vertical="center"/>
      <protection hidden="1"/>
    </xf>
    <xf numFmtId="0" fontId="0" fillId="20" borderId="152" xfId="0" applyFill="1" applyBorder="1" applyAlignment="1" applyProtection="1">
      <alignment horizontal="left"/>
      <protection hidden="1"/>
    </xf>
    <xf numFmtId="0" fontId="0" fillId="20" borderId="0" xfId="0" applyFill="1" applyAlignment="1" applyProtection="1">
      <alignment horizontal="left"/>
      <protection hidden="1"/>
    </xf>
    <xf numFmtId="0" fontId="0" fillId="20" borderId="153" xfId="0" applyFill="1" applyBorder="1" applyAlignment="1" applyProtection="1">
      <alignment horizontal="left"/>
      <protection hidden="1"/>
    </xf>
    <xf numFmtId="0" fontId="5" fillId="0" borderId="160" xfId="0" applyFont="1" applyBorder="1" applyAlignment="1" applyProtection="1">
      <alignment vertical="center" textRotation="90"/>
      <protection hidden="1"/>
    </xf>
    <xf numFmtId="0" fontId="9" fillId="0" borderId="159" xfId="0" applyFont="1" applyBorder="1" applyAlignment="1" applyProtection="1">
      <alignment horizontal="left"/>
      <protection hidden="1"/>
    </xf>
    <xf numFmtId="0" fontId="9" fillId="0" borderId="157" xfId="0" applyFont="1" applyBorder="1" applyAlignment="1" applyProtection="1">
      <alignment horizontal="left"/>
      <protection hidden="1"/>
    </xf>
    <xf numFmtId="0" fontId="9" fillId="0" borderId="160" xfId="0" applyFont="1" applyBorder="1" applyAlignment="1" applyProtection="1">
      <alignment horizontal="left"/>
      <protection hidden="1"/>
    </xf>
    <xf numFmtId="0" fontId="9" fillId="20" borderId="152" xfId="0" applyFont="1" applyFill="1" applyBorder="1" applyAlignment="1" applyProtection="1">
      <alignment horizontal="left" vertical="justify"/>
      <protection hidden="1"/>
    </xf>
    <xf numFmtId="0" fontId="9" fillId="20" borderId="0" xfId="0" applyFont="1" applyFill="1" applyAlignment="1" applyProtection="1">
      <alignment horizontal="left" vertical="justify"/>
      <protection hidden="1"/>
    </xf>
    <xf numFmtId="0" fontId="9" fillId="20" borderId="153" xfId="0" applyFont="1" applyFill="1" applyBorder="1" applyAlignment="1" applyProtection="1">
      <alignment horizontal="left" vertical="justify"/>
      <protection hidden="1"/>
    </xf>
    <xf numFmtId="0" fontId="9" fillId="0" borderId="152" xfId="0" applyFont="1" applyBorder="1" applyAlignment="1" applyProtection="1">
      <alignment horizontal="left" vertical="justify"/>
      <protection hidden="1"/>
    </xf>
    <xf numFmtId="0" fontId="9" fillId="0" borderId="153" xfId="0" applyFont="1" applyBorder="1" applyAlignment="1" applyProtection="1">
      <alignment horizontal="left" vertical="justify"/>
      <protection hidden="1"/>
    </xf>
    <xf numFmtId="0" fontId="3" fillId="20" borderId="152" xfId="0" applyFont="1" applyFill="1" applyBorder="1" applyAlignment="1" applyProtection="1">
      <alignment horizontal="left"/>
      <protection hidden="1"/>
    </xf>
    <xf numFmtId="0" fontId="3" fillId="20" borderId="0" xfId="0" applyFont="1" applyFill="1" applyAlignment="1" applyProtection="1">
      <alignment horizontal="left"/>
      <protection hidden="1"/>
    </xf>
    <xf numFmtId="0" fontId="3" fillId="20" borderId="153" xfId="0" applyFont="1" applyFill="1" applyBorder="1" applyAlignment="1" applyProtection="1">
      <alignment horizontal="left"/>
      <protection hidden="1"/>
    </xf>
    <xf numFmtId="0" fontId="9" fillId="0" borderId="152" xfId="0" applyFont="1" applyBorder="1" applyAlignment="1" applyProtection="1">
      <alignment horizontal="left"/>
      <protection hidden="1"/>
    </xf>
    <xf numFmtId="0" fontId="9" fillId="0" borderId="153" xfId="0" applyFont="1" applyBorder="1" applyAlignment="1" applyProtection="1">
      <alignment horizontal="left"/>
      <protection hidden="1"/>
    </xf>
    <xf numFmtId="0" fontId="9" fillId="20" borderId="152" xfId="0" applyFont="1" applyFill="1" applyBorder="1" applyAlignment="1" applyProtection="1">
      <alignment horizontal="justify" vertical="justify"/>
      <protection hidden="1"/>
    </xf>
    <xf numFmtId="0" fontId="9" fillId="20" borderId="0" xfId="0" applyFont="1" applyFill="1" applyAlignment="1" applyProtection="1">
      <alignment horizontal="justify" vertical="justify"/>
      <protection hidden="1"/>
    </xf>
    <xf numFmtId="0" fontId="9" fillId="20" borderId="153" xfId="0" applyFont="1" applyFill="1" applyBorder="1" applyAlignment="1" applyProtection="1">
      <alignment horizontal="justify" vertical="justify"/>
      <protection hidden="1"/>
    </xf>
    <xf numFmtId="0" fontId="4" fillId="0" borderId="152" xfId="0" applyFont="1" applyBorder="1" applyAlignment="1" applyProtection="1">
      <alignment horizontal="left" vertical="justify"/>
      <protection hidden="1"/>
    </xf>
    <xf numFmtId="0" fontId="4" fillId="0" borderId="153" xfId="0" applyFont="1" applyBorder="1" applyAlignment="1" applyProtection="1">
      <alignment horizontal="left" vertical="justify"/>
      <protection hidden="1"/>
    </xf>
    <xf numFmtId="0" fontId="3" fillId="20" borderId="152" xfId="0" applyFont="1" applyFill="1" applyBorder="1" applyAlignment="1" applyProtection="1">
      <alignment horizontal="left" vertical="justify"/>
      <protection hidden="1"/>
    </xf>
    <xf numFmtId="0" fontId="3" fillId="20" borderId="153" xfId="0" applyFont="1" applyFill="1" applyBorder="1" applyAlignment="1" applyProtection="1">
      <alignment horizontal="left" vertical="justify"/>
      <protection hidden="1"/>
    </xf>
    <xf numFmtId="0" fontId="9" fillId="0" borderId="152" xfId="0" applyFont="1" applyBorder="1" applyAlignment="1">
      <alignment horizontal="left" vertical="justify" wrapText="1"/>
    </xf>
    <xf numFmtId="0" fontId="9" fillId="0" borderId="0" xfId="0" applyFont="1" applyAlignment="1">
      <alignment horizontal="left" vertical="justify" wrapText="1"/>
    </xf>
    <xf numFmtId="0" fontId="9" fillId="0" borderId="153" xfId="0" applyFont="1" applyBorder="1" applyAlignment="1">
      <alignment horizontal="left" vertical="justify" wrapText="1"/>
    </xf>
    <xf numFmtId="171" fontId="9" fillId="20" borderId="152" xfId="4" applyNumberFormat="1" applyFont="1" applyFill="1" applyBorder="1" applyAlignment="1" applyProtection="1">
      <alignment horizontal="left" vertical="justify" wrapText="1"/>
      <protection hidden="1"/>
    </xf>
    <xf numFmtId="171" fontId="9" fillId="20" borderId="0" xfId="4" applyNumberFormat="1" applyFont="1" applyFill="1" applyBorder="1" applyAlignment="1" applyProtection="1">
      <alignment horizontal="left" vertical="justify" wrapText="1"/>
      <protection hidden="1"/>
    </xf>
    <xf numFmtId="171" fontId="9" fillId="20" borderId="153" xfId="4" applyNumberFormat="1" applyFont="1" applyFill="1" applyBorder="1" applyAlignment="1" applyProtection="1">
      <alignment horizontal="left" vertical="justify" wrapText="1"/>
      <protection hidden="1"/>
    </xf>
    <xf numFmtId="0" fontId="9" fillId="20" borderId="152" xfId="0" applyFont="1" applyFill="1" applyBorder="1" applyAlignment="1" applyProtection="1">
      <alignment horizontal="left" wrapText="1"/>
      <protection hidden="1"/>
    </xf>
    <xf numFmtId="0" fontId="9" fillId="20" borderId="0" xfId="0" applyFont="1" applyFill="1" applyAlignment="1" applyProtection="1">
      <alignment horizontal="left" wrapText="1"/>
      <protection hidden="1"/>
    </xf>
    <xf numFmtId="0" fontId="9" fillId="20" borderId="153" xfId="0" applyFont="1" applyFill="1" applyBorder="1" applyAlignment="1" applyProtection="1">
      <alignment horizontal="left" wrapText="1"/>
      <protection hidden="1"/>
    </xf>
    <xf numFmtId="0" fontId="3" fillId="0" borderId="152" xfId="0" applyFont="1" applyBorder="1" applyAlignment="1">
      <alignment horizontal="left"/>
    </xf>
    <xf numFmtId="0" fontId="3" fillId="0" borderId="153" xfId="0" applyFont="1" applyBorder="1" applyAlignment="1">
      <alignment horizontal="left"/>
    </xf>
    <xf numFmtId="171" fontId="9" fillId="20" borderId="152" xfId="4" applyNumberFormat="1" applyFont="1" applyFill="1" applyBorder="1" applyAlignment="1" applyProtection="1">
      <alignment horizontal="left"/>
      <protection hidden="1"/>
    </xf>
    <xf numFmtId="171" fontId="9" fillId="20" borderId="0" xfId="4" applyNumberFormat="1" applyFont="1" applyFill="1" applyBorder="1" applyAlignment="1" applyProtection="1">
      <alignment horizontal="left"/>
      <protection hidden="1"/>
    </xf>
    <xf numFmtId="171" fontId="9" fillId="20" borderId="153" xfId="4" applyNumberFormat="1" applyFont="1" applyFill="1" applyBorder="1" applyAlignment="1" applyProtection="1">
      <alignment horizontal="left"/>
      <protection hidden="1"/>
    </xf>
    <xf numFmtId="0" fontId="9" fillId="0" borderId="152" xfId="0" applyFont="1" applyBorder="1" applyAlignment="1">
      <alignment horizontal="left" wrapText="1"/>
    </xf>
    <xf numFmtId="0" fontId="9" fillId="0" borderId="0" xfId="0" applyFont="1" applyAlignment="1">
      <alignment horizontal="left" wrapText="1"/>
    </xf>
    <xf numFmtId="0" fontId="9" fillId="0" borderId="153" xfId="0" applyFont="1" applyBorder="1" applyAlignment="1">
      <alignment horizontal="left" wrapText="1"/>
    </xf>
    <xf numFmtId="0" fontId="9" fillId="0" borderId="152" xfId="0" applyFont="1" applyBorder="1" applyAlignment="1" applyProtection="1">
      <alignment horizontal="left" wrapText="1"/>
      <protection hidden="1"/>
    </xf>
    <xf numFmtId="0" fontId="9" fillId="0" borderId="0" xfId="0" applyFont="1" applyAlignment="1" applyProtection="1">
      <alignment horizontal="left" wrapText="1"/>
      <protection hidden="1"/>
    </xf>
    <xf numFmtId="0" fontId="9" fillId="0" borderId="153" xfId="0" applyFont="1" applyBorder="1" applyAlignment="1" applyProtection="1">
      <alignment horizontal="left" wrapText="1"/>
      <protection hidden="1"/>
    </xf>
    <xf numFmtId="0" fontId="4" fillId="20" borderId="152" xfId="0" applyFont="1" applyFill="1" applyBorder="1" applyAlignment="1" applyProtection="1">
      <alignment horizontal="left"/>
      <protection hidden="1"/>
    </xf>
    <xf numFmtId="0" fontId="4" fillId="20" borderId="153" xfId="0" applyFont="1" applyFill="1" applyBorder="1" applyAlignment="1" applyProtection="1">
      <alignment horizontal="left"/>
      <protection hidden="1"/>
    </xf>
    <xf numFmtId="0" fontId="3" fillId="20" borderId="161" xfId="0" applyFont="1" applyFill="1" applyBorder="1" applyAlignment="1" applyProtection="1">
      <alignment horizontal="justify"/>
      <protection hidden="1"/>
    </xf>
    <xf numFmtId="0" fontId="3" fillId="20" borderId="162" xfId="0" applyFont="1" applyFill="1" applyBorder="1" applyAlignment="1" applyProtection="1">
      <alignment horizontal="justify"/>
      <protection hidden="1"/>
    </xf>
    <xf numFmtId="0" fontId="3" fillId="20" borderId="158" xfId="0" applyFont="1" applyFill="1" applyBorder="1" applyAlignment="1" applyProtection="1">
      <alignment horizontal="justify"/>
      <protection hidden="1"/>
    </xf>
    <xf numFmtId="0" fontId="9" fillId="20" borderId="161" xfId="0" applyFont="1" applyFill="1" applyBorder="1" applyAlignment="1">
      <alignment horizontal="left" vertical="justify"/>
    </xf>
    <xf numFmtId="0" fontId="9" fillId="20" borderId="162" xfId="0" applyFont="1" applyFill="1" applyBorder="1" applyAlignment="1">
      <alignment horizontal="left" vertical="justify"/>
    </xf>
    <xf numFmtId="0" fontId="9" fillId="20" borderId="158" xfId="0" applyFont="1" applyFill="1" applyBorder="1" applyAlignment="1">
      <alignment horizontal="left" vertical="justify"/>
    </xf>
    <xf numFmtId="0" fontId="0" fillId="20" borderId="54" xfId="0" applyFill="1" applyBorder="1" applyAlignment="1">
      <alignment horizontal="center" vertical="center"/>
    </xf>
    <xf numFmtId="0" fontId="0" fillId="20" borderId="0" xfId="0" applyFill="1" applyAlignment="1">
      <alignment horizontal="center" vertical="center"/>
    </xf>
    <xf numFmtId="0" fontId="0" fillId="20" borderId="58" xfId="0" applyFill="1" applyBorder="1" applyAlignment="1">
      <alignment horizontal="center" vertical="center"/>
    </xf>
    <xf numFmtId="0" fontId="10" fillId="20" borderId="22" xfId="0" applyFont="1" applyFill="1" applyBorder="1" applyAlignment="1" applyProtection="1">
      <alignment horizontal="left"/>
      <protection hidden="1"/>
    </xf>
    <xf numFmtId="0" fontId="10" fillId="20" borderId="174" xfId="0" applyFont="1" applyFill="1" applyBorder="1" applyAlignment="1" applyProtection="1">
      <alignment horizontal="left"/>
      <protection hidden="1"/>
    </xf>
    <xf numFmtId="0" fontId="10" fillId="0" borderId="1" xfId="0" applyFont="1" applyBorder="1" applyAlignment="1" applyProtection="1">
      <alignment horizontal="left"/>
      <protection hidden="1"/>
    </xf>
    <xf numFmtId="0" fontId="10" fillId="0" borderId="25" xfId="0" applyFont="1" applyBorder="1" applyAlignment="1" applyProtection="1">
      <alignment horizontal="left"/>
      <protection hidden="1"/>
    </xf>
    <xf numFmtId="0" fontId="10" fillId="20" borderId="1" xfId="0" applyFont="1" applyFill="1" applyBorder="1" applyAlignment="1" applyProtection="1">
      <alignment horizontal="left"/>
      <protection hidden="1"/>
    </xf>
    <xf numFmtId="0" fontId="10" fillId="20" borderId="25" xfId="0" applyFont="1" applyFill="1" applyBorder="1" applyAlignment="1" applyProtection="1">
      <alignment horizontal="left"/>
      <protection hidden="1"/>
    </xf>
    <xf numFmtId="0" fontId="65" fillId="0" borderId="161" xfId="0" applyFont="1" applyBorder="1" applyAlignment="1" applyProtection="1">
      <alignment horizontal="left" wrapText="1"/>
      <protection hidden="1"/>
    </xf>
    <xf numFmtId="0" fontId="65" fillId="0" borderId="162" xfId="0" applyFont="1" applyBorder="1" applyAlignment="1" applyProtection="1">
      <alignment horizontal="left" wrapText="1"/>
      <protection hidden="1"/>
    </xf>
    <xf numFmtId="0" fontId="65" fillId="0" borderId="158" xfId="0" applyFont="1" applyBorder="1" applyAlignment="1" applyProtection="1">
      <alignment horizontal="left" wrapText="1"/>
      <protection hidden="1"/>
    </xf>
    <xf numFmtId="0" fontId="3" fillId="0" borderId="152" xfId="0" applyFont="1" applyBorder="1" applyAlignment="1" applyProtection="1">
      <alignment horizontal="justify" vertical="justify"/>
      <protection hidden="1"/>
    </xf>
    <xf numFmtId="0" fontId="3" fillId="0" borderId="153" xfId="0" applyFont="1" applyBorder="1" applyAlignment="1" applyProtection="1">
      <alignment horizontal="justify" vertical="justify"/>
      <protection hidden="1"/>
    </xf>
    <xf numFmtId="164" fontId="0" fillId="20" borderId="198" xfId="5" applyFont="1" applyFill="1" applyBorder="1" applyAlignment="1">
      <alignment horizontal="center"/>
    </xf>
    <xf numFmtId="164" fontId="0" fillId="20" borderId="12" xfId="5" applyFont="1" applyFill="1" applyBorder="1" applyAlignment="1">
      <alignment horizontal="center"/>
    </xf>
    <xf numFmtId="164" fontId="0" fillId="20" borderId="199" xfId="5" applyFont="1" applyFill="1" applyBorder="1" applyAlignment="1">
      <alignment horizontal="center"/>
    </xf>
    <xf numFmtId="0" fontId="0" fillId="21" borderId="188" xfId="0" applyFill="1" applyBorder="1" applyAlignment="1">
      <alignment horizontal="center"/>
    </xf>
    <xf numFmtId="0" fontId="0" fillId="21" borderId="0" xfId="0" applyFill="1" applyAlignment="1">
      <alignment horizontal="center"/>
    </xf>
    <xf numFmtId="0" fontId="0" fillId="21" borderId="189" xfId="0" applyFill="1" applyBorder="1" applyAlignment="1">
      <alignment horizontal="center"/>
    </xf>
    <xf numFmtId="167" fontId="0" fillId="20" borderId="188" xfId="5" applyNumberFormat="1" applyFont="1" applyFill="1" applyBorder="1" applyAlignment="1">
      <alignment horizontal="center" vertical="justify"/>
    </xf>
    <xf numFmtId="167" fontId="0" fillId="20" borderId="0" xfId="5" applyNumberFormat="1" applyFont="1" applyFill="1" applyBorder="1" applyAlignment="1">
      <alignment horizontal="center" vertical="justify"/>
    </xf>
    <xf numFmtId="167" fontId="0" fillId="20" borderId="189" xfId="5" applyNumberFormat="1" applyFont="1" applyFill="1" applyBorder="1" applyAlignment="1">
      <alignment horizontal="center" vertical="justify"/>
    </xf>
    <xf numFmtId="167" fontId="0" fillId="0" borderId="188" xfId="5" applyNumberFormat="1" applyFont="1" applyFill="1" applyBorder="1" applyAlignment="1">
      <alignment horizontal="center" vertical="justify"/>
    </xf>
    <xf numFmtId="167" fontId="0" fillId="0" borderId="0" xfId="5" applyNumberFormat="1" applyFont="1" applyFill="1" applyBorder="1" applyAlignment="1">
      <alignment horizontal="center" vertical="justify"/>
    </xf>
    <xf numFmtId="167" fontId="0" fillId="0" borderId="189" xfId="5" applyNumberFormat="1" applyFont="1" applyFill="1" applyBorder="1" applyAlignment="1">
      <alignment horizontal="center" vertical="justify"/>
    </xf>
    <xf numFmtId="167" fontId="5" fillId="20" borderId="188" xfId="5" applyNumberFormat="1" applyFont="1" applyFill="1" applyBorder="1" applyAlignment="1">
      <alignment horizontal="center"/>
    </xf>
    <xf numFmtId="167" fontId="5" fillId="20" borderId="0" xfId="5" applyNumberFormat="1" applyFont="1" applyFill="1" applyBorder="1" applyAlignment="1">
      <alignment horizontal="center"/>
    </xf>
    <xf numFmtId="167" fontId="5" fillId="20" borderId="189" xfId="5" applyNumberFormat="1" applyFont="1" applyFill="1" applyBorder="1" applyAlignment="1">
      <alignment horizontal="center"/>
    </xf>
    <xf numFmtId="167" fontId="0" fillId="0" borderId="190" xfId="5" applyNumberFormat="1" applyFont="1" applyFill="1" applyBorder="1" applyAlignment="1">
      <alignment horizontal="center" vertical="justify"/>
    </xf>
    <xf numFmtId="167" fontId="0" fillId="0" borderId="177" xfId="5" applyNumberFormat="1" applyFont="1" applyFill="1" applyBorder="1" applyAlignment="1">
      <alignment horizontal="center" vertical="justify"/>
    </xf>
    <xf numFmtId="167" fontId="0" fillId="0" borderId="191" xfId="5" applyNumberFormat="1" applyFont="1" applyFill="1" applyBorder="1" applyAlignment="1">
      <alignment horizontal="center" vertical="justify"/>
    </xf>
    <xf numFmtId="167" fontId="0" fillId="20" borderId="186" xfId="5" applyNumberFormat="1" applyFont="1" applyFill="1" applyBorder="1" applyAlignment="1">
      <alignment horizontal="center"/>
    </xf>
    <xf numFmtId="167" fontId="0" fillId="20" borderId="176" xfId="5" applyNumberFormat="1" applyFont="1" applyFill="1" applyBorder="1" applyAlignment="1">
      <alignment horizontal="center"/>
    </xf>
    <xf numFmtId="167" fontId="0" fillId="20" borderId="187" xfId="5" applyNumberFormat="1" applyFont="1" applyFill="1" applyBorder="1" applyAlignment="1">
      <alignment horizontal="center"/>
    </xf>
    <xf numFmtId="0" fontId="0" fillId="0" borderId="188" xfId="0" applyBorder="1" applyAlignment="1" applyProtection="1">
      <alignment horizontal="center"/>
      <protection hidden="1"/>
    </xf>
    <xf numFmtId="0" fontId="0" fillId="0" borderId="189" xfId="0" applyBorder="1" applyAlignment="1" applyProtection="1">
      <alignment horizontal="center"/>
      <protection hidden="1"/>
    </xf>
    <xf numFmtId="0" fontId="16" fillId="20" borderId="177" xfId="0" applyFont="1" applyFill="1" applyBorder="1" applyAlignment="1" applyProtection="1">
      <alignment horizontal="center"/>
      <protection hidden="1"/>
    </xf>
    <xf numFmtId="0" fontId="16" fillId="20" borderId="191" xfId="0" applyFont="1" applyFill="1" applyBorder="1" applyAlignment="1" applyProtection="1">
      <alignment horizontal="center"/>
      <protection hidden="1"/>
    </xf>
    <xf numFmtId="167" fontId="0" fillId="20" borderId="0" xfId="5" applyNumberFormat="1" applyFont="1" applyFill="1" applyBorder="1" applyAlignment="1">
      <alignment horizontal="center"/>
    </xf>
    <xf numFmtId="167" fontId="0" fillId="20" borderId="153" xfId="5" applyNumberFormat="1" applyFont="1" applyFill="1" applyBorder="1" applyAlignment="1">
      <alignment horizontal="center"/>
    </xf>
    <xf numFmtId="167" fontId="0" fillId="0" borderId="153" xfId="5" applyNumberFormat="1" applyFont="1" applyBorder="1" applyAlignment="1">
      <alignment horizontal="center"/>
    </xf>
    <xf numFmtId="167" fontId="0" fillId="0" borderId="162" xfId="5" applyNumberFormat="1" applyFont="1" applyBorder="1" applyAlignment="1">
      <alignment horizontal="center"/>
    </xf>
    <xf numFmtId="167" fontId="0" fillId="0" borderId="158" xfId="5" applyNumberFormat="1" applyFont="1" applyBorder="1" applyAlignment="1">
      <alignment horizontal="center"/>
    </xf>
    <xf numFmtId="167" fontId="0" fillId="0" borderId="221" xfId="5" applyNumberFormat="1" applyFont="1" applyBorder="1" applyAlignment="1" applyProtection="1">
      <alignment horizontal="center"/>
      <protection locked="0"/>
    </xf>
    <xf numFmtId="167" fontId="0" fillId="0" borderId="222" xfId="5" applyNumberFormat="1" applyFont="1" applyBorder="1" applyAlignment="1" applyProtection="1">
      <alignment horizontal="center"/>
      <protection locked="0"/>
    </xf>
    <xf numFmtId="167" fontId="0" fillId="0" borderId="224" xfId="5" applyNumberFormat="1" applyFont="1" applyBorder="1" applyAlignment="1" applyProtection="1">
      <alignment horizontal="center"/>
      <protection locked="0"/>
    </xf>
    <xf numFmtId="167" fontId="0" fillId="0" borderId="239" xfId="5" applyNumberFormat="1" applyFont="1" applyBorder="1" applyAlignment="1" applyProtection="1">
      <alignment horizontal="center"/>
      <protection hidden="1"/>
    </xf>
    <xf numFmtId="167" fontId="0" fillId="0" borderId="17" xfId="5" applyNumberFormat="1" applyFont="1" applyBorder="1" applyAlignment="1" applyProtection="1">
      <alignment horizontal="center"/>
      <protection hidden="1"/>
    </xf>
    <xf numFmtId="167" fontId="0" fillId="0" borderId="240" xfId="5" applyNumberFormat="1" applyFont="1" applyBorder="1" applyAlignment="1" applyProtection="1">
      <alignment horizontal="center"/>
      <protection hidden="1"/>
    </xf>
    <xf numFmtId="167" fontId="0" fillId="0" borderId="190" xfId="5" applyNumberFormat="1" applyFont="1" applyFill="1" applyBorder="1" applyAlignment="1" applyProtection="1">
      <alignment horizontal="center"/>
      <protection hidden="1"/>
    </xf>
    <xf numFmtId="167" fontId="0" fillId="0" borderId="177" xfId="5" applyNumberFormat="1" applyFont="1" applyFill="1" applyBorder="1" applyAlignment="1" applyProtection="1">
      <alignment horizontal="center"/>
      <protection hidden="1"/>
    </xf>
    <xf numFmtId="167" fontId="0" fillId="0" borderId="218" xfId="5" applyNumberFormat="1" applyFont="1" applyFill="1" applyBorder="1" applyAlignment="1" applyProtection="1">
      <alignment horizontal="center"/>
      <protection hidden="1"/>
    </xf>
    <xf numFmtId="167" fontId="0" fillId="0" borderId="188" xfId="0" applyNumberFormat="1" applyBorder="1" applyAlignment="1" applyProtection="1">
      <alignment horizontal="center"/>
      <protection hidden="1"/>
    </xf>
    <xf numFmtId="167" fontId="0" fillId="0" borderId="0" xfId="0" applyNumberFormat="1" applyAlignment="1" applyProtection="1">
      <alignment horizontal="center"/>
      <protection hidden="1"/>
    </xf>
    <xf numFmtId="167" fontId="0" fillId="0" borderId="153" xfId="0" applyNumberFormat="1" applyBorder="1" applyAlignment="1" applyProtection="1">
      <alignment horizontal="center"/>
      <protection hidden="1"/>
    </xf>
    <xf numFmtId="0" fontId="16" fillId="0" borderId="216" xfId="0" applyFont="1" applyBorder="1" applyAlignment="1" applyProtection="1">
      <alignment horizontal="center" vertical="center"/>
      <protection hidden="1"/>
    </xf>
    <xf numFmtId="167" fontId="16" fillId="20" borderId="218" xfId="0" applyNumberFormat="1" applyFont="1" applyFill="1" applyBorder="1" applyAlignment="1" applyProtection="1">
      <alignment horizontal="center"/>
      <protection hidden="1"/>
    </xf>
    <xf numFmtId="167" fontId="0" fillId="0" borderId="219" xfId="5" applyNumberFormat="1" applyFont="1" applyFill="1" applyBorder="1" applyAlignment="1" applyProtection="1">
      <alignment horizontal="center"/>
      <protection hidden="1"/>
    </xf>
    <xf numFmtId="167" fontId="16" fillId="0" borderId="218" xfId="0" applyNumberFormat="1" applyFont="1" applyBorder="1" applyAlignment="1" applyProtection="1">
      <alignment horizontal="center"/>
      <protection hidden="1"/>
    </xf>
    <xf numFmtId="171" fontId="9" fillId="20" borderId="157" xfId="4" applyNumberFormat="1" applyFont="1" applyFill="1" applyBorder="1" applyAlignment="1" applyProtection="1">
      <alignment horizontal="center"/>
      <protection hidden="1"/>
    </xf>
    <xf numFmtId="171" fontId="0" fillId="0" borderId="0" xfId="0" applyNumberFormat="1" applyAlignment="1" applyProtection="1">
      <alignment horizontal="center"/>
      <protection hidden="1"/>
    </xf>
    <xf numFmtId="171" fontId="0" fillId="0" borderId="153" xfId="0" applyNumberFormat="1" applyBorder="1" applyAlignment="1" applyProtection="1">
      <alignment horizontal="center"/>
      <protection hidden="1"/>
    </xf>
    <xf numFmtId="171" fontId="9" fillId="20" borderId="0" xfId="4" applyNumberFormat="1" applyFont="1" applyFill="1" applyBorder="1" applyAlignment="1">
      <alignment horizontal="center" vertical="center"/>
    </xf>
    <xf numFmtId="171" fontId="9" fillId="20" borderId="153" xfId="4" applyNumberFormat="1" applyFont="1" applyFill="1" applyBorder="1" applyAlignment="1">
      <alignment horizontal="center" vertical="center"/>
    </xf>
    <xf numFmtId="171" fontId="9" fillId="0" borderId="0" xfId="4" applyNumberFormat="1" applyFont="1" applyFill="1" applyBorder="1" applyAlignment="1">
      <alignment horizontal="right" vertical="center"/>
    </xf>
    <xf numFmtId="171" fontId="9" fillId="0" borderId="153" xfId="4" applyNumberFormat="1" applyFont="1" applyFill="1" applyBorder="1" applyAlignment="1">
      <alignment horizontal="right" vertical="center"/>
    </xf>
    <xf numFmtId="171" fontId="0" fillId="0" borderId="162" xfId="0" applyNumberFormat="1" applyBorder="1" applyAlignment="1" applyProtection="1">
      <alignment horizontal="center"/>
      <protection hidden="1"/>
    </xf>
    <xf numFmtId="171" fontId="0" fillId="0" borderId="158" xfId="0" applyNumberFormat="1" applyBorder="1" applyAlignment="1" applyProtection="1">
      <alignment horizontal="center"/>
      <protection hidden="1"/>
    </xf>
    <xf numFmtId="171" fontId="9" fillId="0" borderId="188" xfId="4" applyNumberFormat="1" applyFont="1" applyFill="1" applyBorder="1" applyAlignment="1" applyProtection="1">
      <alignment horizontal="center"/>
      <protection hidden="1"/>
    </xf>
    <xf numFmtId="171" fontId="9" fillId="0" borderId="153" xfId="4" applyNumberFormat="1" applyFont="1" applyFill="1" applyBorder="1" applyAlignment="1" applyProtection="1">
      <alignment horizontal="center"/>
      <protection hidden="1"/>
    </xf>
    <xf numFmtId="0" fontId="15" fillId="0" borderId="258" xfId="0" applyFont="1" applyBorder="1" applyAlignment="1" applyProtection="1">
      <alignment horizontal="justify" vertical="center" textRotation="90"/>
      <protection hidden="1"/>
    </xf>
    <xf numFmtId="0" fontId="15" fillId="0" borderId="225" xfId="0" applyFont="1" applyBorder="1" applyAlignment="1" applyProtection="1">
      <alignment horizontal="justify" vertical="center" textRotation="90"/>
      <protection hidden="1"/>
    </xf>
    <xf numFmtId="0" fontId="3" fillId="0" borderId="154" xfId="0" applyFont="1" applyBorder="1" applyAlignment="1" applyProtection="1">
      <alignment horizontal="left" vertical="justify"/>
      <protection hidden="1"/>
    </xf>
    <xf numFmtId="0" fontId="3" fillId="0" borderId="155" xfId="0" applyFont="1" applyBorder="1" applyAlignment="1" applyProtection="1">
      <alignment horizontal="left" vertical="justify"/>
      <protection hidden="1"/>
    </xf>
    <xf numFmtId="0" fontId="3" fillId="0" borderId="156" xfId="0" applyFont="1" applyBorder="1" applyAlignment="1" applyProtection="1">
      <alignment horizontal="left" vertical="justify"/>
      <protection hidden="1"/>
    </xf>
    <xf numFmtId="0" fontId="10" fillId="0" borderId="169" xfId="0" applyFont="1" applyBorder="1" applyAlignment="1" applyProtection="1">
      <alignment horizontal="left" vertical="center"/>
      <protection hidden="1"/>
    </xf>
    <xf numFmtId="0" fontId="21" fillId="20" borderId="169" xfId="0" applyFont="1" applyFill="1" applyBorder="1" applyAlignment="1" applyProtection="1">
      <alignment horizontal="left" vertical="center"/>
      <protection hidden="1"/>
    </xf>
    <xf numFmtId="0" fontId="21" fillId="20" borderId="0" xfId="0" applyFont="1" applyFill="1" applyAlignment="1" applyProtection="1">
      <alignment horizontal="left" vertical="center"/>
      <protection hidden="1"/>
    </xf>
    <xf numFmtId="0" fontId="26" fillId="0" borderId="169" xfId="0" applyFont="1" applyBorder="1" applyAlignment="1" applyProtection="1">
      <alignment horizontal="left" vertical="justify" wrapText="1"/>
      <protection hidden="1"/>
    </xf>
    <xf numFmtId="0" fontId="26" fillId="0" borderId="0" xfId="0" applyFont="1" applyAlignment="1" applyProtection="1">
      <alignment horizontal="left" vertical="justify" wrapText="1"/>
      <protection hidden="1"/>
    </xf>
    <xf numFmtId="0" fontId="10" fillId="20" borderId="169" xfId="0" applyFont="1" applyFill="1" applyBorder="1" applyAlignment="1" applyProtection="1">
      <alignment horizontal="left" vertical="center"/>
      <protection hidden="1"/>
    </xf>
    <xf numFmtId="0" fontId="10" fillId="20" borderId="0" xfId="0" applyFont="1" applyFill="1" applyAlignment="1" applyProtection="1">
      <alignment horizontal="left" vertical="center"/>
      <protection hidden="1"/>
    </xf>
    <xf numFmtId="0" fontId="10" fillId="0" borderId="226" xfId="0" applyFont="1" applyBorder="1" applyAlignment="1" applyProtection="1">
      <alignment horizontal="left" vertical="center"/>
      <protection hidden="1"/>
    </xf>
    <xf numFmtId="0" fontId="10" fillId="0" borderId="162" xfId="0" applyFont="1" applyBorder="1" applyAlignment="1" applyProtection="1">
      <alignment horizontal="left" vertical="center"/>
      <protection hidden="1"/>
    </xf>
    <xf numFmtId="0" fontId="9" fillId="0" borderId="149" xfId="0" applyFont="1" applyBorder="1" applyAlignment="1">
      <alignment horizontal="justify" vertical="center" textRotation="90"/>
    </xf>
    <xf numFmtId="0" fontId="9" fillId="0" borderId="150" xfId="0" applyFont="1" applyBorder="1" applyAlignment="1">
      <alignment horizontal="justify" vertical="center" textRotation="90"/>
    </xf>
    <xf numFmtId="0" fontId="9" fillId="0" borderId="151" xfId="0" applyFont="1" applyBorder="1" applyAlignment="1">
      <alignment horizontal="justify" vertical="center" textRotation="90"/>
    </xf>
    <xf numFmtId="171" fontId="9" fillId="0" borderId="214" xfId="4" applyNumberFormat="1" applyFont="1" applyBorder="1" applyAlignment="1" applyProtection="1">
      <alignment horizontal="center"/>
      <protection hidden="1"/>
    </xf>
    <xf numFmtId="171" fontId="9" fillId="0" borderId="160" xfId="4" applyNumberFormat="1" applyFont="1" applyBorder="1" applyAlignment="1" applyProtection="1">
      <alignment horizontal="center"/>
      <protection hidden="1"/>
    </xf>
    <xf numFmtId="0" fontId="26" fillId="20" borderId="205" xfId="0" applyFont="1" applyFill="1" applyBorder="1" applyAlignment="1">
      <alignment horizontal="left" vertical="justify" textRotation="91"/>
    </xf>
    <xf numFmtId="0" fontId="9" fillId="0" borderId="204" xfId="0" applyFont="1" applyBorder="1" applyAlignment="1">
      <alignment horizontal="center" textRotation="90"/>
    </xf>
    <xf numFmtId="0" fontId="9" fillId="0" borderId="207" xfId="0" applyFont="1" applyBorder="1" applyAlignment="1">
      <alignment horizontal="center" textRotation="90"/>
    </xf>
    <xf numFmtId="0" fontId="10" fillId="20" borderId="210" xfId="0" applyFont="1" applyFill="1" applyBorder="1" applyAlignment="1" applyProtection="1">
      <alignment horizontal="left" vertical="center"/>
      <protection hidden="1"/>
    </xf>
    <xf numFmtId="0" fontId="10" fillId="20" borderId="157" xfId="0" applyFont="1" applyFill="1" applyBorder="1" applyAlignment="1" applyProtection="1">
      <alignment horizontal="left" vertical="center"/>
      <protection hidden="1"/>
    </xf>
    <xf numFmtId="0" fontId="9" fillId="0" borderId="208" xfId="0" applyFont="1" applyBorder="1" applyAlignment="1">
      <alignment horizontal="left" vertical="justify"/>
    </xf>
    <xf numFmtId="0" fontId="9" fillId="20" borderId="205" xfId="0" applyFont="1" applyFill="1" applyBorder="1" applyAlignment="1">
      <alignment horizontal="center" vertical="center"/>
    </xf>
    <xf numFmtId="0" fontId="26" fillId="0" borderId="208" xfId="0" applyFont="1" applyBorder="1" applyAlignment="1">
      <alignment horizontal="left" vertical="justify"/>
    </xf>
    <xf numFmtId="171" fontId="9" fillId="20" borderId="213" xfId="4" applyNumberFormat="1" applyFont="1" applyFill="1" applyBorder="1" applyAlignment="1" applyProtection="1">
      <alignment horizontal="center"/>
      <protection hidden="1"/>
    </xf>
    <xf numFmtId="171" fontId="9" fillId="20" borderId="158" xfId="4" applyNumberFormat="1" applyFont="1" applyFill="1" applyBorder="1" applyAlignment="1" applyProtection="1">
      <alignment horizontal="center"/>
      <protection hidden="1"/>
    </xf>
    <xf numFmtId="167" fontId="0" fillId="20" borderId="157" xfId="5" applyNumberFormat="1" applyFont="1" applyFill="1" applyBorder="1" applyAlignment="1">
      <alignment horizontal="center"/>
    </xf>
    <xf numFmtId="167" fontId="0" fillId="20" borderId="160" xfId="5" applyNumberFormat="1" applyFont="1" applyFill="1" applyBorder="1" applyAlignment="1">
      <alignment horizontal="center"/>
    </xf>
    <xf numFmtId="171" fontId="0" fillId="0" borderId="0" xfId="0" applyNumberFormat="1" applyAlignment="1">
      <alignment horizontal="center"/>
    </xf>
    <xf numFmtId="0" fontId="0" fillId="0" borderId="153" xfId="0" applyBorder="1" applyAlignment="1">
      <alignment horizontal="center"/>
    </xf>
    <xf numFmtId="0" fontId="58" fillId="0" borderId="157" xfId="1" applyBorder="1" applyAlignment="1" applyProtection="1">
      <alignment horizontal="center" vertical="justify"/>
    </xf>
    <xf numFmtId="0" fontId="15" fillId="0" borderId="157" xfId="0" applyFont="1" applyBorder="1" applyAlignment="1">
      <alignment horizontal="center" vertical="justify"/>
    </xf>
    <xf numFmtId="0" fontId="9" fillId="20" borderId="227" xfId="0" applyFont="1" applyFill="1" applyBorder="1" applyAlignment="1" applyProtection="1">
      <alignment horizontal="left" vertical="justify"/>
      <protection hidden="1"/>
    </xf>
    <xf numFmtId="0" fontId="9" fillId="20" borderId="270" xfId="0" applyFont="1" applyFill="1" applyBorder="1" applyAlignment="1">
      <alignment horizontal="left" vertical="justify"/>
    </xf>
    <xf numFmtId="0" fontId="9" fillId="20" borderId="227" xfId="0" applyFont="1" applyFill="1" applyBorder="1" applyAlignment="1">
      <alignment horizontal="left" vertical="justify"/>
    </xf>
    <xf numFmtId="0" fontId="35" fillId="0" borderId="227" xfId="0" applyFont="1" applyBorder="1" applyAlignment="1" applyProtection="1">
      <alignment horizontal="center" vertical="center"/>
      <protection hidden="1"/>
    </xf>
    <xf numFmtId="0" fontId="9" fillId="0" borderId="227" xfId="0" applyFont="1" applyBorder="1" applyAlignment="1" applyProtection="1">
      <alignment horizontal="center" vertical="center"/>
      <protection locked="0"/>
    </xf>
    <xf numFmtId="0" fontId="9" fillId="0" borderId="230" xfId="0" applyFont="1" applyBorder="1" applyAlignment="1" applyProtection="1">
      <alignment horizontal="center" vertical="center"/>
      <protection locked="0"/>
    </xf>
    <xf numFmtId="171" fontId="26" fillId="0" borderId="228" xfId="4" applyNumberFormat="1" applyFont="1" applyFill="1" applyBorder="1" applyAlignment="1" applyProtection="1">
      <alignment horizontal="justify" vertical="justify"/>
      <protection hidden="1"/>
    </xf>
    <xf numFmtId="171" fontId="26" fillId="0" borderId="229" xfId="4" applyNumberFormat="1" applyFont="1" applyFill="1" applyBorder="1" applyAlignment="1" applyProtection="1">
      <alignment horizontal="justify" vertical="justify"/>
      <protection hidden="1"/>
    </xf>
    <xf numFmtId="0" fontId="7" fillId="0" borderId="228" xfId="0" applyFont="1" applyBorder="1" applyAlignment="1">
      <alignment horizontal="center" vertical="center"/>
    </xf>
    <xf numFmtId="0" fontId="7" fillId="0" borderId="155" xfId="0" applyFont="1" applyBorder="1" applyAlignment="1">
      <alignment horizontal="center" vertical="center"/>
    </xf>
    <xf numFmtId="0" fontId="7" fillId="0" borderId="229" xfId="0" applyFont="1" applyBorder="1" applyAlignment="1">
      <alignment horizontal="center" vertical="center"/>
    </xf>
    <xf numFmtId="167" fontId="9" fillId="0" borderId="227" xfId="5" applyNumberFormat="1" applyFont="1" applyBorder="1" applyAlignment="1" applyProtection="1">
      <alignment horizontal="center" vertical="center"/>
      <protection hidden="1"/>
    </xf>
    <xf numFmtId="167" fontId="3" fillId="0" borderId="227" xfId="5" applyNumberFormat="1" applyFont="1" applyBorder="1" applyAlignment="1">
      <alignment horizontal="center"/>
    </xf>
    <xf numFmtId="167" fontId="3" fillId="0" borderId="230" xfId="5" applyNumberFormat="1" applyFont="1" applyBorder="1" applyAlignment="1">
      <alignment horizontal="center"/>
    </xf>
    <xf numFmtId="167" fontId="3" fillId="0" borderId="228" xfId="5" applyNumberFormat="1" applyFont="1" applyFill="1" applyBorder="1" applyAlignment="1" applyProtection="1">
      <alignment horizontal="center" vertical="center"/>
      <protection hidden="1"/>
    </xf>
    <xf numFmtId="167" fontId="3" fillId="0" borderId="229" xfId="5" applyNumberFormat="1" applyFont="1" applyFill="1" applyBorder="1" applyAlignment="1" applyProtection="1">
      <alignment horizontal="center" vertical="center"/>
      <protection hidden="1"/>
    </xf>
    <xf numFmtId="0" fontId="15" fillId="20" borderId="154" xfId="0" applyFont="1" applyFill="1" applyBorder="1" applyAlignment="1">
      <alignment horizontal="left" vertical="justify"/>
    </xf>
    <xf numFmtId="0" fontId="15" fillId="20" borderId="155" xfId="0" applyFont="1" applyFill="1" applyBorder="1" applyAlignment="1">
      <alignment horizontal="left" vertical="justify"/>
    </xf>
    <xf numFmtId="0" fontId="15" fillId="20" borderId="229" xfId="0" applyFont="1" applyFill="1" applyBorder="1" applyAlignment="1">
      <alignment horizontal="left" vertical="justify"/>
    </xf>
    <xf numFmtId="0" fontId="3" fillId="20" borderId="227" xfId="0" applyFont="1" applyFill="1" applyBorder="1" applyAlignment="1" applyProtection="1">
      <alignment horizontal="center" vertical="center"/>
      <protection hidden="1"/>
    </xf>
    <xf numFmtId="0" fontId="5" fillId="0" borderId="0" xfId="0" applyFont="1" applyAlignment="1">
      <alignment horizontal="center"/>
    </xf>
    <xf numFmtId="0" fontId="7" fillId="9" borderId="0" xfId="0" applyFont="1" applyFill="1" applyAlignment="1">
      <alignment horizontal="center" vertical="center"/>
    </xf>
    <xf numFmtId="0" fontId="5" fillId="9" borderId="0" xfId="0" applyFont="1" applyFill="1" applyAlignment="1">
      <alignment horizontal="center"/>
    </xf>
    <xf numFmtId="0" fontId="5" fillId="16" borderId="268" xfId="0" applyFont="1" applyFill="1" applyBorder="1" applyAlignment="1">
      <alignment horizontal="center"/>
    </xf>
    <xf numFmtId="0" fontId="5" fillId="16" borderId="143" xfId="0" applyFont="1" applyFill="1" applyBorder="1" applyAlignment="1">
      <alignment horizontal="center"/>
    </xf>
    <xf numFmtId="0" fontId="5" fillId="16" borderId="145" xfId="0" applyFont="1" applyFill="1" applyBorder="1" applyAlignment="1">
      <alignment horizontal="center"/>
    </xf>
    <xf numFmtId="0" fontId="15" fillId="0" borderId="262" xfId="0" applyFont="1" applyBorder="1" applyAlignment="1">
      <alignment horizontal="center"/>
    </xf>
    <xf numFmtId="0" fontId="15" fillId="0" borderId="143" xfId="0" applyFont="1" applyBorder="1" applyAlignment="1">
      <alignment horizontal="center"/>
    </xf>
    <xf numFmtId="0" fontId="21" fillId="0" borderId="143" xfId="0" applyFont="1" applyBorder="1" applyAlignment="1">
      <alignment horizontal="center" vertical="justify"/>
    </xf>
    <xf numFmtId="0" fontId="21" fillId="0" borderId="263" xfId="0" applyFont="1" applyBorder="1" applyAlignment="1">
      <alignment horizontal="center" vertical="justify"/>
    </xf>
    <xf numFmtId="0" fontId="15" fillId="0" borderId="263" xfId="0" applyFont="1" applyBorder="1" applyAlignment="1">
      <alignment horizontal="center"/>
    </xf>
    <xf numFmtId="0" fontId="5" fillId="9" borderId="0" xfId="0" applyFont="1" applyFill="1" applyAlignment="1">
      <alignment horizontal="center" vertical="center"/>
    </xf>
    <xf numFmtId="0" fontId="3" fillId="9" borderId="1" xfId="0" applyFont="1" applyFill="1" applyBorder="1" applyAlignment="1">
      <alignment horizontal="center"/>
    </xf>
    <xf numFmtId="0" fontId="0" fillId="9" borderId="1" xfId="0" applyFill="1" applyBorder="1" applyAlignment="1">
      <alignment horizontal="center"/>
    </xf>
    <xf numFmtId="0" fontId="5" fillId="9" borderId="0" xfId="0" applyFont="1" applyFill="1" applyAlignment="1" applyProtection="1">
      <alignment horizontal="center"/>
      <protection hidden="1"/>
    </xf>
    <xf numFmtId="0" fontId="10" fillId="9" borderId="0" xfId="0" applyFont="1" applyFill="1" applyAlignment="1" applyProtection="1">
      <alignment horizontal="center" vertical="justify"/>
      <protection hidden="1"/>
    </xf>
    <xf numFmtId="0" fontId="5" fillId="9" borderId="56" xfId="0" applyFont="1" applyFill="1" applyBorder="1" applyAlignment="1" applyProtection="1">
      <alignment horizontal="center"/>
      <protection hidden="1"/>
    </xf>
    <xf numFmtId="0" fontId="5" fillId="9" borderId="57" xfId="0" applyFont="1" applyFill="1" applyBorder="1" applyAlignment="1" applyProtection="1">
      <alignment horizontal="center"/>
      <protection hidden="1"/>
    </xf>
    <xf numFmtId="0" fontId="5" fillId="9" borderId="41" xfId="0" applyFont="1" applyFill="1" applyBorder="1" applyAlignment="1" applyProtection="1">
      <alignment horizontal="center"/>
      <protection hidden="1"/>
    </xf>
    <xf numFmtId="171" fontId="18" fillId="18" borderId="142" xfId="4" applyNumberFormat="1" applyFont="1" applyFill="1" applyBorder="1" applyAlignment="1" applyProtection="1">
      <alignment horizontal="center"/>
      <protection hidden="1"/>
    </xf>
    <xf numFmtId="171" fontId="18" fillId="18" borderId="259" xfId="4" applyNumberFormat="1" applyFont="1" applyFill="1" applyBorder="1" applyAlignment="1" applyProtection="1">
      <alignment horizontal="center"/>
      <protection hidden="1"/>
    </xf>
    <xf numFmtId="0" fontId="8" fillId="0" borderId="1" xfId="0" applyFont="1" applyBorder="1" applyAlignment="1" applyProtection="1">
      <alignment horizontal="center" vertical="justify"/>
      <protection hidden="1"/>
    </xf>
    <xf numFmtId="0" fontId="72" fillId="9" borderId="1" xfId="0" applyFont="1" applyFill="1" applyBorder="1" applyAlignment="1" applyProtection="1">
      <alignment horizontal="center" vertical="center"/>
      <protection hidden="1"/>
    </xf>
    <xf numFmtId="0" fontId="5" fillId="0" borderId="25" xfId="0" applyFont="1" applyBorder="1" applyAlignment="1" applyProtection="1">
      <alignment horizontal="left"/>
      <protection hidden="1"/>
    </xf>
    <xf numFmtId="0" fontId="5" fillId="0" borderId="40" xfId="0" applyFont="1" applyBorder="1" applyAlignment="1" applyProtection="1">
      <alignment horizontal="left"/>
      <protection hidden="1"/>
    </xf>
    <xf numFmtId="0" fontId="5" fillId="0" borderId="26" xfId="0" applyFont="1" applyBorder="1" applyAlignment="1" applyProtection="1">
      <alignment horizontal="left"/>
      <protection hidden="1"/>
    </xf>
    <xf numFmtId="0" fontId="5" fillId="0" borderId="25" xfId="0" applyFont="1" applyBorder="1" applyAlignment="1" applyProtection="1">
      <alignment horizontal="center"/>
      <protection hidden="1"/>
    </xf>
    <xf numFmtId="0" fontId="5" fillId="0" borderId="40" xfId="0" applyFont="1" applyBorder="1" applyAlignment="1" applyProtection="1">
      <alignment horizontal="center"/>
      <protection hidden="1"/>
    </xf>
    <xf numFmtId="0" fontId="5" fillId="0" borderId="26" xfId="0" applyFont="1" applyBorder="1" applyAlignment="1" applyProtection="1">
      <alignment horizontal="center"/>
      <protection hidden="1"/>
    </xf>
    <xf numFmtId="0" fontId="0" fillId="0" borderId="54" xfId="0" applyBorder="1" applyAlignment="1" applyProtection="1">
      <alignment horizontal="center"/>
      <protection hidden="1"/>
    </xf>
    <xf numFmtId="0" fontId="4" fillId="5" borderId="25" xfId="0" applyFont="1" applyFill="1" applyBorder="1" applyAlignment="1" applyProtection="1">
      <alignment horizontal="left"/>
      <protection locked="0"/>
    </xf>
    <xf numFmtId="0" fontId="4" fillId="5" borderId="40" xfId="0" applyFont="1" applyFill="1" applyBorder="1" applyAlignment="1" applyProtection="1">
      <alignment horizontal="left"/>
      <protection locked="0"/>
    </xf>
    <xf numFmtId="0" fontId="4" fillId="5" borderId="26" xfId="0" applyFont="1" applyFill="1" applyBorder="1" applyAlignment="1" applyProtection="1">
      <alignment horizontal="left"/>
      <protection locked="0"/>
    </xf>
    <xf numFmtId="0" fontId="7" fillId="0" borderId="1" xfId="0" applyFont="1" applyBorder="1" applyAlignment="1" applyProtection="1">
      <alignment horizontal="center"/>
      <protection hidden="1"/>
    </xf>
    <xf numFmtId="0" fontId="4" fillId="5" borderId="53" xfId="0" applyFont="1" applyFill="1" applyBorder="1" applyAlignment="1" applyProtection="1">
      <alignment horizontal="left"/>
      <protection locked="0"/>
    </xf>
    <xf numFmtId="0" fontId="4" fillId="5" borderId="51" xfId="0" applyFont="1" applyFill="1" applyBorder="1" applyAlignment="1" applyProtection="1">
      <alignment horizontal="left"/>
      <protection locked="0"/>
    </xf>
    <xf numFmtId="0" fontId="4" fillId="5" borderId="48" xfId="0" applyFont="1" applyFill="1" applyBorder="1" applyAlignment="1" applyProtection="1">
      <alignment horizontal="left"/>
      <protection locked="0"/>
    </xf>
    <xf numFmtId="0" fontId="8" fillId="0" borderId="0" xfId="0" applyFont="1" applyAlignment="1" applyProtection="1">
      <alignment horizontal="center" vertical="center"/>
      <protection hidden="1"/>
    </xf>
    <xf numFmtId="0" fontId="8" fillId="0" borderId="18" xfId="0" applyFont="1" applyBorder="1" applyAlignment="1" applyProtection="1">
      <alignment horizontal="center" vertical="center"/>
      <protection hidden="1"/>
    </xf>
    <xf numFmtId="0" fontId="5" fillId="0" borderId="1" xfId="0" applyFont="1" applyBorder="1" applyAlignment="1" applyProtection="1">
      <alignment horizontal="left"/>
      <protection hidden="1"/>
    </xf>
    <xf numFmtId="0" fontId="15" fillId="0" borderId="1" xfId="0" applyFont="1" applyBorder="1" applyAlignment="1" applyProtection="1">
      <alignment horizontal="left"/>
      <protection hidden="1"/>
    </xf>
    <xf numFmtId="0" fontId="0" fillId="0" borderId="5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58" xfId="0" applyBorder="1" applyAlignment="1" applyProtection="1">
      <alignment horizontal="center"/>
      <protection hidden="1"/>
    </xf>
    <xf numFmtId="0" fontId="9" fillId="5" borderId="2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26" xfId="0" applyFont="1" applyFill="1" applyBorder="1" applyAlignment="1" applyProtection="1">
      <alignment horizontal="left"/>
      <protection locked="0"/>
    </xf>
    <xf numFmtId="0" fontId="9" fillId="5" borderId="53"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7" fillId="0" borderId="56" xfId="0" applyFont="1" applyBorder="1" applyAlignment="1" applyProtection="1">
      <alignment horizontal="center"/>
      <protection hidden="1"/>
    </xf>
    <xf numFmtId="0" fontId="7" fillId="0" borderId="57" xfId="0" applyFont="1" applyBorder="1" applyAlignment="1" applyProtection="1">
      <alignment horizontal="center"/>
      <protection hidden="1"/>
    </xf>
    <xf numFmtId="0" fontId="5" fillId="0" borderId="14"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71" fillId="13" borderId="14" xfId="0" applyFont="1" applyFill="1" applyBorder="1" applyAlignment="1" applyProtection="1">
      <alignment horizontal="center"/>
      <protection hidden="1"/>
    </xf>
    <xf numFmtId="0" fontId="71" fillId="13" borderId="0" xfId="0" applyFont="1" applyFill="1" applyAlignment="1" applyProtection="1">
      <alignment horizontal="center"/>
      <protection hidden="1"/>
    </xf>
    <xf numFmtId="0" fontId="71" fillId="13" borderId="15" xfId="0" applyFont="1" applyFill="1" applyBorder="1" applyAlignment="1" applyProtection="1">
      <alignment horizontal="center"/>
      <protection hidden="1"/>
    </xf>
    <xf numFmtId="0" fontId="10" fillId="0" borderId="25" xfId="0" applyFont="1" applyBorder="1" applyAlignment="1" applyProtection="1">
      <alignment horizontal="left" vertical="center"/>
      <protection hidden="1"/>
    </xf>
    <xf numFmtId="0" fontId="10" fillId="0" borderId="40" xfId="0" applyFont="1" applyBorder="1" applyAlignment="1" applyProtection="1">
      <alignment horizontal="left" vertical="center"/>
      <protection hidden="1"/>
    </xf>
    <xf numFmtId="0" fontId="10" fillId="0" borderId="26" xfId="0" applyFont="1" applyBorder="1" applyAlignment="1" applyProtection="1">
      <alignment horizontal="left" vertical="center"/>
      <protection hidden="1"/>
    </xf>
    <xf numFmtId="0" fontId="0" fillId="5" borderId="25"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5" fillId="0" borderId="11"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0" fillId="0" borderId="15" xfId="0" applyBorder="1" applyAlignment="1" applyProtection="1">
      <alignment horizontal="center"/>
      <protection hidden="1"/>
    </xf>
    <xf numFmtId="0" fontId="0" fillId="0" borderId="46" xfId="0" applyBorder="1" applyAlignment="1" applyProtection="1">
      <alignment horizontal="center"/>
      <protection hidden="1"/>
    </xf>
    <xf numFmtId="0" fontId="4" fillId="0" borderId="1" xfId="0" applyFont="1" applyBorder="1" applyAlignment="1" applyProtection="1">
      <alignment horizontal="left"/>
      <protection hidden="1"/>
    </xf>
    <xf numFmtId="0" fontId="0" fillId="0" borderId="25"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26" xfId="0" applyBorder="1" applyAlignment="1" applyProtection="1">
      <alignment horizontal="center"/>
      <protection hidden="1"/>
    </xf>
    <xf numFmtId="0" fontId="6" fillId="5" borderId="25" xfId="0" applyFont="1" applyFill="1" applyBorder="1" applyAlignment="1" applyProtection="1">
      <alignment horizontal="left"/>
      <protection locked="0"/>
    </xf>
    <xf numFmtId="0" fontId="0" fillId="5" borderId="26" xfId="0" applyFill="1" applyBorder="1" applyAlignment="1" applyProtection="1">
      <alignment horizontal="left"/>
      <protection locked="0"/>
    </xf>
    <xf numFmtId="0" fontId="4" fillId="0" borderId="1" xfId="0" applyFont="1" applyBorder="1" applyAlignment="1" applyProtection="1">
      <alignment horizontal="left" indent="9"/>
      <protection hidden="1"/>
    </xf>
    <xf numFmtId="0" fontId="4" fillId="0" borderId="39" xfId="0" applyFont="1" applyBorder="1" applyAlignment="1" applyProtection="1">
      <alignment horizontal="left" indent="9"/>
      <protection hidden="1"/>
    </xf>
    <xf numFmtId="0" fontId="0" fillId="0" borderId="5" xfId="0" applyBorder="1" applyAlignment="1" applyProtection="1">
      <alignment horizontal="center"/>
      <protection hidden="1"/>
    </xf>
    <xf numFmtId="0" fontId="5" fillId="0" borderId="2" xfId="0" applyFont="1" applyBorder="1" applyAlignment="1" applyProtection="1">
      <alignment horizontal="left"/>
      <protection hidden="1"/>
    </xf>
    <xf numFmtId="0" fontId="5" fillId="0" borderId="29" xfId="0" applyFont="1" applyBorder="1" applyAlignment="1" applyProtection="1">
      <alignment horizontal="left"/>
      <protection hidden="1"/>
    </xf>
    <xf numFmtId="0" fontId="4" fillId="0" borderId="25" xfId="0" applyFont="1" applyBorder="1" applyAlignment="1" applyProtection="1">
      <alignment horizontal="left"/>
      <protection hidden="1"/>
    </xf>
    <xf numFmtId="0" fontId="4" fillId="0" borderId="40" xfId="0" applyFont="1" applyBorder="1" applyAlignment="1" applyProtection="1">
      <alignment horizontal="left"/>
      <protection hidden="1"/>
    </xf>
    <xf numFmtId="0" fontId="4" fillId="0" borderId="26" xfId="0" applyFont="1" applyBorder="1" applyAlignment="1" applyProtection="1">
      <alignment horizontal="left"/>
      <protection hidden="1"/>
    </xf>
    <xf numFmtId="0" fontId="0" fillId="13" borderId="31" xfId="0" applyFill="1" applyBorder="1" applyAlignment="1" applyProtection="1">
      <alignment horizontal="center"/>
      <protection hidden="1"/>
    </xf>
    <xf numFmtId="0" fontId="0" fillId="13" borderId="51" xfId="0" applyFill="1" applyBorder="1" applyAlignment="1" applyProtection="1">
      <alignment horizontal="center"/>
      <protection hidden="1"/>
    </xf>
    <xf numFmtId="0" fontId="0" fillId="13" borderId="38" xfId="0" applyFill="1" applyBorder="1" applyAlignment="1" applyProtection="1">
      <alignment horizontal="center"/>
      <protection hidden="1"/>
    </xf>
    <xf numFmtId="0" fontId="0" fillId="13" borderId="16" xfId="0" applyFill="1" applyBorder="1" applyAlignment="1" applyProtection="1">
      <alignment horizontal="center"/>
      <protection hidden="1"/>
    </xf>
    <xf numFmtId="0" fontId="0" fillId="13" borderId="17" xfId="0" applyFill="1" applyBorder="1" applyAlignment="1" applyProtection="1">
      <alignment horizontal="center"/>
      <protection hidden="1"/>
    </xf>
    <xf numFmtId="0" fontId="0" fillId="13" borderId="19" xfId="0" applyFill="1" applyBorder="1" applyAlignment="1" applyProtection="1">
      <alignment horizontal="center"/>
      <protection hidden="1"/>
    </xf>
    <xf numFmtId="0" fontId="0" fillId="0" borderId="52" xfId="0" applyBorder="1" applyAlignment="1" applyProtection="1">
      <alignment horizontal="center"/>
      <protection hidden="1"/>
    </xf>
    <xf numFmtId="0" fontId="0" fillId="0" borderId="38" xfId="0" applyBorder="1" applyAlignment="1" applyProtection="1">
      <alignment horizontal="center"/>
      <protection hidden="1"/>
    </xf>
    <xf numFmtId="0" fontId="5" fillId="0" borderId="4" xfId="0" applyFont="1" applyBorder="1" applyAlignment="1" applyProtection="1">
      <alignment horizontal="left"/>
      <protection hidden="1"/>
    </xf>
    <xf numFmtId="0" fontId="6" fillId="0" borderId="1" xfId="0" applyFont="1" applyBorder="1" applyAlignment="1" applyProtection="1">
      <alignment horizontal="left"/>
      <protection hidden="1"/>
    </xf>
    <xf numFmtId="0" fontId="0" fillId="0" borderId="1" xfId="0" applyBorder="1" applyAlignment="1" applyProtection="1">
      <alignment horizontal="left"/>
      <protection hidden="1"/>
    </xf>
    <xf numFmtId="0" fontId="71" fillId="13" borderId="31" xfId="0" applyFont="1" applyFill="1" applyBorder="1" applyAlignment="1" applyProtection="1">
      <alignment horizontal="center"/>
      <protection hidden="1"/>
    </xf>
    <xf numFmtId="0" fontId="71" fillId="13" borderId="51" xfId="0" applyFont="1" applyFill="1" applyBorder="1" applyAlignment="1" applyProtection="1">
      <alignment horizontal="center"/>
      <protection hidden="1"/>
    </xf>
    <xf numFmtId="0" fontId="71" fillId="13" borderId="38" xfId="0" applyFont="1" applyFill="1" applyBorder="1" applyAlignment="1" applyProtection="1">
      <alignment horizontal="center"/>
      <protection hidden="1"/>
    </xf>
    <xf numFmtId="0" fontId="0" fillId="13" borderId="14" xfId="0" applyFill="1" applyBorder="1" applyAlignment="1" applyProtection="1">
      <alignment horizontal="center"/>
      <protection hidden="1"/>
    </xf>
    <xf numFmtId="0" fontId="0" fillId="13" borderId="0" xfId="0" applyFill="1" applyAlignment="1" applyProtection="1">
      <alignment horizontal="center"/>
      <protection hidden="1"/>
    </xf>
    <xf numFmtId="0" fontId="0" fillId="13" borderId="15" xfId="0" applyFill="1" applyBorder="1" applyAlignment="1" applyProtection="1">
      <alignment horizontal="center"/>
      <protection hidden="1"/>
    </xf>
    <xf numFmtId="0" fontId="9" fillId="0" borderId="1" xfId="0" applyFont="1" applyBorder="1" applyAlignment="1" applyProtection="1">
      <alignment horizontal="left"/>
      <protection hidden="1"/>
    </xf>
    <xf numFmtId="0" fontId="0" fillId="0" borderId="4" xfId="0" applyBorder="1" applyAlignment="1" applyProtection="1">
      <alignment horizontal="center"/>
      <protection hidden="1"/>
    </xf>
    <xf numFmtId="0" fontId="0" fillId="0" borderId="1" xfId="0" applyBorder="1" applyAlignment="1" applyProtection="1">
      <alignment horizontal="center"/>
      <protection hidden="1"/>
    </xf>
    <xf numFmtId="0" fontId="15" fillId="0" borderId="128" xfId="0" applyFont="1" applyBorder="1" applyAlignment="1">
      <alignment horizontal="center" vertical="center" textRotation="90"/>
    </xf>
    <xf numFmtId="0" fontId="15" fillId="0" borderId="131" xfId="0" applyFont="1" applyBorder="1" applyAlignment="1">
      <alignment horizontal="center" vertical="center" textRotation="90"/>
    </xf>
    <xf numFmtId="0" fontId="15" fillId="0" borderId="133" xfId="0" applyFont="1" applyBorder="1" applyAlignment="1">
      <alignment horizontal="center" vertical="center" textRotation="90"/>
    </xf>
    <xf numFmtId="171" fontId="9" fillId="8" borderId="0" xfId="4" applyNumberFormat="1" applyFont="1" applyFill="1" applyBorder="1" applyAlignment="1" applyProtection="1">
      <alignment horizontal="left"/>
      <protection hidden="1"/>
    </xf>
    <xf numFmtId="0" fontId="10" fillId="0" borderId="128" xfId="0" applyFont="1" applyBorder="1" applyAlignment="1">
      <alignment horizontal="justify" vertical="center" textRotation="90"/>
    </xf>
    <xf numFmtId="0" fontId="10" fillId="0" borderId="131" xfId="0" applyFont="1" applyBorder="1" applyAlignment="1">
      <alignment horizontal="justify" vertical="center" textRotation="90"/>
    </xf>
    <xf numFmtId="0" fontId="10" fillId="0" borderId="133" xfId="0" applyFont="1" applyBorder="1" applyAlignment="1">
      <alignment horizontal="justify" vertical="center" textRotation="90"/>
    </xf>
    <xf numFmtId="0" fontId="16" fillId="0" borderId="128" xfId="0" applyFont="1" applyBorder="1" applyAlignment="1">
      <alignment horizontal="center" vertical="center" textRotation="90"/>
    </xf>
    <xf numFmtId="0" fontId="16" fillId="0" borderId="131" xfId="0" applyFont="1" applyBorder="1" applyAlignment="1">
      <alignment horizontal="center" vertical="center" textRotation="90"/>
    </xf>
    <xf numFmtId="0" fontId="16" fillId="0" borderId="133" xfId="0" applyFont="1" applyBorder="1" applyAlignment="1">
      <alignment horizontal="center" vertical="center" textRotation="90"/>
    </xf>
    <xf numFmtId="0" fontId="9" fillId="0" borderId="128" xfId="0" applyFont="1" applyBorder="1" applyAlignment="1" applyProtection="1">
      <alignment horizontal="left" vertical="justify"/>
      <protection hidden="1"/>
    </xf>
    <xf numFmtId="0" fontId="9" fillId="0" borderId="129" xfId="0" applyFont="1" applyBorder="1" applyAlignment="1" applyProtection="1">
      <alignment horizontal="left" vertical="justify"/>
      <protection hidden="1"/>
    </xf>
    <xf numFmtId="0" fontId="9" fillId="8" borderId="131" xfId="0" applyFont="1" applyFill="1" applyBorder="1" applyAlignment="1" applyProtection="1">
      <alignment horizontal="left" vertical="center"/>
      <protection hidden="1"/>
    </xf>
    <xf numFmtId="0" fontId="3" fillId="8" borderId="0" xfId="0" applyFont="1" applyFill="1" applyAlignment="1" applyProtection="1">
      <alignment horizontal="left"/>
      <protection hidden="1"/>
    </xf>
    <xf numFmtId="0" fontId="5" fillId="0" borderId="128" xfId="0" applyFont="1" applyBorder="1" applyAlignment="1">
      <alignment horizontal="center" vertical="center" textRotation="90"/>
    </xf>
    <xf numFmtId="0" fontId="5" fillId="0" borderId="131" xfId="0" applyFont="1" applyBorder="1" applyAlignment="1">
      <alignment horizontal="center" vertical="center" textRotation="90"/>
    </xf>
    <xf numFmtId="0" fontId="5" fillId="0" borderId="133" xfId="0" applyFont="1" applyBorder="1" applyAlignment="1">
      <alignment horizontal="center" vertical="center" textRotation="90"/>
    </xf>
    <xf numFmtId="0" fontId="9" fillId="0" borderId="134" xfId="0" applyFont="1" applyBorder="1" applyAlignment="1">
      <alignment horizontal="left" vertical="justify"/>
    </xf>
    <xf numFmtId="0" fontId="10" fillId="0" borderId="131" xfId="0" applyFont="1" applyBorder="1" applyAlignment="1" applyProtection="1">
      <alignment vertical="center"/>
      <protection hidden="1"/>
    </xf>
    <xf numFmtId="0" fontId="15" fillId="0" borderId="128" xfId="0" applyFont="1" applyBorder="1" applyAlignment="1" applyProtection="1">
      <alignment horizontal="center" vertical="center" textRotation="90"/>
      <protection hidden="1"/>
    </xf>
    <xf numFmtId="0" fontId="15" fillId="0" borderId="131" xfId="0" applyFont="1" applyBorder="1" applyAlignment="1" applyProtection="1">
      <alignment horizontal="center" vertical="center" textRotation="90"/>
      <protection hidden="1"/>
    </xf>
    <xf numFmtId="0" fontId="15" fillId="0" borderId="133" xfId="0" applyFont="1" applyBorder="1" applyAlignment="1" applyProtection="1">
      <alignment horizontal="center" vertical="center" textRotation="90"/>
      <protection hidden="1"/>
    </xf>
    <xf numFmtId="0" fontId="0" fillId="8" borderId="129" xfId="0" applyFill="1" applyBorder="1" applyAlignment="1" applyProtection="1">
      <alignment horizontal="left"/>
      <protection hidden="1"/>
    </xf>
    <xf numFmtId="0" fontId="9" fillId="8" borderId="129" xfId="0" applyFont="1" applyFill="1" applyBorder="1" applyAlignment="1" applyProtection="1">
      <alignment horizontal="justify" vertical="justify"/>
      <protection hidden="1"/>
    </xf>
    <xf numFmtId="0" fontId="0" fillId="8" borderId="134" xfId="0" applyFill="1" applyBorder="1" applyAlignment="1" applyProtection="1">
      <alignment horizontal="left"/>
      <protection hidden="1"/>
    </xf>
    <xf numFmtId="0" fontId="9" fillId="0" borderId="129" xfId="0" applyFont="1" applyBorder="1" applyAlignment="1" applyProtection="1">
      <alignment horizontal="left"/>
      <protection hidden="1"/>
    </xf>
    <xf numFmtId="0" fontId="10" fillId="0" borderId="128" xfId="0" applyFont="1" applyBorder="1" applyAlignment="1" applyProtection="1">
      <alignment horizontal="justify" vertical="center" textRotation="90"/>
      <protection hidden="1"/>
    </xf>
    <xf numFmtId="0" fontId="10" fillId="0" borderId="131" xfId="0" applyFont="1" applyBorder="1" applyAlignment="1" applyProtection="1">
      <alignment horizontal="justify" vertical="center" textRotation="90"/>
      <protection hidden="1"/>
    </xf>
    <xf numFmtId="0" fontId="10" fillId="0" borderId="133" xfId="0" applyFont="1" applyBorder="1" applyAlignment="1" applyProtection="1">
      <alignment horizontal="justify" vertical="center" textRotation="90"/>
      <protection hidden="1"/>
    </xf>
    <xf numFmtId="0" fontId="26" fillId="8" borderId="131" xfId="0" applyFont="1" applyFill="1" applyBorder="1" applyAlignment="1" applyProtection="1">
      <alignment horizontal="left" vertical="justify"/>
      <protection hidden="1"/>
    </xf>
    <xf numFmtId="0" fontId="9" fillId="8" borderId="0" xfId="0" applyFont="1" applyFill="1" applyAlignment="1" applyProtection="1">
      <alignment horizontal="left" vertical="justify"/>
      <protection hidden="1"/>
    </xf>
    <xf numFmtId="0" fontId="9" fillId="8" borderId="0" xfId="0" applyFont="1" applyFill="1" applyAlignment="1" applyProtection="1">
      <alignment horizontal="justify" vertical="justify"/>
      <protection hidden="1"/>
    </xf>
    <xf numFmtId="0" fontId="9" fillId="0" borderId="134" xfId="0" applyFont="1" applyBorder="1" applyAlignment="1" applyProtection="1">
      <alignment horizontal="left" vertical="center"/>
      <protection hidden="1"/>
    </xf>
    <xf numFmtId="0" fontId="21" fillId="0" borderId="128" xfId="0" applyFont="1" applyBorder="1" applyAlignment="1">
      <alignment horizontal="justify" vertical="center" textRotation="90"/>
    </xf>
    <xf numFmtId="0" fontId="21" fillId="0" borderId="131" xfId="0" applyFont="1" applyBorder="1" applyAlignment="1">
      <alignment horizontal="justify" vertical="center" textRotation="90"/>
    </xf>
    <xf numFmtId="0" fontId="21" fillId="0" borderId="133" xfId="0" applyFont="1" applyBorder="1" applyAlignment="1">
      <alignment horizontal="justify" vertical="center" textRotation="90"/>
    </xf>
    <xf numFmtId="0" fontId="5" fillId="0" borderId="131" xfId="0" applyFont="1" applyBorder="1" applyAlignment="1">
      <alignment horizontal="center" textRotation="90"/>
    </xf>
    <xf numFmtId="0" fontId="5" fillId="0" borderId="133" xfId="0" applyFont="1" applyBorder="1" applyAlignment="1">
      <alignment horizontal="center" textRotation="90"/>
    </xf>
    <xf numFmtId="0" fontId="9" fillId="0" borderId="134" xfId="0" applyFont="1" applyBorder="1" applyAlignment="1" applyProtection="1">
      <alignment horizontal="justify" vertical="justify"/>
      <protection hidden="1"/>
    </xf>
    <xf numFmtId="0" fontId="3" fillId="8" borderId="134" xfId="0" applyFont="1" applyFill="1" applyBorder="1" applyAlignment="1" applyProtection="1">
      <alignment horizontal="left"/>
      <protection hidden="1"/>
    </xf>
    <xf numFmtId="0" fontId="4" fillId="8" borderId="0" xfId="0" applyFont="1" applyFill="1" applyAlignment="1" applyProtection="1">
      <alignment horizontal="justify" vertical="justify"/>
      <protection hidden="1"/>
    </xf>
    <xf numFmtId="0" fontId="4" fillId="0" borderId="129" xfId="0" applyFont="1" applyBorder="1" applyAlignment="1" applyProtection="1">
      <alignment horizontal="justify" vertical="justify"/>
      <protection hidden="1"/>
    </xf>
    <xf numFmtId="0" fontId="4" fillId="0" borderId="134" xfId="0" applyFont="1" applyBorder="1" applyAlignment="1" applyProtection="1">
      <alignment horizontal="left" vertical="center"/>
      <protection hidden="1"/>
    </xf>
    <xf numFmtId="0" fontId="3" fillId="8" borderId="129" xfId="0" applyFont="1" applyFill="1" applyBorder="1" applyAlignment="1" applyProtection="1">
      <alignment horizontal="left"/>
      <protection hidden="1"/>
    </xf>
    <xf numFmtId="0" fontId="3" fillId="8" borderId="0" xfId="0" applyFont="1" applyFill="1" applyAlignment="1" applyProtection="1">
      <alignment horizontal="left" vertical="justify"/>
      <protection hidden="1"/>
    </xf>
    <xf numFmtId="0" fontId="3" fillId="0" borderId="133" xfId="0" applyFont="1" applyBorder="1" applyAlignment="1" applyProtection="1">
      <alignment horizontal="left"/>
      <protection hidden="1"/>
    </xf>
    <xf numFmtId="0" fontId="3" fillId="0" borderId="134" xfId="0" applyFont="1" applyBorder="1" applyAlignment="1" applyProtection="1">
      <alignment horizontal="left"/>
      <protection hidden="1"/>
    </xf>
    <xf numFmtId="0" fontId="3" fillId="8" borderId="134" xfId="0" applyFont="1" applyFill="1" applyBorder="1" applyAlignment="1" applyProtection="1">
      <alignment horizontal="justify" vertical="justify"/>
      <protection hidden="1"/>
    </xf>
    <xf numFmtId="0" fontId="10" fillId="8" borderId="128" xfId="0" applyFont="1" applyFill="1" applyBorder="1" applyAlignment="1" applyProtection="1">
      <alignment horizontal="left" vertical="center"/>
      <protection hidden="1"/>
    </xf>
    <xf numFmtId="0" fontId="10" fillId="8" borderId="129" xfId="0" applyFont="1" applyFill="1" applyBorder="1" applyAlignment="1" applyProtection="1">
      <alignment horizontal="left" vertical="center"/>
      <protection hidden="1"/>
    </xf>
    <xf numFmtId="0" fontId="3" fillId="0" borderId="129" xfId="0" applyFont="1" applyBorder="1" applyAlignment="1">
      <alignment horizontal="left"/>
    </xf>
    <xf numFmtId="0" fontId="0" fillId="0" borderId="129" xfId="0" applyBorder="1" applyAlignment="1">
      <alignment horizontal="left"/>
    </xf>
    <xf numFmtId="0" fontId="4" fillId="0" borderId="0" xfId="0" applyFont="1" applyAlignment="1">
      <alignment horizontal="left" vertical="justify"/>
    </xf>
    <xf numFmtId="0" fontId="26" fillId="0" borderId="131" xfId="0" applyFont="1" applyBorder="1" applyAlignment="1" applyProtection="1">
      <alignment horizontal="left" vertical="justify"/>
      <protection hidden="1"/>
    </xf>
    <xf numFmtId="0" fontId="26" fillId="0" borderId="0" xfId="0" applyFont="1" applyAlignment="1" applyProtection="1">
      <alignment horizontal="left" vertical="justify"/>
      <protection hidden="1"/>
    </xf>
    <xf numFmtId="171" fontId="9" fillId="19" borderId="0" xfId="4" applyNumberFormat="1" applyFont="1" applyFill="1" applyBorder="1" applyAlignment="1" applyProtection="1">
      <alignment horizontal="left" vertical="justify"/>
      <protection hidden="1"/>
    </xf>
    <xf numFmtId="0" fontId="16" fillId="0" borderId="136" xfId="0" applyFont="1" applyBorder="1" applyAlignment="1" applyProtection="1">
      <alignment horizontal="center" vertical="center" textRotation="90"/>
      <protection hidden="1"/>
    </xf>
    <xf numFmtId="0" fontId="16" fillId="0" borderId="137" xfId="0" applyFont="1" applyBorder="1" applyAlignment="1" applyProtection="1">
      <alignment horizontal="center" vertical="center" textRotation="90"/>
      <protection hidden="1"/>
    </xf>
    <xf numFmtId="0" fontId="16" fillId="0" borderId="138" xfId="0" applyFont="1" applyBorder="1" applyAlignment="1" applyProtection="1">
      <alignment horizontal="center" vertical="center" textRotation="90"/>
      <protection hidden="1"/>
    </xf>
    <xf numFmtId="0" fontId="10" fillId="0" borderId="128" xfId="0" applyFont="1" applyBorder="1" applyAlignment="1">
      <alignment horizontal="center" vertical="center" textRotation="90"/>
    </xf>
    <xf numFmtId="0" fontId="10" fillId="0" borderId="131" xfId="0" applyFont="1" applyBorder="1" applyAlignment="1">
      <alignment horizontal="center" vertical="center" textRotation="90"/>
    </xf>
    <xf numFmtId="0" fontId="10" fillId="0" borderId="133" xfId="0" applyFont="1" applyBorder="1" applyAlignment="1">
      <alignment horizontal="center" vertical="center" textRotation="90"/>
    </xf>
    <xf numFmtId="0" fontId="10" fillId="8" borderId="0" xfId="0" applyFont="1" applyFill="1" applyAlignment="1" applyProtection="1">
      <alignment horizontal="justify" vertical="justify"/>
      <protection hidden="1"/>
    </xf>
    <xf numFmtId="0" fontId="0" fillId="0" borderId="134" xfId="0" applyBorder="1" applyAlignment="1" applyProtection="1">
      <alignment horizontal="left"/>
      <protection hidden="1"/>
    </xf>
    <xf numFmtId="0" fontId="10" fillId="0" borderId="128" xfId="0" applyFont="1" applyBorder="1" applyAlignment="1">
      <alignment horizontal="center" textRotation="90"/>
    </xf>
    <xf numFmtId="0" fontId="10" fillId="0" borderId="131" xfId="0" applyFont="1" applyBorder="1" applyAlignment="1">
      <alignment horizontal="center" textRotation="90"/>
    </xf>
    <xf numFmtId="0" fontId="10" fillId="0" borderId="133" xfId="0" applyFont="1" applyBorder="1" applyAlignment="1">
      <alignment horizontal="center" textRotation="90"/>
    </xf>
    <xf numFmtId="0" fontId="75" fillId="0" borderId="0" xfId="0" applyFont="1" applyAlignment="1" applyProtection="1">
      <alignment horizontal="center"/>
      <protection hidden="1"/>
    </xf>
    <xf numFmtId="171" fontId="17" fillId="6" borderId="263" xfId="4" applyNumberFormat="1" applyFont="1" applyFill="1" applyBorder="1" applyAlignment="1" applyProtection="1">
      <alignment horizontal="center" vertical="center"/>
      <protection hidden="1"/>
    </xf>
    <xf numFmtId="0" fontId="6" fillId="0" borderId="42" xfId="0" applyFont="1" applyBorder="1" applyAlignment="1" applyProtection="1">
      <alignment horizontal="left"/>
      <protection hidden="1"/>
    </xf>
    <xf numFmtId="0" fontId="6" fillId="0" borderId="40" xfId="0" applyFont="1" applyBorder="1" applyAlignment="1" applyProtection="1">
      <alignment horizontal="left"/>
      <protection hidden="1"/>
    </xf>
    <xf numFmtId="0" fontId="6" fillId="0" borderId="26" xfId="0" applyFont="1" applyBorder="1" applyAlignment="1" applyProtection="1">
      <alignment horizontal="left"/>
      <protection hidden="1"/>
    </xf>
    <xf numFmtId="0" fontId="7" fillId="0" borderId="42" xfId="0" applyFont="1" applyBorder="1" applyAlignment="1" applyProtection="1">
      <alignment horizontal="left"/>
      <protection hidden="1"/>
    </xf>
    <xf numFmtId="0" fontId="7" fillId="0" borderId="26" xfId="0" applyFont="1" applyBorder="1" applyAlignment="1" applyProtection="1">
      <alignment horizontal="left"/>
      <protection hidden="1"/>
    </xf>
    <xf numFmtId="167" fontId="0" fillId="0" borderId="43" xfId="0" applyNumberFormat="1" applyBorder="1" applyAlignment="1" applyProtection="1">
      <alignment horizontal="center"/>
      <protection hidden="1"/>
    </xf>
    <xf numFmtId="167" fontId="0" fillId="0" borderId="55" xfId="0" applyNumberFormat="1" applyBorder="1" applyAlignment="1" applyProtection="1">
      <alignment horizontal="center"/>
      <protection hidden="1"/>
    </xf>
    <xf numFmtId="167" fontId="0" fillId="0" borderId="24" xfId="0" applyNumberFormat="1" applyBorder="1" applyAlignment="1" applyProtection="1">
      <alignment horizontal="center"/>
      <protection hidden="1"/>
    </xf>
    <xf numFmtId="0" fontId="26" fillId="0" borderId="4" xfId="0" applyFont="1" applyBorder="1" applyAlignment="1" applyProtection="1">
      <alignment horizontal="left" vertical="center"/>
      <protection hidden="1"/>
    </xf>
    <xf numFmtId="0" fontId="26" fillId="0" borderId="1" xfId="0" applyFont="1" applyBorder="1" applyAlignment="1" applyProtection="1">
      <alignment horizontal="left" vertical="center"/>
      <protection hidden="1"/>
    </xf>
    <xf numFmtId="0" fontId="26" fillId="0" borderId="42" xfId="0" applyFont="1" applyBorder="1" applyAlignment="1" applyProtection="1">
      <alignment horizontal="left" vertical="center"/>
      <protection hidden="1"/>
    </xf>
    <xf numFmtId="0" fontId="26" fillId="0" borderId="26" xfId="0" applyFont="1" applyBorder="1" applyAlignment="1" applyProtection="1">
      <alignment horizontal="left" vertical="center"/>
      <protection hidden="1"/>
    </xf>
    <xf numFmtId="0" fontId="26" fillId="0" borderId="42" xfId="0" applyFont="1" applyBorder="1" applyAlignment="1" applyProtection="1">
      <alignment horizontal="justify" vertical="justify"/>
      <protection hidden="1"/>
    </xf>
    <xf numFmtId="0" fontId="26" fillId="0" borderId="26" xfId="0" applyFont="1" applyBorder="1" applyAlignment="1" applyProtection="1">
      <alignment horizontal="justify" vertical="justify"/>
      <protection hidden="1"/>
    </xf>
    <xf numFmtId="0" fontId="26" fillId="0" borderId="42" xfId="0" applyFont="1" applyBorder="1" applyAlignment="1" applyProtection="1">
      <alignment horizontal="justify" vertical="center"/>
      <protection hidden="1"/>
    </xf>
    <xf numFmtId="0" fontId="26" fillId="0" borderId="26" xfId="0" applyFont="1" applyBorder="1" applyAlignment="1" applyProtection="1">
      <alignment horizontal="justify" vertical="center"/>
      <protection hidden="1"/>
    </xf>
    <xf numFmtId="0" fontId="26" fillId="0" borderId="60" xfId="0" applyFont="1" applyBorder="1" applyAlignment="1" applyProtection="1">
      <alignment horizontal="justify" vertical="center"/>
      <protection hidden="1"/>
    </xf>
    <xf numFmtId="0" fontId="26" fillId="0" borderId="62" xfId="0" applyFont="1" applyBorder="1" applyAlignment="1" applyProtection="1">
      <alignment horizontal="justify" vertical="center"/>
      <protection hidden="1"/>
    </xf>
    <xf numFmtId="0" fontId="8" fillId="6" borderId="0" xfId="0" applyFont="1" applyFill="1" applyAlignment="1" applyProtection="1">
      <alignment horizontal="center"/>
      <protection hidden="1"/>
    </xf>
    <xf numFmtId="9" fontId="65" fillId="6" borderId="4" xfId="0" applyNumberFormat="1" applyFont="1" applyFill="1" applyBorder="1" applyAlignment="1" applyProtection="1">
      <alignment horizontal="left" vertical="center"/>
      <protection hidden="1"/>
    </xf>
    <xf numFmtId="9" fontId="65" fillId="6" borderId="1" xfId="0" applyNumberFormat="1" applyFont="1" applyFill="1" applyBorder="1" applyAlignment="1" applyProtection="1">
      <alignment horizontal="left" vertical="center"/>
      <protection hidden="1"/>
    </xf>
    <xf numFmtId="0" fontId="16" fillId="14" borderId="11" xfId="0" applyFont="1" applyFill="1" applyBorder="1" applyAlignment="1" applyProtection="1">
      <alignment horizontal="center"/>
      <protection hidden="1"/>
    </xf>
    <xf numFmtId="0" fontId="16" fillId="14" borderId="12" xfId="0" applyFont="1" applyFill="1" applyBorder="1" applyAlignment="1" applyProtection="1">
      <alignment horizontal="center"/>
      <protection hidden="1"/>
    </xf>
    <xf numFmtId="0" fontId="16" fillId="14" borderId="13" xfId="0" applyFont="1" applyFill="1" applyBorder="1" applyAlignment="1" applyProtection="1">
      <alignment horizontal="center"/>
      <protection hidden="1"/>
    </xf>
    <xf numFmtId="0" fontId="5" fillId="6" borderId="63" xfId="0" applyFont="1" applyFill="1" applyBorder="1" applyAlignment="1" applyProtection="1">
      <alignment horizontal="center" vertical="center"/>
      <protection hidden="1"/>
    </xf>
    <xf numFmtId="0" fontId="5" fillId="6" borderId="64" xfId="0" applyFont="1" applyFill="1" applyBorder="1" applyAlignment="1" applyProtection="1">
      <alignment horizontal="center" vertical="center"/>
      <protection hidden="1"/>
    </xf>
    <xf numFmtId="0" fontId="21" fillId="6" borderId="42" xfId="0" applyFont="1" applyFill="1" applyBorder="1" applyAlignment="1" applyProtection="1">
      <alignment horizontal="left" vertical="justify"/>
      <protection hidden="1"/>
    </xf>
    <xf numFmtId="0" fontId="21" fillId="6" borderId="26" xfId="0" applyFont="1" applyFill="1" applyBorder="1" applyAlignment="1" applyProtection="1">
      <alignment horizontal="left" vertical="justify"/>
      <protection hidden="1"/>
    </xf>
    <xf numFmtId="0" fontId="7" fillId="17" borderId="2" xfId="0" applyFont="1" applyFill="1" applyBorder="1" applyAlignment="1" applyProtection="1">
      <alignment horizontal="left"/>
      <protection hidden="1"/>
    </xf>
    <xf numFmtId="0" fontId="7" fillId="17" borderId="29" xfId="0" applyFont="1" applyFill="1" applyBorder="1" applyAlignment="1" applyProtection="1">
      <alignment horizontal="left"/>
      <protection hidden="1"/>
    </xf>
    <xf numFmtId="0" fontId="21" fillId="6" borderId="4" xfId="0" applyFont="1" applyFill="1" applyBorder="1" applyAlignment="1" applyProtection="1">
      <alignment horizontal="left" vertical="justify"/>
      <protection hidden="1"/>
    </xf>
    <xf numFmtId="0" fontId="21" fillId="6" borderId="1" xfId="0" applyFont="1" applyFill="1" applyBorder="1" applyAlignment="1" applyProtection="1">
      <alignment horizontal="left" vertical="justify"/>
      <protection hidden="1"/>
    </xf>
    <xf numFmtId="0" fontId="4" fillId="6" borderId="4" xfId="0" applyFont="1" applyFill="1" applyBorder="1" applyAlignment="1" applyProtection="1">
      <alignment horizontal="left"/>
      <protection hidden="1"/>
    </xf>
    <xf numFmtId="0" fontId="4" fillId="6" borderId="1" xfId="0" applyFont="1" applyFill="1" applyBorder="1" applyAlignment="1" applyProtection="1">
      <alignment horizontal="left"/>
      <protection hidden="1"/>
    </xf>
    <xf numFmtId="0" fontId="21" fillId="6" borderId="4" xfId="0" applyFont="1" applyFill="1" applyBorder="1" applyAlignment="1" applyProtection="1">
      <alignment horizontal="left" vertical="center"/>
      <protection hidden="1"/>
    </xf>
    <xf numFmtId="0" fontId="21" fillId="6" borderId="1" xfId="0" applyFont="1" applyFill="1" applyBorder="1" applyAlignment="1" applyProtection="1">
      <alignment horizontal="left" vertical="center"/>
      <protection hidden="1"/>
    </xf>
    <xf numFmtId="0" fontId="20" fillId="6" borderId="1" xfId="0" applyFont="1" applyFill="1" applyBorder="1" applyAlignment="1" applyProtection="1">
      <alignment horizontal="center" vertical="center"/>
      <protection hidden="1"/>
    </xf>
    <xf numFmtId="167" fontId="9" fillId="6" borderId="5" xfId="5" applyNumberFormat="1" applyFont="1" applyFill="1" applyBorder="1" applyAlignment="1" applyProtection="1">
      <alignment horizontal="center"/>
      <protection hidden="1"/>
    </xf>
    <xf numFmtId="0" fontId="10" fillId="6" borderId="42" xfId="0" applyFont="1" applyFill="1" applyBorder="1" applyAlignment="1" applyProtection="1">
      <alignment horizontal="left" vertical="justify"/>
      <protection hidden="1"/>
    </xf>
    <xf numFmtId="0" fontId="10" fillId="6" borderId="26" xfId="0" applyFont="1" applyFill="1" applyBorder="1" applyAlignment="1" applyProtection="1">
      <alignment horizontal="left" vertical="justify"/>
      <protection hidden="1"/>
    </xf>
    <xf numFmtId="0" fontId="5" fillId="17" borderId="2" xfId="0" applyFont="1" applyFill="1" applyBorder="1" applyAlignment="1" applyProtection="1">
      <alignment horizontal="left" vertical="center"/>
      <protection hidden="1"/>
    </xf>
    <xf numFmtId="0" fontId="5" fillId="17" borderId="29" xfId="0" applyFont="1" applyFill="1" applyBorder="1" applyAlignment="1" applyProtection="1">
      <alignment horizontal="left" vertical="center"/>
      <protection hidden="1"/>
    </xf>
    <xf numFmtId="0" fontId="26" fillId="0" borderId="4" xfId="0" applyFont="1" applyBorder="1" applyAlignment="1" applyProtection="1">
      <alignment horizontal="left"/>
      <protection hidden="1"/>
    </xf>
    <xf numFmtId="0" fontId="26" fillId="0" borderId="1" xfId="0" applyFont="1" applyBorder="1" applyAlignment="1" applyProtection="1">
      <alignment horizontal="left"/>
      <protection hidden="1"/>
    </xf>
    <xf numFmtId="0" fontId="26" fillId="0" borderId="6" xfId="0" applyFont="1" applyBorder="1" applyAlignment="1" applyProtection="1">
      <alignment horizontal="left"/>
      <protection hidden="1"/>
    </xf>
    <xf numFmtId="0" fontId="26" fillId="0" borderId="27" xfId="0" applyFont="1" applyBorder="1" applyAlignment="1" applyProtection="1">
      <alignment horizontal="left"/>
      <protection hidden="1"/>
    </xf>
    <xf numFmtId="0" fontId="4" fillId="0" borderId="4" xfId="0" applyFont="1" applyBorder="1" applyAlignment="1" applyProtection="1">
      <alignment horizontal="left" indent="2"/>
      <protection hidden="1"/>
    </xf>
    <xf numFmtId="0" fontId="4" fillId="0" borderId="1" xfId="0" applyFont="1" applyBorder="1" applyAlignment="1" applyProtection="1">
      <alignment horizontal="left" indent="2"/>
      <protection hidden="1"/>
    </xf>
    <xf numFmtId="167" fontId="21" fillId="6" borderId="42" xfId="5" applyNumberFormat="1" applyFont="1" applyFill="1" applyBorder="1" applyAlignment="1" applyProtection="1">
      <alignment horizontal="left" vertical="justify"/>
      <protection hidden="1"/>
    </xf>
    <xf numFmtId="167" fontId="21" fillId="6" borderId="26" xfId="5" applyNumberFormat="1" applyFont="1" applyFill="1" applyBorder="1" applyAlignment="1" applyProtection="1">
      <alignment horizontal="left" vertical="justify"/>
      <protection hidden="1"/>
    </xf>
    <xf numFmtId="0" fontId="0" fillId="0" borderId="7" xfId="0" applyBorder="1" applyAlignment="1" applyProtection="1">
      <alignment horizontal="center"/>
      <protection hidden="1"/>
    </xf>
    <xf numFmtId="0" fontId="26" fillId="6" borderId="42" xfId="0" applyFont="1" applyFill="1" applyBorder="1" applyAlignment="1" applyProtection="1">
      <alignment horizontal="left" vertical="center"/>
      <protection hidden="1"/>
    </xf>
    <xf numFmtId="0" fontId="26" fillId="6" borderId="26" xfId="0" applyFont="1" applyFill="1" applyBorder="1" applyAlignment="1" applyProtection="1">
      <alignment horizontal="left" vertical="center"/>
      <protection hidden="1"/>
    </xf>
    <xf numFmtId="0" fontId="15" fillId="6" borderId="4" xfId="0" applyFont="1" applyFill="1" applyBorder="1" applyAlignment="1" applyProtection="1">
      <alignment vertical="justify"/>
      <protection hidden="1"/>
    </xf>
    <xf numFmtId="0" fontId="15" fillId="6" borderId="1" xfId="0" applyFont="1" applyFill="1" applyBorder="1" applyAlignment="1" applyProtection="1">
      <alignment vertical="justify"/>
      <protection hidden="1"/>
    </xf>
    <xf numFmtId="167" fontId="11" fillId="6" borderId="5" xfId="5" applyNumberFormat="1" applyFont="1" applyFill="1" applyBorder="1" applyAlignment="1" applyProtection="1">
      <alignment horizontal="center" vertical="center"/>
      <protection hidden="1"/>
    </xf>
    <xf numFmtId="0" fontId="4" fillId="6" borderId="4" xfId="0" applyFont="1" applyFill="1" applyBorder="1" applyAlignment="1" applyProtection="1">
      <alignment horizontal="left" vertical="center"/>
      <protection hidden="1"/>
    </xf>
    <xf numFmtId="0" fontId="4" fillId="6" borderId="1" xfId="0" applyFont="1" applyFill="1" applyBorder="1" applyAlignment="1" applyProtection="1">
      <alignment horizontal="left" vertical="center"/>
      <protection hidden="1"/>
    </xf>
    <xf numFmtId="0" fontId="16" fillId="17" borderId="2" xfId="0" applyFont="1" applyFill="1" applyBorder="1" applyAlignment="1" applyProtection="1">
      <alignment horizontal="left"/>
      <protection hidden="1"/>
    </xf>
    <xf numFmtId="0" fontId="16" fillId="17" borderId="29" xfId="0" applyFont="1" applyFill="1" applyBorder="1" applyAlignment="1" applyProtection="1">
      <alignment horizontal="left"/>
      <protection hidden="1"/>
    </xf>
    <xf numFmtId="0" fontId="21" fillId="0" borderId="42" xfId="0" applyFont="1" applyBorder="1" applyAlignment="1" applyProtection="1">
      <alignment horizontal="left" vertical="justify"/>
      <protection hidden="1"/>
    </xf>
    <xf numFmtId="0" fontId="21" fillId="0" borderId="40" xfId="0" applyFont="1" applyBorder="1" applyAlignment="1" applyProtection="1">
      <alignment horizontal="left" vertical="justify"/>
      <protection hidden="1"/>
    </xf>
    <xf numFmtId="0" fontId="21" fillId="0" borderId="26" xfId="0" applyFont="1" applyBorder="1" applyAlignment="1" applyProtection="1">
      <alignment horizontal="left" vertical="justify"/>
      <protection hidden="1"/>
    </xf>
    <xf numFmtId="0" fontId="64" fillId="0" borderId="4" xfId="0" applyFont="1" applyBorder="1" applyAlignment="1" applyProtection="1">
      <alignment horizontal="left"/>
      <protection hidden="1"/>
    </xf>
    <xf numFmtId="0" fontId="64" fillId="0" borderId="1" xfId="0" applyFont="1" applyBorder="1" applyAlignment="1" applyProtection="1">
      <alignment horizontal="left"/>
      <protection hidden="1"/>
    </xf>
    <xf numFmtId="0" fontId="7" fillId="6" borderId="16" xfId="0" applyFont="1" applyFill="1" applyBorder="1" applyAlignment="1" applyProtection="1">
      <alignment horizontal="center"/>
      <protection hidden="1"/>
    </xf>
    <xf numFmtId="0" fontId="7" fillId="6" borderId="17" xfId="0" applyFont="1" applyFill="1" applyBorder="1" applyAlignment="1" applyProtection="1">
      <alignment horizontal="center"/>
      <protection hidden="1"/>
    </xf>
    <xf numFmtId="0" fontId="7" fillId="6" borderId="66" xfId="0" applyFont="1" applyFill="1" applyBorder="1" applyAlignment="1" applyProtection="1">
      <alignment horizontal="center"/>
      <protection hidden="1"/>
    </xf>
    <xf numFmtId="0" fontId="26" fillId="0" borderId="60" xfId="0" applyFont="1" applyBorder="1" applyAlignment="1" applyProtection="1">
      <alignment horizontal="left" vertical="justify"/>
      <protection hidden="1"/>
    </xf>
    <xf numFmtId="0" fontId="26" fillId="0" borderId="61" xfId="0" applyFont="1" applyBorder="1" applyAlignment="1" applyProtection="1">
      <alignment horizontal="left" vertical="justify"/>
      <protection hidden="1"/>
    </xf>
    <xf numFmtId="0" fontId="15" fillId="0" borderId="42" xfId="0" applyFont="1" applyBorder="1" applyAlignment="1" applyProtection="1">
      <alignment horizontal="left" vertical="center"/>
      <protection hidden="1"/>
    </xf>
    <xf numFmtId="0" fontId="15" fillId="0" borderId="40" xfId="0" applyFont="1" applyBorder="1" applyAlignment="1" applyProtection="1">
      <alignment horizontal="left" vertical="center"/>
      <protection hidden="1"/>
    </xf>
    <xf numFmtId="0" fontId="15" fillId="0" borderId="26" xfId="0" applyFont="1" applyBorder="1" applyAlignment="1" applyProtection="1">
      <alignment horizontal="left" vertical="center"/>
      <protection hidden="1"/>
    </xf>
    <xf numFmtId="0" fontId="15" fillId="5" borderId="42"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15" fillId="5" borderId="26" xfId="0" applyFont="1" applyFill="1" applyBorder="1" applyAlignment="1" applyProtection="1">
      <alignment horizontal="left" vertical="center"/>
      <protection locked="0"/>
    </xf>
    <xf numFmtId="0" fontId="21" fillId="6" borderId="42" xfId="0" applyFont="1" applyFill="1" applyBorder="1" applyAlignment="1" applyProtection="1">
      <alignment horizontal="left" vertical="center"/>
      <protection hidden="1"/>
    </xf>
    <xf numFmtId="0" fontId="21" fillId="6" borderId="40" xfId="0" applyFont="1" applyFill="1" applyBorder="1" applyAlignment="1" applyProtection="1">
      <alignment horizontal="left" vertical="center"/>
      <protection hidden="1"/>
    </xf>
    <xf numFmtId="0" fontId="21" fillId="6" borderId="26" xfId="0" applyFont="1" applyFill="1" applyBorder="1" applyAlignment="1" applyProtection="1">
      <alignment horizontal="left" vertical="center"/>
      <protection hidden="1"/>
    </xf>
    <xf numFmtId="0" fontId="15" fillId="6" borderId="56" xfId="0" applyFont="1" applyFill="1" applyBorder="1" applyAlignment="1" applyProtection="1">
      <alignment horizontal="right" vertical="center"/>
      <protection hidden="1"/>
    </xf>
    <xf numFmtId="0" fontId="15" fillId="6" borderId="57" xfId="0" applyFont="1" applyFill="1" applyBorder="1" applyAlignment="1" applyProtection="1">
      <alignment horizontal="right" vertical="center"/>
      <protection hidden="1"/>
    </xf>
    <xf numFmtId="0" fontId="15" fillId="6" borderId="59" xfId="0" applyFont="1" applyFill="1" applyBorder="1" applyAlignment="1" applyProtection="1">
      <alignment horizontal="right" vertical="center"/>
      <protection hidden="1"/>
    </xf>
    <xf numFmtId="0" fontId="7" fillId="14" borderId="11" xfId="0" applyFont="1" applyFill="1" applyBorder="1" applyAlignment="1" applyProtection="1">
      <alignment horizontal="center"/>
      <protection hidden="1"/>
    </xf>
    <xf numFmtId="0" fontId="7" fillId="14" borderId="12" xfId="0" applyFont="1" applyFill="1" applyBorder="1" applyAlignment="1" applyProtection="1">
      <alignment horizontal="center"/>
      <protection hidden="1"/>
    </xf>
    <xf numFmtId="0" fontId="7" fillId="14" borderId="13" xfId="0" applyFont="1" applyFill="1" applyBorder="1" applyAlignment="1" applyProtection="1">
      <alignment horizontal="center"/>
      <protection hidden="1"/>
    </xf>
    <xf numFmtId="0" fontId="27" fillId="0" borderId="31" xfId="0" applyFont="1" applyBorder="1" applyAlignment="1" applyProtection="1">
      <alignment horizontal="left" vertical="justify"/>
      <protection hidden="1"/>
    </xf>
    <xf numFmtId="0" fontId="27" fillId="0" borderId="127" xfId="0" applyFont="1" applyBorder="1" applyAlignment="1" applyProtection="1">
      <alignment horizontal="left" vertical="justify"/>
      <protection hidden="1"/>
    </xf>
    <xf numFmtId="0" fontId="90" fillId="0" borderId="31" xfId="0" applyFont="1" applyBorder="1" applyAlignment="1" applyProtection="1">
      <alignment horizontal="left" vertical="center"/>
      <protection hidden="1"/>
    </xf>
    <xf numFmtId="0" fontId="90" fillId="0" borderId="127" xfId="0" applyFont="1" applyBorder="1" applyAlignment="1" applyProtection="1">
      <alignment horizontal="left" vertical="center"/>
      <protection hidden="1"/>
    </xf>
    <xf numFmtId="0" fontId="9" fillId="0" borderId="42" xfId="0" applyFont="1" applyBorder="1" applyAlignment="1" applyProtection="1">
      <alignment horizontal="justify" vertical="justify"/>
      <protection hidden="1"/>
    </xf>
    <xf numFmtId="0" fontId="9" fillId="0" borderId="40" xfId="0" applyFont="1" applyBorder="1" applyAlignment="1" applyProtection="1">
      <alignment horizontal="justify" vertical="justify"/>
      <protection hidden="1"/>
    </xf>
    <xf numFmtId="0" fontId="21" fillId="0" borderId="4" xfId="0" applyFont="1" applyBorder="1" applyAlignment="1" applyProtection="1">
      <alignment horizontal="justify" vertical="center"/>
      <protection hidden="1"/>
    </xf>
    <xf numFmtId="0" fontId="21" fillId="0" borderId="1" xfId="0" applyFont="1" applyBorder="1" applyAlignment="1" applyProtection="1">
      <alignment horizontal="justify" vertical="center"/>
      <protection hidden="1"/>
    </xf>
    <xf numFmtId="0" fontId="5" fillId="9" borderId="16" xfId="0" applyFont="1" applyFill="1" applyBorder="1" applyAlignment="1" applyProtection="1">
      <alignment horizontal="center"/>
      <protection hidden="1"/>
    </xf>
    <xf numFmtId="0" fontId="5" fillId="9" borderId="17" xfId="0" applyFont="1" applyFill="1" applyBorder="1" applyAlignment="1" applyProtection="1">
      <alignment horizontal="center"/>
      <protection hidden="1"/>
    </xf>
    <xf numFmtId="0" fontId="5" fillId="9" borderId="19" xfId="0" applyFont="1" applyFill="1" applyBorder="1" applyAlignment="1" applyProtection="1">
      <alignment horizontal="center"/>
      <protection hidden="1"/>
    </xf>
    <xf numFmtId="9" fontId="9" fillId="6" borderId="4" xfId="0" applyNumberFormat="1" applyFont="1" applyFill="1" applyBorder="1" applyAlignment="1" applyProtection="1">
      <alignment horizontal="left" vertical="center"/>
      <protection hidden="1"/>
    </xf>
    <xf numFmtId="9" fontId="9" fillId="6" borderId="1" xfId="0" applyNumberFormat="1" applyFont="1" applyFill="1" applyBorder="1" applyAlignment="1" applyProtection="1">
      <alignment horizontal="left" vertical="center"/>
      <protection hidden="1"/>
    </xf>
    <xf numFmtId="0" fontId="76" fillId="0" borderId="264" xfId="0" applyFont="1" applyBorder="1" applyAlignment="1" applyProtection="1">
      <alignment horizontal="left" vertical="center"/>
      <protection hidden="1"/>
    </xf>
    <xf numFmtId="0" fontId="76" fillId="0" borderId="145" xfId="0" applyFont="1" applyBorder="1" applyAlignment="1" applyProtection="1">
      <alignment horizontal="left" vertical="center"/>
      <protection hidden="1"/>
    </xf>
    <xf numFmtId="0" fontId="21" fillId="0" borderId="6" xfId="0" applyFont="1" applyBorder="1" applyAlignment="1" applyProtection="1">
      <alignment horizontal="justify" vertical="center"/>
      <protection hidden="1"/>
    </xf>
    <xf numFmtId="0" fontId="21" fillId="0" borderId="27" xfId="0" applyFont="1" applyBorder="1" applyAlignment="1" applyProtection="1">
      <alignment horizontal="justify" vertical="center"/>
      <protection hidden="1"/>
    </xf>
    <xf numFmtId="167" fontId="11" fillId="6" borderId="5" xfId="5" applyNumberFormat="1" applyFont="1" applyFill="1" applyBorder="1" applyAlignment="1" applyProtection="1">
      <alignment horizontal="center"/>
      <protection hidden="1"/>
    </xf>
    <xf numFmtId="167" fontId="11" fillId="6" borderId="7" xfId="5" applyNumberFormat="1" applyFont="1" applyFill="1" applyBorder="1" applyAlignment="1" applyProtection="1">
      <alignment horizontal="center"/>
      <protection hidden="1"/>
    </xf>
    <xf numFmtId="0" fontId="3" fillId="6" borderId="4" xfId="0" applyFont="1" applyFill="1" applyBorder="1" applyAlignment="1" applyProtection="1">
      <alignment horizontal="left"/>
      <protection hidden="1"/>
    </xf>
    <xf numFmtId="0" fontId="0" fillId="6" borderId="1" xfId="0" applyFill="1" applyBorder="1" applyAlignment="1" applyProtection="1">
      <alignment horizontal="left"/>
      <protection hidden="1"/>
    </xf>
    <xf numFmtId="0" fontId="5" fillId="0" borderId="4" xfId="0" applyFont="1" applyBorder="1" applyAlignment="1" applyProtection="1">
      <alignment horizontal="center"/>
      <protection hidden="1"/>
    </xf>
    <xf numFmtId="0" fontId="5" fillId="0" borderId="1" xfId="0" applyFont="1" applyBorder="1" applyAlignment="1" applyProtection="1">
      <alignment horizontal="center"/>
      <protection hidden="1"/>
    </xf>
    <xf numFmtId="171" fontId="6" fillId="0" borderId="263" xfId="4" applyNumberFormat="1" applyFont="1" applyFill="1" applyBorder="1" applyAlignment="1" applyProtection="1">
      <alignment horizontal="center"/>
      <protection hidden="1"/>
    </xf>
    <xf numFmtId="0" fontId="8" fillId="0" borderId="0" xfId="0" applyFont="1" applyAlignment="1" applyProtection="1">
      <alignment horizontal="center"/>
      <protection hidden="1"/>
    </xf>
    <xf numFmtId="0" fontId="9" fillId="6" borderId="127" xfId="0" applyFont="1" applyFill="1" applyBorder="1" applyAlignment="1" applyProtection="1">
      <alignment horizontal="left" vertical="center" wrapText="1"/>
      <protection hidden="1"/>
    </xf>
    <xf numFmtId="0" fontId="9" fillId="6" borderId="18" xfId="0" applyFont="1" applyFill="1" applyBorder="1" applyAlignment="1" applyProtection="1">
      <alignment horizontal="left" vertical="center" wrapText="1"/>
      <protection hidden="1"/>
    </xf>
    <xf numFmtId="0" fontId="9" fillId="6" borderId="245" xfId="0" applyFont="1" applyFill="1" applyBorder="1" applyAlignment="1" applyProtection="1">
      <alignment horizontal="left" vertical="center" wrapText="1"/>
      <protection hidden="1"/>
    </xf>
    <xf numFmtId="0" fontId="0" fillId="0" borderId="262" xfId="0" applyBorder="1" applyAlignment="1" applyProtection="1">
      <alignment horizontal="left" vertical="center"/>
      <protection hidden="1"/>
    </xf>
    <xf numFmtId="0" fontId="7" fillId="0" borderId="4"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0" fillId="0" borderId="143" xfId="0" applyBorder="1" applyAlignment="1" applyProtection="1">
      <alignment horizontal="left" vertical="center"/>
      <protection hidden="1"/>
    </xf>
    <xf numFmtId="0" fontId="3" fillId="0" borderId="262" xfId="0" applyFont="1" applyBorder="1" applyAlignment="1" applyProtection="1">
      <alignment horizontal="justify" vertical="justify"/>
      <protection hidden="1"/>
    </xf>
    <xf numFmtId="0" fontId="0" fillId="0" borderId="262" xfId="0" applyBorder="1" applyAlignment="1" applyProtection="1">
      <alignment horizontal="justify" vertical="justify"/>
      <protection hidden="1"/>
    </xf>
    <xf numFmtId="0" fontId="4" fillId="0" borderId="0" xfId="0" applyFont="1" applyAlignment="1" applyProtection="1">
      <alignment horizontal="center"/>
      <protection hidden="1"/>
    </xf>
    <xf numFmtId="9" fontId="4" fillId="6" borderId="4" xfId="0" applyNumberFormat="1" applyFont="1" applyFill="1" applyBorder="1" applyAlignment="1" applyProtection="1">
      <alignment horizontal="left" vertical="center"/>
      <protection hidden="1"/>
    </xf>
    <xf numFmtId="9" fontId="4" fillId="6" borderId="1" xfId="0" applyNumberFormat="1" applyFont="1" applyFill="1" applyBorder="1" applyAlignment="1" applyProtection="1">
      <alignment horizontal="left" vertical="center"/>
      <protection hidden="1"/>
    </xf>
    <xf numFmtId="0" fontId="6" fillId="5" borderId="4"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10" fillId="5" borderId="42" xfId="0" applyFont="1" applyFill="1" applyBorder="1" applyAlignment="1" applyProtection="1">
      <alignment horizontal="left" vertical="center"/>
      <protection locked="0"/>
    </xf>
    <xf numFmtId="0" fontId="10" fillId="5" borderId="40" xfId="0" applyFont="1" applyFill="1" applyBorder="1" applyAlignment="1" applyProtection="1">
      <alignment horizontal="left" vertical="center"/>
      <protection locked="0"/>
    </xf>
    <xf numFmtId="0" fontId="10" fillId="5" borderId="26" xfId="0" applyFont="1" applyFill="1" applyBorder="1" applyAlignment="1" applyProtection="1">
      <alignment horizontal="left" vertical="center"/>
      <protection locked="0"/>
    </xf>
    <xf numFmtId="0" fontId="7" fillId="14" borderId="30" xfId="0" applyFont="1" applyFill="1" applyBorder="1" applyAlignment="1" applyProtection="1">
      <alignment horizontal="center"/>
      <protection hidden="1"/>
    </xf>
    <xf numFmtId="0" fontId="7" fillId="14" borderId="28" xfId="0" applyFont="1" applyFill="1" applyBorder="1" applyAlignment="1" applyProtection="1">
      <alignment horizontal="center"/>
      <protection hidden="1"/>
    </xf>
    <xf numFmtId="0" fontId="7" fillId="14" borderId="23" xfId="0" applyFont="1" applyFill="1" applyBorder="1" applyAlignment="1" applyProtection="1">
      <alignment horizontal="center"/>
      <protection hidden="1"/>
    </xf>
    <xf numFmtId="0" fontId="3" fillId="6" borderId="2" xfId="0" applyFont="1" applyFill="1" applyBorder="1" applyAlignment="1" applyProtection="1">
      <alignment horizontal="left"/>
      <protection hidden="1"/>
    </xf>
    <xf numFmtId="0" fontId="0" fillId="6" borderId="29" xfId="0" applyFill="1" applyBorder="1" applyAlignment="1" applyProtection="1">
      <alignment horizontal="left"/>
      <protection hidden="1"/>
    </xf>
    <xf numFmtId="0" fontId="6" fillId="0" borderId="31" xfId="0" applyFont="1" applyBorder="1" applyAlignment="1" applyProtection="1">
      <alignment horizontal="left"/>
      <protection hidden="1"/>
    </xf>
    <xf numFmtId="0" fontId="6" fillId="0" borderId="51" xfId="0" applyFont="1" applyBorder="1" applyAlignment="1" applyProtection="1">
      <alignment horizontal="left"/>
      <protection hidden="1"/>
    </xf>
    <xf numFmtId="0" fontId="6" fillId="0" borderId="48" xfId="0" applyFont="1" applyBorder="1" applyAlignment="1" applyProtection="1">
      <alignment horizontal="left"/>
      <protection hidden="1"/>
    </xf>
    <xf numFmtId="0" fontId="64" fillId="0" borderId="4" xfId="0" applyFont="1" applyBorder="1" applyAlignment="1" applyProtection="1">
      <alignment horizontal="left" vertical="justify"/>
      <protection hidden="1"/>
    </xf>
    <xf numFmtId="0" fontId="64" fillId="0" borderId="1" xfId="0" applyFont="1" applyBorder="1" applyAlignment="1" applyProtection="1">
      <alignment horizontal="left" vertical="justify"/>
      <protection hidden="1"/>
    </xf>
    <xf numFmtId="0" fontId="0" fillId="6" borderId="91" xfId="0" applyFill="1" applyBorder="1" applyAlignment="1" applyProtection="1">
      <alignment horizontal="center"/>
      <protection locked="0"/>
    </xf>
    <xf numFmtId="0" fontId="0" fillId="6" borderId="108" xfId="0" applyFill="1" applyBorder="1" applyAlignment="1" applyProtection="1">
      <alignment horizontal="center"/>
      <protection locked="0"/>
    </xf>
    <xf numFmtId="0" fontId="15" fillId="6" borderId="16" xfId="0" applyFont="1" applyFill="1" applyBorder="1" applyAlignment="1" applyProtection="1">
      <alignment horizontal="right" vertical="center"/>
      <protection hidden="1"/>
    </xf>
    <xf numFmtId="0" fontId="15" fillId="6" borderId="17" xfId="0" applyFont="1" applyFill="1" applyBorder="1" applyAlignment="1" applyProtection="1">
      <alignment horizontal="right" vertical="center"/>
      <protection hidden="1"/>
    </xf>
    <xf numFmtId="0" fontId="15" fillId="6" borderId="66" xfId="0" applyFont="1" applyFill="1" applyBorder="1" applyAlignment="1" applyProtection="1">
      <alignment horizontal="right" vertical="center"/>
      <protection hidden="1"/>
    </xf>
    <xf numFmtId="0" fontId="0" fillId="6" borderId="0" xfId="0" applyFill="1" applyAlignment="1" applyProtection="1">
      <alignment horizontal="center"/>
      <protection locked="0"/>
    </xf>
    <xf numFmtId="0" fontId="0" fillId="6" borderId="15" xfId="0" applyFill="1" applyBorder="1" applyAlignment="1" applyProtection="1">
      <alignment horizontal="center"/>
      <protection locked="0"/>
    </xf>
    <xf numFmtId="171" fontId="20" fillId="0" borderId="5" xfId="4" applyNumberFormat="1" applyFont="1" applyBorder="1" applyAlignment="1" applyProtection="1">
      <alignment horizontal="center" vertical="center"/>
      <protection hidden="1"/>
    </xf>
    <xf numFmtId="0" fontId="7" fillId="14" borderId="11" xfId="0" applyFont="1" applyFill="1" applyBorder="1" applyAlignment="1" applyProtection="1">
      <alignment horizontal="center" vertical="center"/>
      <protection hidden="1"/>
    </xf>
    <xf numFmtId="0" fontId="7" fillId="14" borderId="12" xfId="0" applyFont="1" applyFill="1" applyBorder="1" applyAlignment="1" applyProtection="1">
      <alignment horizontal="center" vertical="center"/>
      <protection hidden="1"/>
    </xf>
    <xf numFmtId="0" fontId="7" fillId="14" borderId="13" xfId="0" applyFont="1" applyFill="1" applyBorder="1" applyAlignment="1" applyProtection="1">
      <alignment horizontal="center" vertical="center"/>
      <protection hidden="1"/>
    </xf>
    <xf numFmtId="0" fontId="5" fillId="9" borderId="6" xfId="0" applyFont="1" applyFill="1" applyBorder="1" applyAlignment="1" applyProtection="1">
      <alignment horizontal="center"/>
      <protection hidden="1"/>
    </xf>
    <xf numFmtId="0" fontId="5" fillId="9" borderId="27" xfId="0" applyFont="1" applyFill="1" applyBorder="1" applyAlignment="1" applyProtection="1">
      <alignment horizontal="center"/>
      <protection hidden="1"/>
    </xf>
    <xf numFmtId="0" fontId="15" fillId="6" borderId="4" xfId="0" applyFont="1" applyFill="1" applyBorder="1" applyAlignment="1" applyProtection="1">
      <alignment horizontal="left" vertical="justify"/>
      <protection hidden="1"/>
    </xf>
    <xf numFmtId="0" fontId="15" fillId="6" borderId="1" xfId="0" applyFont="1" applyFill="1" applyBorder="1" applyAlignment="1" applyProtection="1">
      <alignment horizontal="left" vertical="justify"/>
      <protection hidden="1"/>
    </xf>
    <xf numFmtId="0" fontId="16" fillId="17" borderId="34" xfId="0" applyFont="1" applyFill="1" applyBorder="1" applyAlignment="1" applyProtection="1">
      <alignment horizontal="left" vertical="justify"/>
      <protection hidden="1"/>
    </xf>
    <xf numFmtId="0" fontId="16" fillId="17" borderId="33" xfId="0" applyFont="1" applyFill="1" applyBorder="1" applyAlignment="1" applyProtection="1">
      <alignment horizontal="left" vertical="justify"/>
      <protection hidden="1"/>
    </xf>
    <xf numFmtId="0" fontId="16" fillId="17" borderId="20" xfId="0" applyFont="1" applyFill="1" applyBorder="1" applyAlignment="1" applyProtection="1">
      <alignment horizontal="left" vertical="justify"/>
      <protection hidden="1"/>
    </xf>
    <xf numFmtId="0" fontId="4" fillId="0" borderId="4" xfId="0" applyFont="1" applyBorder="1" applyAlignment="1" applyProtection="1">
      <alignment horizontal="justify" vertical="justify"/>
      <protection hidden="1"/>
    </xf>
    <xf numFmtId="0" fontId="4" fillId="0" borderId="1" xfId="0" applyFont="1" applyBorder="1" applyAlignment="1" applyProtection="1">
      <alignment horizontal="justify" vertical="justify"/>
      <protection hidden="1"/>
    </xf>
    <xf numFmtId="167" fontId="4" fillId="0" borderId="5" xfId="5" applyNumberFormat="1" applyFont="1" applyFill="1" applyBorder="1" applyAlignment="1" applyProtection="1">
      <alignment horizontal="center"/>
      <protection hidden="1"/>
    </xf>
    <xf numFmtId="167" fontId="26" fillId="6" borderId="4" xfId="0" applyNumberFormat="1" applyFont="1" applyFill="1" applyBorder="1" applyAlignment="1" applyProtection="1">
      <alignment vertical="center"/>
      <protection hidden="1"/>
    </xf>
    <xf numFmtId="0" fontId="26" fillId="6" borderId="1" xfId="0" applyFont="1" applyFill="1" applyBorder="1" applyAlignment="1" applyProtection="1">
      <alignment vertical="center"/>
      <protection hidden="1"/>
    </xf>
    <xf numFmtId="0" fontId="15" fillId="6" borderId="6" xfId="0" applyFont="1" applyFill="1" applyBorder="1" applyAlignment="1" applyProtection="1">
      <alignment horizontal="left" vertical="justify"/>
      <protection hidden="1"/>
    </xf>
    <xf numFmtId="0" fontId="15" fillId="6" borderId="27" xfId="0" applyFont="1" applyFill="1" applyBorder="1" applyAlignment="1" applyProtection="1">
      <alignment horizontal="left" vertical="justify"/>
      <protection hidden="1"/>
    </xf>
    <xf numFmtId="167" fontId="50" fillId="0" borderId="5" xfId="5" applyNumberFormat="1" applyFont="1" applyFill="1" applyBorder="1" applyAlignment="1" applyProtection="1">
      <alignment horizontal="center" vertical="center"/>
      <protection hidden="1"/>
    </xf>
    <xf numFmtId="167" fontId="50" fillId="0" borderId="7" xfId="5" applyNumberFormat="1" applyFont="1" applyFill="1" applyBorder="1" applyAlignment="1" applyProtection="1">
      <alignment horizontal="center" vertical="center"/>
      <protection hidden="1"/>
    </xf>
    <xf numFmtId="167" fontId="21" fillId="6" borderId="42" xfId="5" applyNumberFormat="1" applyFont="1" applyFill="1" applyBorder="1" applyAlignment="1" applyProtection="1">
      <alignment horizontal="left"/>
      <protection hidden="1"/>
    </xf>
    <xf numFmtId="167" fontId="21" fillId="6" borderId="26" xfId="5" applyNumberFormat="1" applyFont="1" applyFill="1" applyBorder="1" applyAlignment="1" applyProtection="1">
      <alignment horizontal="left"/>
      <protection hidden="1"/>
    </xf>
    <xf numFmtId="0" fontId="26" fillId="6" borderId="4" xfId="0" applyFont="1" applyFill="1" applyBorder="1" applyAlignment="1" applyProtection="1">
      <alignment horizontal="left" vertical="center"/>
      <protection hidden="1"/>
    </xf>
    <xf numFmtId="0" fontId="26" fillId="6" borderId="1" xfId="0" applyFont="1" applyFill="1" applyBorder="1" applyAlignment="1" applyProtection="1">
      <alignment horizontal="left" vertical="center"/>
      <protection hidden="1"/>
    </xf>
    <xf numFmtId="0" fontId="9" fillId="6" borderId="4" xfId="0" applyFont="1" applyFill="1" applyBorder="1" applyAlignment="1" applyProtection="1">
      <alignment horizontal="left" vertical="center"/>
      <protection hidden="1"/>
    </xf>
    <xf numFmtId="0" fontId="9" fillId="6" borderId="1" xfId="0" applyFont="1" applyFill="1" applyBorder="1" applyAlignment="1" applyProtection="1">
      <alignment horizontal="left" vertical="center"/>
      <protection hidden="1"/>
    </xf>
    <xf numFmtId="0" fontId="8" fillId="6" borderId="2" xfId="0" applyFont="1" applyFill="1" applyBorder="1" applyAlignment="1" applyProtection="1">
      <alignment horizontal="center" vertical="center"/>
      <protection hidden="1"/>
    </xf>
    <xf numFmtId="0" fontId="8" fillId="6" borderId="29" xfId="0" applyFont="1" applyFill="1" applyBorder="1" applyAlignment="1" applyProtection="1">
      <alignment horizontal="center" vertical="center"/>
      <protection hidden="1"/>
    </xf>
    <xf numFmtId="0" fontId="18" fillId="6" borderId="1" xfId="0" applyFont="1" applyFill="1" applyBorder="1" applyAlignment="1" applyProtection="1">
      <alignment horizontal="center" vertical="center"/>
      <protection hidden="1"/>
    </xf>
    <xf numFmtId="0" fontId="10" fillId="6" borderId="4" xfId="0" applyFont="1" applyFill="1" applyBorder="1" applyAlignment="1" applyProtection="1">
      <alignment horizontal="left" vertical="center"/>
      <protection hidden="1"/>
    </xf>
    <xf numFmtId="0" fontId="10" fillId="6" borderId="1" xfId="0" applyFont="1" applyFill="1" applyBorder="1" applyAlignment="1" applyProtection="1">
      <alignment horizontal="left" vertical="center"/>
      <protection hidden="1"/>
    </xf>
    <xf numFmtId="0" fontId="21" fillId="6" borderId="42" xfId="0" applyFont="1" applyFill="1" applyBorder="1" applyAlignment="1" applyProtection="1">
      <alignment horizontal="justify" vertical="justify"/>
      <protection hidden="1"/>
    </xf>
    <xf numFmtId="0" fontId="21" fillId="6" borderId="26" xfId="0" applyFont="1" applyFill="1" applyBorder="1" applyAlignment="1" applyProtection="1">
      <alignment horizontal="justify" vertical="justify"/>
      <protection hidden="1"/>
    </xf>
    <xf numFmtId="0" fontId="21" fillId="6" borderId="4" xfId="0" applyFont="1" applyFill="1" applyBorder="1" applyAlignment="1" applyProtection="1">
      <alignment horizontal="left"/>
      <protection hidden="1"/>
    </xf>
    <xf numFmtId="0" fontId="21" fillId="6" borderId="1" xfId="0" applyFont="1" applyFill="1" applyBorder="1" applyAlignment="1" applyProtection="1">
      <alignment horizontal="left"/>
      <protection hidden="1"/>
    </xf>
    <xf numFmtId="0" fontId="7" fillId="9" borderId="14" xfId="0" applyFont="1" applyFill="1" applyBorder="1" applyAlignment="1" applyProtection="1">
      <alignment horizontal="center" vertical="center"/>
      <protection hidden="1"/>
    </xf>
    <xf numFmtId="0" fontId="7" fillId="9" borderId="0" xfId="0" applyFont="1" applyFill="1" applyAlignment="1" applyProtection="1">
      <alignment horizontal="center" vertical="center"/>
      <protection hidden="1"/>
    </xf>
    <xf numFmtId="0" fontId="7" fillId="9" borderId="15" xfId="0" applyFont="1" applyFill="1" applyBorder="1" applyAlignment="1" applyProtection="1">
      <alignment horizontal="center" vertical="center"/>
      <protection hidden="1"/>
    </xf>
    <xf numFmtId="167" fontId="15" fillId="0" borderId="5" xfId="5" applyNumberFormat="1" applyFont="1" applyFill="1" applyBorder="1" applyAlignment="1" applyProtection="1">
      <alignment horizontal="center" vertical="justify"/>
      <protection hidden="1"/>
    </xf>
    <xf numFmtId="0" fontId="8" fillId="6" borderId="107" xfId="0" applyFont="1" applyFill="1" applyBorder="1" applyAlignment="1" applyProtection="1">
      <alignment horizontal="center"/>
      <protection hidden="1"/>
    </xf>
    <xf numFmtId="0" fontId="4" fillId="6" borderId="6" xfId="0" applyFont="1" applyFill="1" applyBorder="1" applyAlignment="1" applyProtection="1">
      <alignment horizontal="left" vertical="center"/>
      <protection hidden="1"/>
    </xf>
    <xf numFmtId="0" fontId="4" fillId="6" borderId="27" xfId="0" applyFont="1" applyFill="1" applyBorder="1" applyAlignment="1" applyProtection="1">
      <alignment horizontal="left" vertical="center"/>
      <protection hidden="1"/>
    </xf>
    <xf numFmtId="0" fontId="76" fillId="6" borderId="63" xfId="0" applyFont="1" applyFill="1" applyBorder="1" applyAlignment="1" applyProtection="1">
      <alignment horizontal="left"/>
      <protection hidden="1"/>
    </xf>
    <xf numFmtId="0" fontId="76" fillId="6" borderId="64" xfId="0" applyFont="1" applyFill="1" applyBorder="1" applyAlignment="1" applyProtection="1">
      <alignment horizontal="left"/>
      <protection hidden="1"/>
    </xf>
    <xf numFmtId="0" fontId="9" fillId="6" borderId="42" xfId="0" applyFont="1" applyFill="1" applyBorder="1" applyAlignment="1" applyProtection="1">
      <alignment horizontal="left" vertical="center"/>
      <protection hidden="1"/>
    </xf>
    <xf numFmtId="0" fontId="9" fillId="6" borderId="26" xfId="0" applyFont="1" applyFill="1" applyBorder="1" applyAlignment="1" applyProtection="1">
      <alignment horizontal="left" vertical="center"/>
      <protection hidden="1"/>
    </xf>
    <xf numFmtId="167" fontId="9" fillId="0" borderId="43" xfId="5" applyNumberFormat="1" applyFont="1" applyFill="1" applyBorder="1" applyAlignment="1" applyProtection="1">
      <alignment horizontal="center"/>
      <protection hidden="1"/>
    </xf>
    <xf numFmtId="167" fontId="9" fillId="0" borderId="32" xfId="5" applyNumberFormat="1" applyFont="1" applyFill="1" applyBorder="1" applyAlignment="1" applyProtection="1">
      <alignment horizontal="center"/>
      <protection hidden="1"/>
    </xf>
    <xf numFmtId="167" fontId="21" fillId="6" borderId="4" xfId="5" applyNumberFormat="1" applyFont="1" applyFill="1" applyBorder="1" applyAlignment="1" applyProtection="1">
      <protection hidden="1"/>
    </xf>
    <xf numFmtId="167" fontId="21" fillId="6" borderId="1" xfId="5" applyNumberFormat="1" applyFont="1" applyFill="1" applyBorder="1" applyAlignment="1" applyProtection="1">
      <protection hidden="1"/>
    </xf>
    <xf numFmtId="0" fontId="18" fillId="0" borderId="1" xfId="0" applyFont="1" applyBorder="1" applyAlignment="1" applyProtection="1">
      <alignment horizontal="center" vertical="center"/>
      <protection hidden="1"/>
    </xf>
    <xf numFmtId="0" fontId="6" fillId="0" borderId="267" xfId="0" applyFont="1" applyBorder="1" applyAlignment="1" applyProtection="1">
      <alignment horizontal="left"/>
      <protection hidden="1"/>
    </xf>
    <xf numFmtId="0" fontId="6" fillId="0" borderId="268" xfId="0" applyFont="1" applyBorder="1" applyAlignment="1" applyProtection="1">
      <alignment horizontal="left"/>
      <protection hidden="1"/>
    </xf>
    <xf numFmtId="0" fontId="26" fillId="6" borderId="4" xfId="0" applyFont="1" applyFill="1" applyBorder="1" applyAlignment="1" applyProtection="1">
      <alignment horizontal="left" vertical="justify"/>
      <protection hidden="1"/>
    </xf>
    <xf numFmtId="0" fontId="26" fillId="6" borderId="1" xfId="0" applyFont="1" applyFill="1" applyBorder="1" applyAlignment="1" applyProtection="1">
      <alignment horizontal="left" vertical="justify"/>
      <protection hidden="1"/>
    </xf>
    <xf numFmtId="0" fontId="3" fillId="0" borderId="4" xfId="0" applyFont="1" applyBorder="1" applyAlignment="1" applyProtection="1">
      <alignment horizontal="center" vertical="center"/>
      <protection hidden="1"/>
    </xf>
    <xf numFmtId="0" fontId="7" fillId="7" borderId="30" xfId="0" applyFont="1" applyFill="1" applyBorder="1" applyAlignment="1" applyProtection="1">
      <alignment horizontal="center"/>
      <protection hidden="1"/>
    </xf>
    <xf numFmtId="0" fontId="7" fillId="7" borderId="28" xfId="0" applyFont="1" applyFill="1" applyBorder="1" applyAlignment="1" applyProtection="1">
      <alignment horizontal="center"/>
      <protection hidden="1"/>
    </xf>
    <xf numFmtId="0" fontId="7" fillId="7" borderId="23" xfId="0" applyFont="1" applyFill="1" applyBorder="1" applyAlignment="1" applyProtection="1">
      <alignment horizontal="center"/>
      <protection hidden="1"/>
    </xf>
    <xf numFmtId="0" fontId="16" fillId="6" borderId="6" xfId="0" applyFont="1" applyFill="1" applyBorder="1" applyAlignment="1" applyProtection="1">
      <alignment vertical="center"/>
      <protection hidden="1"/>
    </xf>
    <xf numFmtId="0" fontId="16" fillId="6" borderId="27" xfId="0" applyFont="1" applyFill="1" applyBorder="1" applyAlignment="1" applyProtection="1">
      <alignment vertical="center"/>
      <protection hidden="1"/>
    </xf>
    <xf numFmtId="0" fontId="0" fillId="0" borderId="4" xfId="0" applyBorder="1" applyAlignment="1" applyProtection="1">
      <alignment horizontal="center" vertical="center"/>
      <protection hidden="1"/>
    </xf>
    <xf numFmtId="0" fontId="3" fillId="0" borderId="4" xfId="0" applyFont="1" applyBorder="1" applyAlignment="1" applyProtection="1">
      <alignment horizontal="center" vertical="justify"/>
      <protection hidden="1"/>
    </xf>
    <xf numFmtId="0" fontId="5" fillId="6" borderId="4" xfId="0" applyFont="1" applyFill="1" applyBorder="1" applyAlignment="1" applyProtection="1">
      <alignment horizontal="left" vertical="center"/>
      <protection hidden="1"/>
    </xf>
    <xf numFmtId="0" fontId="5" fillId="6" borderId="1" xfId="0" applyFont="1" applyFill="1" applyBorder="1" applyAlignment="1" applyProtection="1">
      <alignment horizontal="left" vertical="center"/>
      <protection hidden="1"/>
    </xf>
    <xf numFmtId="0" fontId="16" fillId="7" borderId="2" xfId="0" applyFont="1" applyFill="1" applyBorder="1" applyAlignment="1" applyProtection="1">
      <alignment horizontal="center" vertical="center"/>
      <protection hidden="1"/>
    </xf>
    <xf numFmtId="0" fontId="16" fillId="7" borderId="29" xfId="0" applyFont="1" applyFill="1" applyBorder="1" applyAlignment="1" applyProtection="1">
      <alignment horizontal="center" vertical="center"/>
      <protection hidden="1"/>
    </xf>
    <xf numFmtId="0" fontId="16" fillId="7" borderId="3" xfId="0" applyFont="1" applyFill="1" applyBorder="1" applyAlignment="1" applyProtection="1">
      <alignment horizontal="center" vertical="center"/>
      <protection hidden="1"/>
    </xf>
    <xf numFmtId="0" fontId="15" fillId="6" borderId="4" xfId="0" applyFont="1" applyFill="1" applyBorder="1" applyAlignment="1" applyProtection="1">
      <alignment vertical="center"/>
      <protection hidden="1"/>
    </xf>
    <xf numFmtId="0" fontId="15" fillId="6" borderId="1" xfId="0" applyFont="1" applyFill="1" applyBorder="1" applyAlignment="1" applyProtection="1">
      <alignment vertical="center"/>
      <protection hidden="1"/>
    </xf>
    <xf numFmtId="0" fontId="26" fillId="0" borderId="4" xfId="0" applyFont="1" applyBorder="1" applyAlignment="1" applyProtection="1">
      <alignment horizontal="justify" vertical="justify"/>
      <protection hidden="1"/>
    </xf>
    <xf numFmtId="0" fontId="26" fillId="0" borderId="1" xfId="0" applyFont="1" applyBorder="1" applyAlignment="1" applyProtection="1">
      <alignment horizontal="justify" vertical="justify"/>
      <protection hidden="1"/>
    </xf>
    <xf numFmtId="0" fontId="5" fillId="6" borderId="2" xfId="0" applyFont="1" applyFill="1" applyBorder="1" applyAlignment="1" applyProtection="1">
      <alignment vertical="center"/>
      <protection hidden="1"/>
    </xf>
    <xf numFmtId="0" fontId="5" fillId="6" borderId="29" xfId="0" applyFont="1" applyFill="1" applyBorder="1" applyAlignment="1" applyProtection="1">
      <alignment vertical="center"/>
      <protection hidden="1"/>
    </xf>
    <xf numFmtId="0" fontId="65" fillId="6" borderId="4" xfId="0" applyFont="1" applyFill="1" applyBorder="1" applyAlignment="1" applyProtection="1">
      <alignment horizontal="left" vertical="center"/>
      <protection hidden="1"/>
    </xf>
    <xf numFmtId="0" fontId="65" fillId="6" borderId="1" xfId="0" applyFont="1" applyFill="1" applyBorder="1" applyAlignment="1" applyProtection="1">
      <alignment horizontal="left" vertical="center"/>
      <protection hidden="1"/>
    </xf>
    <xf numFmtId="167" fontId="21" fillId="6" borderId="4" xfId="5" applyNumberFormat="1" applyFont="1" applyFill="1" applyBorder="1" applyAlignment="1" applyProtection="1">
      <alignment horizontal="left" vertical="center"/>
      <protection hidden="1"/>
    </xf>
    <xf numFmtId="167" fontId="21" fillId="6" borderId="1" xfId="5" applyNumberFormat="1" applyFont="1" applyFill="1" applyBorder="1" applyAlignment="1" applyProtection="1">
      <alignment horizontal="left" vertical="center"/>
      <protection hidden="1"/>
    </xf>
    <xf numFmtId="0" fontId="10" fillId="6" borderId="52" xfId="0" applyFont="1" applyFill="1" applyBorder="1" applyAlignment="1" applyProtection="1">
      <alignment horizontal="left"/>
      <protection hidden="1"/>
    </xf>
    <xf numFmtId="0" fontId="10" fillId="6" borderId="39" xfId="0" applyFont="1" applyFill="1" applyBorder="1" applyAlignment="1" applyProtection="1">
      <alignment horizontal="left"/>
      <protection hidden="1"/>
    </xf>
    <xf numFmtId="0" fontId="10" fillId="9" borderId="56" xfId="0" applyFont="1" applyFill="1" applyBorder="1" applyAlignment="1" applyProtection="1">
      <alignment horizontal="center" vertical="justify"/>
      <protection hidden="1"/>
    </xf>
    <xf numFmtId="0" fontId="10" fillId="9" borderId="57" xfId="0" applyFont="1" applyFill="1" applyBorder="1" applyAlignment="1" applyProtection="1">
      <alignment horizontal="center" vertical="justify"/>
      <protection hidden="1"/>
    </xf>
    <xf numFmtId="0" fontId="10" fillId="9" borderId="59" xfId="0" applyFont="1" applyFill="1" applyBorder="1" applyAlignment="1" applyProtection="1">
      <alignment horizontal="center" vertical="justify"/>
      <protection hidden="1"/>
    </xf>
    <xf numFmtId="167" fontId="9" fillId="6" borderId="5" xfId="5" applyNumberFormat="1" applyFont="1" applyFill="1" applyBorder="1" applyAlignment="1" applyProtection="1">
      <alignment horizontal="center" vertical="center"/>
      <protection hidden="1"/>
    </xf>
    <xf numFmtId="0" fontId="65" fillId="6" borderId="4" xfId="0" applyFont="1" applyFill="1" applyBorder="1" applyAlignment="1" applyProtection="1">
      <alignment horizontal="left" vertical="justify"/>
      <protection hidden="1"/>
    </xf>
    <xf numFmtId="0" fontId="65" fillId="6" borderId="1" xfId="0" applyFont="1" applyFill="1" applyBorder="1" applyAlignment="1" applyProtection="1">
      <alignment horizontal="left" vertical="justify"/>
      <protection hidden="1"/>
    </xf>
    <xf numFmtId="0" fontId="93" fillId="9" borderId="14" xfId="0" applyFont="1" applyFill="1" applyBorder="1" applyAlignment="1" applyProtection="1">
      <alignment horizontal="center" vertical="center"/>
      <protection hidden="1"/>
    </xf>
    <xf numFmtId="0" fontId="93" fillId="9" borderId="0" xfId="0" applyFont="1" applyFill="1" applyAlignment="1" applyProtection="1">
      <alignment horizontal="center" vertical="center"/>
      <protection hidden="1"/>
    </xf>
    <xf numFmtId="0" fontId="93" fillId="9" borderId="15" xfId="0" applyFont="1" applyFill="1" applyBorder="1" applyAlignment="1" applyProtection="1">
      <alignment horizontal="center" vertical="center"/>
      <protection hidden="1"/>
    </xf>
    <xf numFmtId="0" fontId="102" fillId="15" borderId="52" xfId="0" applyFont="1" applyFill="1" applyBorder="1" applyAlignment="1" applyProtection="1">
      <alignment horizontal="center" vertical="center"/>
      <protection hidden="1"/>
    </xf>
    <xf numFmtId="0" fontId="102" fillId="15" borderId="39" xfId="0" applyFont="1" applyFill="1" applyBorder="1" applyAlignment="1" applyProtection="1">
      <alignment horizontal="center" vertical="center"/>
      <protection hidden="1"/>
    </xf>
    <xf numFmtId="0" fontId="102" fillId="15" borderId="5" xfId="0" applyFont="1" applyFill="1" applyBorder="1" applyAlignment="1" applyProtection="1">
      <alignment horizontal="center" vertical="center"/>
      <protection hidden="1"/>
    </xf>
    <xf numFmtId="0" fontId="65" fillId="6" borderId="42" xfId="0" applyFont="1" applyFill="1" applyBorder="1" applyAlignment="1" applyProtection="1">
      <alignment horizontal="left" vertical="center"/>
      <protection hidden="1"/>
    </xf>
    <xf numFmtId="0" fontId="65" fillId="6" borderId="26" xfId="0" applyFont="1" applyFill="1" applyBorder="1" applyAlignment="1" applyProtection="1">
      <alignment horizontal="left" vertical="center"/>
      <protection hidden="1"/>
    </xf>
    <xf numFmtId="0" fontId="8" fillId="9" borderId="34" xfId="0" applyFont="1" applyFill="1" applyBorder="1" applyAlignment="1" applyProtection="1">
      <alignment horizontal="center" vertical="center"/>
      <protection hidden="1"/>
    </xf>
    <xf numFmtId="0" fontId="8" fillId="9" borderId="33" xfId="0" applyFont="1" applyFill="1" applyBorder="1" applyAlignment="1" applyProtection="1">
      <alignment horizontal="center" vertical="center"/>
      <protection hidden="1"/>
    </xf>
    <xf numFmtId="0" fontId="8" fillId="9" borderId="21" xfId="0" applyFont="1" applyFill="1" applyBorder="1" applyAlignment="1" applyProtection="1">
      <alignment horizontal="center" vertical="center"/>
      <protection hidden="1"/>
    </xf>
    <xf numFmtId="0" fontId="10" fillId="6" borderId="42" xfId="0" applyFont="1" applyFill="1" applyBorder="1" applyAlignment="1" applyProtection="1">
      <alignment horizontal="left" vertical="center"/>
      <protection hidden="1"/>
    </xf>
    <xf numFmtId="0" fontId="10" fillId="6" borderId="26" xfId="0" applyFont="1" applyFill="1" applyBorder="1" applyAlignment="1" applyProtection="1">
      <alignment horizontal="left" vertical="center"/>
      <protection hidden="1"/>
    </xf>
    <xf numFmtId="0" fontId="65" fillId="6" borderId="42" xfId="0" applyFont="1" applyFill="1" applyBorder="1" applyAlignment="1" applyProtection="1">
      <alignment horizontal="left" vertical="justify"/>
      <protection hidden="1"/>
    </xf>
    <xf numFmtId="0" fontId="65" fillId="6" borderId="26" xfId="0" applyFont="1" applyFill="1" applyBorder="1" applyAlignment="1" applyProtection="1">
      <alignment horizontal="left" vertical="justify"/>
      <protection hidden="1"/>
    </xf>
    <xf numFmtId="0" fontId="65" fillId="6" borderId="4" xfId="0" applyFont="1" applyFill="1" applyBorder="1" applyAlignment="1" applyProtection="1">
      <alignment horizontal="justify" vertical="justify"/>
      <protection hidden="1"/>
    </xf>
    <xf numFmtId="0" fontId="65" fillId="6" borderId="1" xfId="0" applyFont="1" applyFill="1" applyBorder="1" applyAlignment="1" applyProtection="1">
      <alignment horizontal="justify" vertical="justify"/>
      <protection hidden="1"/>
    </xf>
    <xf numFmtId="0" fontId="10" fillId="6" borderId="60" xfId="0" applyFont="1" applyFill="1" applyBorder="1" applyAlignment="1" applyProtection="1">
      <alignment horizontal="left" vertical="center"/>
      <protection hidden="1"/>
    </xf>
    <xf numFmtId="0" fontId="10" fillId="6" borderId="61" xfId="0" applyFont="1" applyFill="1" applyBorder="1" applyAlignment="1" applyProtection="1">
      <alignment horizontal="left" vertical="center"/>
      <protection hidden="1"/>
    </xf>
    <xf numFmtId="0" fontId="10" fillId="6" borderId="62" xfId="0" applyFont="1" applyFill="1" applyBorder="1" applyAlignment="1" applyProtection="1">
      <alignment horizontal="left" vertical="center"/>
      <protection hidden="1"/>
    </xf>
    <xf numFmtId="0" fontId="15" fillId="14" borderId="56" xfId="0" applyFont="1" applyFill="1" applyBorder="1" applyAlignment="1" applyProtection="1">
      <alignment horizontal="center" vertical="center"/>
      <protection hidden="1"/>
    </xf>
    <xf numFmtId="0" fontId="15" fillId="14" borderId="57" xfId="0" applyFont="1" applyFill="1" applyBorder="1" applyAlignment="1" applyProtection="1">
      <alignment horizontal="center" vertical="center"/>
      <protection hidden="1"/>
    </xf>
    <xf numFmtId="0" fontId="15" fillId="14" borderId="41" xfId="0" applyFont="1" applyFill="1" applyBorder="1" applyAlignment="1" applyProtection="1">
      <alignment horizontal="center" vertical="center"/>
      <protection hidden="1"/>
    </xf>
    <xf numFmtId="0" fontId="7" fillId="6" borderId="65" xfId="0" applyFont="1" applyFill="1" applyBorder="1" applyAlignment="1" applyProtection="1">
      <alignment horizontal="center" vertical="center"/>
      <protection hidden="1"/>
    </xf>
    <xf numFmtId="0" fontId="7" fillId="6" borderId="22" xfId="0" applyFont="1" applyFill="1" applyBorder="1" applyAlignment="1" applyProtection="1">
      <alignment horizontal="center" vertical="center"/>
      <protection hidden="1"/>
    </xf>
    <xf numFmtId="0" fontId="16" fillId="14" borderId="34" xfId="0" applyFont="1" applyFill="1" applyBorder="1" applyAlignment="1" applyProtection="1">
      <alignment horizontal="center" vertical="center"/>
      <protection hidden="1"/>
    </xf>
    <xf numFmtId="0" fontId="16" fillId="14" borderId="33" xfId="0" applyFont="1" applyFill="1" applyBorder="1" applyAlignment="1" applyProtection="1">
      <alignment horizontal="center" vertical="center"/>
      <protection hidden="1"/>
    </xf>
    <xf numFmtId="0" fontId="16" fillId="14" borderId="21" xfId="0" applyFont="1" applyFill="1" applyBorder="1" applyAlignment="1" applyProtection="1">
      <alignment horizontal="center" vertical="center"/>
      <protection hidden="1"/>
    </xf>
    <xf numFmtId="0" fontId="8" fillId="9" borderId="11" xfId="0" applyFont="1" applyFill="1" applyBorder="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protection hidden="1"/>
    </xf>
    <xf numFmtId="0" fontId="10" fillId="6" borderId="4" xfId="0" applyFont="1" applyFill="1" applyBorder="1" applyAlignment="1" applyProtection="1">
      <alignment horizontal="left"/>
      <protection hidden="1"/>
    </xf>
    <xf numFmtId="0" fontId="10" fillId="6" borderId="1" xfId="0" applyFont="1" applyFill="1" applyBorder="1" applyAlignment="1" applyProtection="1">
      <alignment horizontal="left"/>
      <protection hidden="1"/>
    </xf>
    <xf numFmtId="0" fontId="10" fillId="6" borderId="1" xfId="0" applyFont="1" applyFill="1" applyBorder="1" applyAlignment="1" applyProtection="1">
      <alignment horizontal="left" vertical="justify"/>
      <protection hidden="1"/>
    </xf>
    <xf numFmtId="0" fontId="73" fillId="15" borderId="46" xfId="0" applyFont="1" applyFill="1" applyBorder="1" applyAlignment="1" applyProtection="1">
      <alignment horizontal="center" vertical="center"/>
      <protection hidden="1"/>
    </xf>
    <xf numFmtId="0" fontId="73" fillId="15" borderId="67" xfId="0" applyFont="1" applyFill="1" applyBorder="1" applyAlignment="1" applyProtection="1">
      <alignment horizontal="center" vertical="center"/>
      <protection hidden="1"/>
    </xf>
    <xf numFmtId="0" fontId="73" fillId="15" borderId="5" xfId="0" applyFont="1" applyFill="1" applyBorder="1" applyAlignment="1" applyProtection="1">
      <alignment horizontal="center" vertical="center"/>
      <protection hidden="1"/>
    </xf>
    <xf numFmtId="172" fontId="5" fillId="5" borderId="5" xfId="0" applyNumberFormat="1" applyFont="1" applyFill="1" applyBorder="1" applyAlignment="1" applyProtection="1">
      <alignment horizontal="left" vertical="center"/>
      <protection locked="0"/>
    </xf>
    <xf numFmtId="9" fontId="65" fillId="6" borderId="42" xfId="14" applyFont="1" applyFill="1" applyBorder="1" applyAlignment="1" applyProtection="1">
      <alignment horizontal="left" vertical="center"/>
      <protection hidden="1"/>
    </xf>
    <xf numFmtId="9" fontId="65" fillId="6" borderId="26" xfId="14" applyFont="1" applyFill="1" applyBorder="1" applyAlignment="1" applyProtection="1">
      <alignment horizontal="left" vertical="center"/>
      <protection hidden="1"/>
    </xf>
    <xf numFmtId="0" fontId="10" fillId="6" borderId="4" xfId="0" applyFont="1" applyFill="1" applyBorder="1" applyAlignment="1" applyProtection="1">
      <alignment horizontal="center" vertical="center"/>
      <protection hidden="1"/>
    </xf>
    <xf numFmtId="0" fontId="10" fillId="6" borderId="1" xfId="0" applyFont="1" applyFill="1" applyBorder="1" applyAlignment="1" applyProtection="1">
      <alignment horizontal="center" vertical="center"/>
      <protection hidden="1"/>
    </xf>
    <xf numFmtId="0" fontId="5" fillId="6" borderId="39" xfId="0" applyFont="1" applyFill="1" applyBorder="1" applyAlignment="1" applyProtection="1">
      <alignment horizontal="center" vertical="center"/>
      <protection hidden="1"/>
    </xf>
    <xf numFmtId="0" fontId="5" fillId="6" borderId="67" xfId="0" applyFont="1" applyFill="1" applyBorder="1" applyAlignment="1" applyProtection="1">
      <alignment horizontal="center" vertical="center"/>
      <protection hidden="1"/>
    </xf>
    <xf numFmtId="0" fontId="5" fillId="6" borderId="22" xfId="0" applyFont="1" applyFill="1" applyBorder="1" applyAlignment="1" applyProtection="1">
      <alignment horizontal="center" vertical="center"/>
      <protection hidden="1"/>
    </xf>
    <xf numFmtId="167" fontId="6" fillId="5" borderId="43" xfId="5" applyNumberFormat="1" applyFont="1" applyFill="1" applyBorder="1" applyAlignment="1" applyProtection="1">
      <alignment horizontal="center" vertical="center"/>
      <protection locked="0"/>
    </xf>
    <xf numFmtId="167" fontId="6" fillId="5" borderId="55" xfId="5" applyNumberFormat="1" applyFont="1" applyFill="1" applyBorder="1" applyAlignment="1" applyProtection="1">
      <alignment horizontal="center" vertical="center"/>
      <protection locked="0"/>
    </xf>
    <xf numFmtId="167" fontId="6" fillId="5" borderId="32" xfId="5" applyNumberFormat="1" applyFont="1" applyFill="1" applyBorder="1" applyAlignment="1" applyProtection="1">
      <alignment horizontal="center" vertical="center"/>
      <protection locked="0"/>
    </xf>
    <xf numFmtId="0" fontId="93" fillId="9" borderId="34" xfId="0" applyFont="1" applyFill="1" applyBorder="1" applyAlignment="1" applyProtection="1">
      <alignment horizontal="center" vertical="justify"/>
      <protection hidden="1"/>
    </xf>
    <xf numFmtId="0" fontId="93" fillId="9" borderId="33" xfId="0" applyFont="1" applyFill="1" applyBorder="1" applyAlignment="1" applyProtection="1">
      <alignment horizontal="center" vertical="justify"/>
      <protection hidden="1"/>
    </xf>
    <xf numFmtId="0" fontId="93" fillId="9" borderId="21" xfId="0" applyFont="1" applyFill="1" applyBorder="1" applyAlignment="1" applyProtection="1">
      <alignment horizontal="center" vertical="justify"/>
      <protection hidden="1"/>
    </xf>
    <xf numFmtId="0" fontId="6" fillId="0" borderId="1" xfId="0" applyFont="1" applyBorder="1" applyAlignment="1" applyProtection="1">
      <alignment horizontal="center"/>
      <protection hidden="1"/>
    </xf>
    <xf numFmtId="0" fontId="9" fillId="0" borderId="4" xfId="0" applyFont="1" applyBorder="1" applyAlignment="1" applyProtection="1">
      <alignment horizontal="left" indent="2"/>
      <protection hidden="1"/>
    </xf>
    <xf numFmtId="0" fontId="9" fillId="0" borderId="1" xfId="0" applyFont="1" applyBorder="1" applyAlignment="1" applyProtection="1">
      <alignment horizontal="left" indent="2"/>
      <protection hidden="1"/>
    </xf>
    <xf numFmtId="0" fontId="15" fillId="0" borderId="43" xfId="0" applyFont="1" applyBorder="1" applyAlignment="1" applyProtection="1">
      <alignment horizontal="center"/>
      <protection hidden="1"/>
    </xf>
    <xf numFmtId="0" fontId="15" fillId="0" borderId="55" xfId="0" applyFont="1" applyBorder="1" applyAlignment="1" applyProtection="1">
      <alignment horizontal="center"/>
      <protection hidden="1"/>
    </xf>
    <xf numFmtId="0" fontId="15" fillId="0" borderId="24"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15" fillId="0" borderId="7" xfId="0" applyFont="1" applyBorder="1" applyAlignment="1" applyProtection="1">
      <alignment horizontal="center"/>
      <protection hidden="1"/>
    </xf>
    <xf numFmtId="0" fontId="9" fillId="0" borderId="4" xfId="0" applyFont="1" applyBorder="1" applyAlignment="1" applyProtection="1">
      <alignment horizontal="justify" vertical="justify"/>
      <protection hidden="1"/>
    </xf>
    <xf numFmtId="0" fontId="9" fillId="0" borderId="1" xfId="0" applyFont="1" applyBorder="1" applyAlignment="1" applyProtection="1">
      <alignment horizontal="justify" vertical="justify"/>
      <protection hidden="1"/>
    </xf>
    <xf numFmtId="171" fontId="6" fillId="0" borderId="5" xfId="4" applyNumberFormat="1" applyFont="1" applyFill="1" applyBorder="1" applyAlignment="1" applyProtection="1">
      <alignment horizontal="center"/>
      <protection hidden="1"/>
    </xf>
    <xf numFmtId="171" fontId="6" fillId="0" borderId="7" xfId="4" applyNumberFormat="1" applyFont="1" applyFill="1" applyBorder="1" applyAlignment="1" applyProtection="1">
      <alignment horizontal="center"/>
      <protection hidden="1"/>
    </xf>
    <xf numFmtId="0" fontId="16" fillId="0" borderId="4" xfId="0" applyFont="1" applyBorder="1" applyAlignment="1" applyProtection="1">
      <alignment horizontal="left"/>
      <protection hidden="1"/>
    </xf>
    <xf numFmtId="0" fontId="16" fillId="0" borderId="1" xfId="0" applyFont="1" applyBorder="1" applyAlignment="1" applyProtection="1">
      <alignment horizontal="left"/>
      <protection hidden="1"/>
    </xf>
    <xf numFmtId="0" fontId="4" fillId="0" borderId="65" xfId="0" applyFont="1" applyBorder="1" applyAlignment="1" applyProtection="1">
      <alignment horizontal="left" indent="2"/>
      <protection hidden="1"/>
    </xf>
    <xf numFmtId="0" fontId="4" fillId="0" borderId="22" xfId="0" applyFont="1" applyBorder="1" applyAlignment="1" applyProtection="1">
      <alignment horizontal="left" indent="2"/>
      <protection hidden="1"/>
    </xf>
    <xf numFmtId="0" fontId="4" fillId="0" borderId="6" xfId="0" applyFont="1" applyBorder="1" applyAlignment="1" applyProtection="1">
      <alignment horizontal="left" indent="2"/>
      <protection hidden="1"/>
    </xf>
    <xf numFmtId="0" fontId="4" fillId="0" borderId="27" xfId="0" applyFont="1" applyBorder="1" applyAlignment="1" applyProtection="1">
      <alignment horizontal="left" indent="2"/>
      <protection hidden="1"/>
    </xf>
    <xf numFmtId="0" fontId="9" fillId="0" borderId="6" xfId="0" applyFont="1" applyBorder="1" applyAlignment="1" applyProtection="1">
      <alignment horizontal="left" vertical="justify" indent="2"/>
      <protection hidden="1"/>
    </xf>
    <xf numFmtId="0" fontId="9" fillId="0" borderId="27" xfId="0" applyFont="1" applyBorder="1" applyAlignment="1" applyProtection="1">
      <alignment horizontal="left" vertical="justify" indent="2"/>
      <protection hidden="1"/>
    </xf>
    <xf numFmtId="0" fontId="88" fillId="14" borderId="11" xfId="0" applyFont="1" applyFill="1" applyBorder="1" applyAlignment="1" applyProtection="1">
      <alignment horizontal="center"/>
      <protection hidden="1"/>
    </xf>
    <xf numFmtId="0" fontId="88" fillId="14" borderId="12" xfId="0" applyFont="1" applyFill="1" applyBorder="1" applyAlignment="1" applyProtection="1">
      <alignment horizontal="center"/>
      <protection hidden="1"/>
    </xf>
    <xf numFmtId="0" fontId="88" fillId="14" borderId="13" xfId="0" applyFont="1" applyFill="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0" fillId="0" borderId="94" xfId="0" applyBorder="1" applyAlignment="1" applyProtection="1">
      <alignment horizontal="center"/>
      <protection locked="0"/>
    </xf>
    <xf numFmtId="0" fontId="7" fillId="6" borderId="56" xfId="0" applyFont="1" applyFill="1" applyBorder="1" applyAlignment="1" applyProtection="1">
      <alignment horizontal="center"/>
      <protection hidden="1"/>
    </xf>
    <xf numFmtId="0" fontId="7" fillId="6" borderId="57" xfId="0" applyFont="1" applyFill="1" applyBorder="1" applyAlignment="1" applyProtection="1">
      <alignment horizontal="center"/>
      <protection hidden="1"/>
    </xf>
    <xf numFmtId="0" fontId="4" fillId="6" borderId="56" xfId="0" applyFont="1" applyFill="1" applyBorder="1" applyAlignment="1" applyProtection="1">
      <alignment horizontal="left" vertical="center"/>
      <protection hidden="1"/>
    </xf>
    <xf numFmtId="0" fontId="4" fillId="6" borderId="57" xfId="0" applyFont="1" applyFill="1" applyBorder="1" applyAlignment="1" applyProtection="1">
      <alignment horizontal="left" vertical="center"/>
      <protection hidden="1"/>
    </xf>
    <xf numFmtId="0" fontId="4" fillId="6" borderId="59" xfId="0" applyFont="1" applyFill="1" applyBorder="1" applyAlignment="1" applyProtection="1">
      <alignment horizontal="left" vertical="center"/>
      <protection hidden="1"/>
    </xf>
    <xf numFmtId="0" fontId="21" fillId="6" borderId="4" xfId="0" applyFont="1" applyFill="1" applyBorder="1" applyAlignment="1" applyProtection="1">
      <alignment horizontal="justify" vertical="center"/>
      <protection hidden="1"/>
    </xf>
    <xf numFmtId="0" fontId="21" fillId="6" borderId="1" xfId="0" applyFont="1" applyFill="1" applyBorder="1" applyAlignment="1" applyProtection="1">
      <alignment horizontal="justify" vertical="center"/>
      <protection hidden="1"/>
    </xf>
    <xf numFmtId="0" fontId="15" fillId="6" borderId="42" xfId="0" applyFont="1" applyFill="1" applyBorder="1" applyAlignment="1" applyProtection="1">
      <alignment horizontal="right" vertical="center"/>
      <protection hidden="1"/>
    </xf>
    <xf numFmtId="0" fontId="15" fillId="6" borderId="40" xfId="0" applyFont="1" applyFill="1" applyBorder="1" applyAlignment="1" applyProtection="1">
      <alignment horizontal="right" vertical="center"/>
      <protection hidden="1"/>
    </xf>
    <xf numFmtId="0" fontId="15" fillId="6" borderId="26" xfId="0" applyFont="1" applyFill="1" applyBorder="1" applyAlignment="1" applyProtection="1">
      <alignment horizontal="right" vertical="center"/>
      <protection hidden="1"/>
    </xf>
    <xf numFmtId="0" fontId="101" fillId="6" borderId="4" xfId="0" applyFont="1" applyFill="1" applyBorder="1" applyAlignment="1" applyProtection="1">
      <alignment horizontal="left" vertical="justify"/>
      <protection hidden="1"/>
    </xf>
    <xf numFmtId="0" fontId="101" fillId="6" borderId="1" xfId="0" applyFont="1" applyFill="1" applyBorder="1" applyAlignment="1" applyProtection="1">
      <alignment horizontal="left" vertical="justify"/>
      <protection hidden="1"/>
    </xf>
    <xf numFmtId="0" fontId="15" fillId="6" borderId="60" xfId="0" applyFont="1" applyFill="1" applyBorder="1" applyAlignment="1" applyProtection="1">
      <alignment horizontal="right" vertical="center"/>
      <protection hidden="1"/>
    </xf>
    <xf numFmtId="0" fontId="15" fillId="6" borderId="61" xfId="0" applyFont="1" applyFill="1" applyBorder="1" applyAlignment="1" applyProtection="1">
      <alignment horizontal="right" vertical="center"/>
      <protection hidden="1"/>
    </xf>
    <xf numFmtId="0" fontId="15" fillId="6" borderId="62" xfId="0" applyFont="1" applyFill="1" applyBorder="1" applyAlignment="1" applyProtection="1">
      <alignment horizontal="right" vertical="center"/>
      <protection hidden="1"/>
    </xf>
    <xf numFmtId="0" fontId="9" fillId="6" borderId="60" xfId="0" applyFont="1" applyFill="1" applyBorder="1" applyAlignment="1" applyProtection="1">
      <alignment horizontal="left" vertical="center" wrapText="1"/>
      <protection hidden="1"/>
    </xf>
    <xf numFmtId="0" fontId="9" fillId="6" borderId="61" xfId="0" applyFont="1" applyFill="1" applyBorder="1" applyAlignment="1" applyProtection="1">
      <alignment horizontal="left" vertical="center" wrapText="1"/>
      <protection hidden="1"/>
    </xf>
    <xf numFmtId="0" fontId="9" fillId="6" borderId="62" xfId="0" applyFont="1" applyFill="1" applyBorder="1" applyAlignment="1" applyProtection="1">
      <alignment horizontal="left" vertical="center" wrapText="1"/>
      <protection hidden="1"/>
    </xf>
    <xf numFmtId="0" fontId="9" fillId="5" borderId="143" xfId="0" applyFont="1" applyFill="1" applyBorder="1" applyAlignment="1" applyProtection="1">
      <alignment horizontal="left" vertical="justify"/>
      <protection locked="0"/>
    </xf>
    <xf numFmtId="0" fontId="8" fillId="0" borderId="11" xfId="0" applyFont="1" applyBorder="1" applyAlignment="1" applyProtection="1">
      <alignment horizontal="center"/>
      <protection hidden="1"/>
    </xf>
    <xf numFmtId="0" fontId="8" fillId="0" borderId="12"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0" fillId="0" borderId="262" xfId="0" applyBorder="1" applyAlignment="1">
      <alignment horizontal="center" vertical="justify"/>
    </xf>
    <xf numFmtId="171" fontId="3" fillId="0" borderId="263" xfId="4" applyNumberFormat="1" applyFont="1" applyFill="1" applyBorder="1" applyAlignment="1" applyProtection="1">
      <alignment horizontal="center" vertical="center"/>
      <protection locked="0"/>
    </xf>
    <xf numFmtId="171" fontId="17" fillId="0" borderId="263" xfId="4" applyNumberFormat="1" applyFont="1" applyFill="1" applyBorder="1" applyAlignment="1" applyProtection="1">
      <alignment horizontal="center" vertical="center"/>
      <protection locked="0"/>
    </xf>
    <xf numFmtId="0" fontId="8" fillId="9" borderId="56" xfId="0" applyFont="1" applyFill="1" applyBorder="1" applyAlignment="1" applyProtection="1">
      <alignment horizontal="center"/>
      <protection hidden="1"/>
    </xf>
    <xf numFmtId="0" fontId="8" fillId="9" borderId="57" xfId="0" applyFont="1" applyFill="1" applyBorder="1" applyAlignment="1" applyProtection="1">
      <alignment horizontal="center"/>
      <protection hidden="1"/>
    </xf>
    <xf numFmtId="0" fontId="8" fillId="9" borderId="41" xfId="0" applyFont="1" applyFill="1" applyBorder="1" applyAlignment="1" applyProtection="1">
      <alignment horizontal="center"/>
      <protection hidden="1"/>
    </xf>
    <xf numFmtId="0" fontId="7" fillId="17" borderId="56" xfId="0" applyFont="1" applyFill="1" applyBorder="1" applyAlignment="1" applyProtection="1">
      <alignment horizontal="center"/>
      <protection hidden="1"/>
    </xf>
    <xf numFmtId="0" fontId="7" fillId="17" borderId="57" xfId="0" applyFont="1" applyFill="1" applyBorder="1" applyAlignment="1" applyProtection="1">
      <alignment horizontal="center"/>
      <protection hidden="1"/>
    </xf>
    <xf numFmtId="0" fontId="7" fillId="17" borderId="59" xfId="0" applyFont="1" applyFill="1" applyBorder="1" applyAlignment="1" applyProtection="1">
      <alignment horizontal="center"/>
      <protection hidden="1"/>
    </xf>
    <xf numFmtId="0" fontId="6" fillId="0" borderId="127" xfId="0" applyFont="1" applyBorder="1" applyAlignment="1" applyProtection="1">
      <alignment horizontal="left"/>
      <protection hidden="1"/>
    </xf>
    <xf numFmtId="0" fontId="6" fillId="0" borderId="18" xfId="0" applyFont="1" applyBorder="1" applyAlignment="1" applyProtection="1">
      <alignment horizontal="left"/>
      <protection hidden="1"/>
    </xf>
    <xf numFmtId="0" fontId="6" fillId="0" borderId="245" xfId="0" applyFont="1" applyBorder="1" applyAlignment="1" applyProtection="1">
      <alignment horizontal="left"/>
      <protection hidden="1"/>
    </xf>
    <xf numFmtId="0" fontId="9" fillId="0" borderId="267" xfId="0" applyFont="1" applyBorder="1" applyAlignment="1" applyProtection="1">
      <alignment vertical="justify"/>
      <protection hidden="1"/>
    </xf>
    <xf numFmtId="0" fontId="9" fillId="0" borderId="262" xfId="0" applyFont="1" applyBorder="1" applyAlignment="1" applyProtection="1">
      <alignment vertical="justify"/>
      <protection hidden="1"/>
    </xf>
    <xf numFmtId="0" fontId="9" fillId="9" borderId="262" xfId="0" applyFont="1" applyFill="1" applyBorder="1" applyAlignment="1">
      <alignment horizontal="center" vertical="justify"/>
    </xf>
    <xf numFmtId="0" fontId="7" fillId="6" borderId="59" xfId="0" applyFont="1" applyFill="1" applyBorder="1" applyAlignment="1" applyProtection="1">
      <alignment horizontal="center"/>
      <protection hidden="1"/>
    </xf>
    <xf numFmtId="0" fontId="6" fillId="0" borderId="0" xfId="0" applyFont="1" applyAlignment="1" applyProtection="1">
      <alignment horizontal="center"/>
      <protection hidden="1"/>
    </xf>
    <xf numFmtId="0" fontId="6" fillId="0" borderId="15" xfId="0" applyFont="1" applyBorder="1" applyAlignment="1" applyProtection="1">
      <alignment horizontal="center"/>
      <protection hidden="1"/>
    </xf>
    <xf numFmtId="0" fontId="8" fillId="17" borderId="34" xfId="0" applyFont="1" applyFill="1" applyBorder="1" applyAlignment="1" applyProtection="1">
      <alignment horizontal="left"/>
      <protection hidden="1"/>
    </xf>
    <xf numFmtId="0" fontId="8" fillId="17" borderId="33" xfId="0" applyFont="1" applyFill="1" applyBorder="1" applyAlignment="1" applyProtection="1">
      <alignment horizontal="left"/>
      <protection hidden="1"/>
    </xf>
    <xf numFmtId="0" fontId="8" fillId="17" borderId="21" xfId="0" applyFont="1" applyFill="1" applyBorder="1" applyAlignment="1" applyProtection="1">
      <alignment horizontal="left"/>
      <protection hidden="1"/>
    </xf>
    <xf numFmtId="0" fontId="8" fillId="17" borderId="30" xfId="0" applyFont="1" applyFill="1" applyBorder="1" applyAlignment="1">
      <alignment horizontal="left"/>
    </xf>
    <xf numFmtId="0" fontId="8" fillId="17" borderId="28" xfId="0" applyFont="1" applyFill="1" applyBorder="1" applyAlignment="1">
      <alignment horizontal="left"/>
    </xf>
    <xf numFmtId="0" fontId="0" fillId="0" borderId="2" xfId="0" applyBorder="1" applyAlignment="1">
      <alignment horizontal="left"/>
    </xf>
    <xf numFmtId="0" fontId="0" fillId="0" borderId="29" xfId="0" applyBorder="1" applyAlignment="1">
      <alignment horizontal="left"/>
    </xf>
    <xf numFmtId="0" fontId="0" fillId="0" borderId="6" xfId="0" applyBorder="1" applyAlignment="1">
      <alignment horizontal="left"/>
    </xf>
    <xf numFmtId="0" fontId="0" fillId="0" borderId="27" xfId="0" applyBorder="1" applyAlignment="1">
      <alignment horizontal="left"/>
    </xf>
    <xf numFmtId="0" fontId="5" fillId="17" borderId="2" xfId="0" applyFont="1" applyFill="1" applyBorder="1" applyAlignment="1" applyProtection="1">
      <alignment horizontal="left"/>
      <protection hidden="1"/>
    </xf>
    <xf numFmtId="0" fontId="5" fillId="17" borderId="29" xfId="0" applyFont="1" applyFill="1" applyBorder="1" applyAlignment="1" applyProtection="1">
      <alignment horizontal="left"/>
      <protection hidden="1"/>
    </xf>
    <xf numFmtId="0" fontId="4" fillId="0" borderId="42" xfId="0" applyFont="1" applyBorder="1" applyAlignment="1" applyProtection="1">
      <alignment horizontal="left"/>
      <protection hidden="1"/>
    </xf>
    <xf numFmtId="0" fontId="4" fillId="0" borderId="61" xfId="0" applyFont="1" applyBorder="1" applyAlignment="1" applyProtection="1">
      <alignment horizontal="center"/>
      <protection hidden="1"/>
    </xf>
    <xf numFmtId="0" fontId="6" fillId="0" borderId="57" xfId="0" applyFont="1" applyBorder="1" applyAlignment="1" applyProtection="1">
      <alignment horizontal="center"/>
      <protection hidden="1"/>
    </xf>
    <xf numFmtId="0" fontId="6" fillId="0" borderId="41" xfId="0" applyFont="1" applyBorder="1" applyAlignment="1" applyProtection="1">
      <alignment horizontal="center"/>
      <protection hidden="1"/>
    </xf>
    <xf numFmtId="0" fontId="8" fillId="17" borderId="2" xfId="0" applyFont="1" applyFill="1" applyBorder="1" applyAlignment="1" applyProtection="1">
      <alignment horizontal="left"/>
      <protection hidden="1"/>
    </xf>
    <xf numFmtId="0" fontId="8" fillId="17" borderId="29" xfId="0" applyFont="1" applyFill="1" applyBorder="1" applyAlignment="1" applyProtection="1">
      <alignment horizontal="left"/>
      <protection hidden="1"/>
    </xf>
    <xf numFmtId="0" fontId="0" fillId="16" borderId="271" xfId="0" applyFill="1" applyBorder="1" applyAlignment="1">
      <alignment horizontal="center"/>
    </xf>
    <xf numFmtId="0" fontId="0" fillId="16" borderId="272" xfId="0" applyFill="1" applyBorder="1" applyAlignment="1">
      <alignment horizontal="center"/>
    </xf>
    <xf numFmtId="0" fontId="0" fillId="16" borderId="14" xfId="0" applyFill="1" applyBorder="1" applyAlignment="1">
      <alignment horizontal="center"/>
    </xf>
    <xf numFmtId="0" fontId="0" fillId="16" borderId="15" xfId="0" applyFill="1" applyBorder="1" applyAlignment="1">
      <alignment horizontal="center"/>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7" fillId="17" borderId="11" xfId="0" applyFont="1" applyFill="1" applyBorder="1" applyAlignment="1" applyProtection="1">
      <alignment horizontal="center" vertical="center" textRotation="90"/>
      <protection hidden="1"/>
    </xf>
    <xf numFmtId="0" fontId="7" fillId="17" borderId="14" xfId="0" applyFont="1" applyFill="1" applyBorder="1" applyAlignment="1" applyProtection="1">
      <alignment horizontal="center" vertical="center" textRotation="90"/>
      <protection hidden="1"/>
    </xf>
    <xf numFmtId="0" fontId="7" fillId="17" borderId="16" xfId="0" applyFont="1" applyFill="1" applyBorder="1" applyAlignment="1" applyProtection="1">
      <alignment horizontal="center" vertical="center" textRotation="90"/>
      <protection hidden="1"/>
    </xf>
    <xf numFmtId="171" fontId="0" fillId="0" borderId="145" xfId="0" applyNumberFormat="1" applyBorder="1" applyAlignment="1">
      <alignment horizontal="center"/>
    </xf>
    <xf numFmtId="0" fontId="0" fillId="0" borderId="265" xfId="0" applyBorder="1" applyAlignment="1">
      <alignment horizontal="center"/>
    </xf>
    <xf numFmtId="0" fontId="0" fillId="0" borderId="275" xfId="0" applyBorder="1" applyAlignment="1">
      <alignment horizontal="center"/>
    </xf>
    <xf numFmtId="0" fontId="0" fillId="0" borderId="264" xfId="0" applyBorder="1" applyAlignment="1">
      <alignment horizontal="center"/>
    </xf>
    <xf numFmtId="0" fontId="0" fillId="0" borderId="144" xfId="0" applyBorder="1" applyAlignment="1">
      <alignment horizontal="center"/>
    </xf>
    <xf numFmtId="0" fontId="0" fillId="0" borderId="276" xfId="0" applyBorder="1" applyAlignment="1">
      <alignment horizontal="center"/>
    </xf>
    <xf numFmtId="0" fontId="16" fillId="20" borderId="279" xfId="0" applyFont="1" applyFill="1" applyBorder="1" applyAlignment="1">
      <alignment horizontal="left" vertical="justify"/>
    </xf>
    <xf numFmtId="0" fontId="16" fillId="20" borderId="243" xfId="0" applyFont="1" applyFill="1" applyBorder="1" applyAlignment="1">
      <alignment horizontal="left" vertical="justify"/>
    </xf>
    <xf numFmtId="0" fontId="16" fillId="20" borderId="244" xfId="0" applyFont="1" applyFill="1" applyBorder="1" applyAlignment="1">
      <alignment horizontal="left" vertical="justify"/>
    </xf>
    <xf numFmtId="0" fontId="9" fillId="22" borderId="14" xfId="0" applyFont="1" applyFill="1" applyBorder="1" applyAlignment="1">
      <alignment horizontal="center" textRotation="48"/>
    </xf>
    <xf numFmtId="0" fontId="7" fillId="20" borderId="16" xfId="0" applyFont="1" applyFill="1" applyBorder="1" applyAlignment="1">
      <alignment horizontal="left" vertical="center"/>
    </xf>
    <xf numFmtId="0" fontId="7" fillId="20" borderId="17" xfId="0" applyFont="1" applyFill="1" applyBorder="1" applyAlignment="1">
      <alignment horizontal="left" vertical="center"/>
    </xf>
    <xf numFmtId="0" fontId="0" fillId="16" borderId="262" xfId="0" applyFill="1" applyBorder="1" applyAlignment="1">
      <alignment horizontal="center"/>
    </xf>
    <xf numFmtId="0" fontId="0" fillId="16" borderId="263" xfId="0" applyFill="1" applyBorder="1" applyAlignment="1">
      <alignment horizontal="center"/>
    </xf>
    <xf numFmtId="0" fontId="15" fillId="20" borderId="14" xfId="0" applyFont="1" applyFill="1" applyBorder="1" applyAlignment="1" applyProtection="1">
      <alignment horizontal="left"/>
      <protection hidden="1"/>
    </xf>
    <xf numFmtId="0" fontId="15" fillId="20" borderId="0" xfId="0" applyFont="1" applyFill="1" applyAlignment="1" applyProtection="1">
      <alignment horizontal="left"/>
      <protection hidden="1"/>
    </xf>
    <xf numFmtId="0" fontId="21" fillId="0" borderId="14" xfId="0" applyFont="1" applyBorder="1" applyAlignment="1">
      <alignment horizontal="center" vertical="center"/>
    </xf>
    <xf numFmtId="0" fontId="7" fillId="20" borderId="14" xfId="0" applyFont="1" applyFill="1" applyBorder="1" applyAlignment="1" applyProtection="1">
      <alignment wrapText="1"/>
      <protection hidden="1"/>
    </xf>
    <xf numFmtId="0" fontId="7" fillId="20" borderId="0" xfId="0" applyFont="1" applyFill="1" applyAlignment="1" applyProtection="1">
      <alignment wrapText="1"/>
      <protection hidden="1"/>
    </xf>
    <xf numFmtId="0" fontId="76" fillId="9" borderId="14" xfId="0" applyFont="1" applyFill="1" applyBorder="1" applyAlignment="1">
      <alignment horizontal="center" vertical="center" textRotation="90"/>
    </xf>
    <xf numFmtId="171" fontId="9" fillId="16" borderId="271" xfId="4" applyNumberFormat="1" applyFont="1" applyFill="1" applyBorder="1" applyAlignment="1" applyProtection="1">
      <alignment horizontal="center"/>
      <protection hidden="1"/>
    </xf>
    <xf numFmtId="171" fontId="9" fillId="16" borderId="272" xfId="4" applyNumberFormat="1" applyFont="1" applyFill="1" applyBorder="1" applyAlignment="1" applyProtection="1">
      <alignment horizontal="center"/>
      <protection hidden="1"/>
    </xf>
    <xf numFmtId="171" fontId="9" fillId="16" borderId="14" xfId="4" applyNumberFormat="1" applyFont="1" applyFill="1" applyBorder="1" applyAlignment="1" applyProtection="1">
      <alignment horizontal="center"/>
      <protection hidden="1"/>
    </xf>
    <xf numFmtId="171" fontId="9" fillId="16" borderId="15" xfId="4" applyNumberFormat="1" applyFont="1" applyFill="1" applyBorder="1" applyAlignment="1" applyProtection="1">
      <alignment horizontal="center"/>
      <protection hidden="1"/>
    </xf>
    <xf numFmtId="171" fontId="9" fillId="16" borderId="273" xfId="4" applyNumberFormat="1" applyFont="1" applyFill="1" applyBorder="1" applyAlignment="1" applyProtection="1">
      <alignment horizontal="center"/>
      <protection hidden="1"/>
    </xf>
    <xf numFmtId="171" fontId="9" fillId="16" borderId="274" xfId="4" applyNumberFormat="1" applyFont="1" applyFill="1" applyBorder="1" applyAlignment="1" applyProtection="1">
      <alignment horizontal="center"/>
      <protection hidden="1"/>
    </xf>
    <xf numFmtId="0" fontId="7" fillId="0" borderId="2" xfId="0" applyFont="1" applyBorder="1" applyAlignment="1">
      <alignment horizontal="center"/>
    </xf>
    <xf numFmtId="0" fontId="7" fillId="0" borderId="29" xfId="0" applyFont="1" applyBorder="1" applyAlignment="1">
      <alignment horizontal="center"/>
    </xf>
    <xf numFmtId="0" fontId="7" fillId="0" borderId="3" xfId="0" applyFont="1" applyBorder="1" applyAlignment="1">
      <alignment horizontal="center"/>
    </xf>
    <xf numFmtId="0" fontId="4" fillId="9" borderId="4" xfId="0" applyFont="1" applyFill="1" applyBorder="1" applyAlignment="1">
      <alignment horizontal="center"/>
    </xf>
    <xf numFmtId="0" fontId="5" fillId="0" borderId="25" xfId="0" applyFont="1" applyBorder="1" applyAlignment="1">
      <alignment horizontal="left"/>
    </xf>
    <xf numFmtId="0" fontId="5" fillId="0" borderId="37" xfId="0" applyFont="1" applyBorder="1" applyAlignment="1">
      <alignment horizontal="left"/>
    </xf>
    <xf numFmtId="0" fontId="58" fillId="5" borderId="31" xfId="1" applyFill="1" applyBorder="1" applyAlignment="1" applyProtection="1">
      <alignment horizontal="center"/>
    </xf>
    <xf numFmtId="0" fontId="4" fillId="5" borderId="51" xfId="0" applyFont="1" applyFill="1" applyBorder="1" applyAlignment="1">
      <alignment horizontal="center"/>
    </xf>
    <xf numFmtId="0" fontId="4" fillId="5" borderId="38" xfId="0" applyFont="1" applyFill="1" applyBorder="1" applyAlignment="1">
      <alignment horizontal="center"/>
    </xf>
    <xf numFmtId="0" fontId="5" fillId="9" borderId="262" xfId="0" applyFont="1" applyFill="1" applyBorder="1" applyAlignment="1">
      <alignment horizontal="center" vertical="center" textRotation="90"/>
    </xf>
    <xf numFmtId="0" fontId="0" fillId="16" borderId="14" xfId="0" applyFill="1" applyBorder="1" applyAlignment="1" applyProtection="1">
      <alignment horizontal="center"/>
      <protection hidden="1"/>
    </xf>
    <xf numFmtId="0" fontId="77" fillId="20" borderId="11" xfId="0" applyFont="1" applyFill="1" applyBorder="1" applyAlignment="1" applyProtection="1">
      <alignment horizontal="left"/>
      <protection hidden="1"/>
    </xf>
    <xf numFmtId="0" fontId="77" fillId="20" borderId="12" xfId="0" applyFont="1" applyFill="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0" xfId="0" applyFont="1" applyAlignment="1" applyProtection="1">
      <alignment horizontal="left"/>
      <protection hidden="1"/>
    </xf>
    <xf numFmtId="0" fontId="0" fillId="0" borderId="263" xfId="0" applyBorder="1" applyAlignment="1">
      <alignment horizontal="center"/>
    </xf>
    <xf numFmtId="0" fontId="5" fillId="20" borderId="248" xfId="0" applyFont="1" applyFill="1" applyBorder="1" applyAlignment="1">
      <alignment horizontal="left"/>
    </xf>
    <xf numFmtId="0" fontId="5" fillId="20" borderId="249" xfId="0" applyFont="1" applyFill="1" applyBorder="1" applyAlignment="1">
      <alignment horizontal="left"/>
    </xf>
    <xf numFmtId="0" fontId="76" fillId="0" borderId="250" xfId="0" applyFont="1" applyBorder="1" applyAlignment="1" applyProtection="1">
      <alignment horizontal="left" vertical="center"/>
      <protection locked="0"/>
    </xf>
    <xf numFmtId="0" fontId="76" fillId="0" borderId="251" xfId="0" applyFont="1" applyBorder="1" applyAlignment="1" applyProtection="1">
      <alignment horizontal="left" vertical="center"/>
      <protection locked="0"/>
    </xf>
    <xf numFmtId="0" fontId="0" fillId="9" borderId="57" xfId="0" applyFill="1" applyBorder="1" applyAlignment="1">
      <alignment horizontal="center"/>
    </xf>
    <xf numFmtId="0" fontId="15" fillId="9" borderId="11" xfId="0" applyFont="1" applyFill="1" applyBorder="1" applyAlignment="1" applyProtection="1">
      <alignment horizontal="center" vertical="center" textRotation="90"/>
      <protection hidden="1"/>
    </xf>
    <xf numFmtId="0" fontId="15" fillId="9" borderId="14" xfId="0" applyFont="1" applyFill="1" applyBorder="1" applyAlignment="1" applyProtection="1">
      <alignment horizontal="center" vertical="center" textRotation="90"/>
      <protection hidden="1"/>
    </xf>
    <xf numFmtId="0" fontId="15" fillId="9" borderId="16" xfId="0" applyFont="1" applyFill="1" applyBorder="1" applyAlignment="1" applyProtection="1">
      <alignment horizontal="center" vertical="center" textRotation="90"/>
      <protection hidden="1"/>
    </xf>
    <xf numFmtId="0" fontId="5" fillId="16" borderId="0" xfId="0" applyFont="1" applyFill="1" applyAlignment="1">
      <alignment horizontal="center" vertical="center" textRotation="90"/>
    </xf>
    <xf numFmtId="0" fontId="5" fillId="16" borderId="15" xfId="0" applyFont="1" applyFill="1" applyBorder="1" applyAlignment="1">
      <alignment horizontal="center" vertical="center" textRotation="90"/>
    </xf>
    <xf numFmtId="0" fontId="0" fillId="16" borderId="0" xfId="0" applyFill="1" applyAlignment="1">
      <alignment horizontal="center"/>
    </xf>
    <xf numFmtId="0" fontId="21" fillId="22" borderId="14" xfId="0" applyFont="1" applyFill="1" applyBorder="1" applyAlignment="1">
      <alignment horizontal="center" vertical="center" textRotation="41"/>
    </xf>
    <xf numFmtId="0" fontId="96" fillId="23" borderId="14" xfId="0" applyFont="1" applyFill="1" applyBorder="1" applyAlignment="1" applyProtection="1">
      <alignment horizontal="center"/>
      <protection hidden="1"/>
    </xf>
    <xf numFmtId="0" fontId="96" fillId="23" borderId="0" xfId="0" applyFont="1" applyFill="1" applyAlignment="1" applyProtection="1">
      <alignment horizontal="center"/>
      <protection hidden="1"/>
    </xf>
    <xf numFmtId="0" fontId="96" fillId="23" borderId="15" xfId="0" applyFont="1" applyFill="1" applyBorder="1" applyAlignment="1" applyProtection="1">
      <alignment horizontal="center"/>
      <protection hidden="1"/>
    </xf>
    <xf numFmtId="171" fontId="9" fillId="16" borderId="0" xfId="4" applyNumberFormat="1" applyFont="1" applyFill="1" applyBorder="1" applyAlignment="1" applyProtection="1">
      <alignment horizontal="center"/>
      <protection hidden="1"/>
    </xf>
    <xf numFmtId="0" fontId="7" fillId="20" borderId="14" xfId="0" applyFont="1" applyFill="1" applyBorder="1" applyAlignment="1" applyProtection="1">
      <alignment horizontal="left"/>
      <protection hidden="1"/>
    </xf>
    <xf numFmtId="0" fontId="7" fillId="20" borderId="0" xfId="0" applyFont="1" applyFill="1" applyAlignment="1" applyProtection="1">
      <alignment horizontal="left"/>
      <protection hidden="1"/>
    </xf>
    <xf numFmtId="0" fontId="0" fillId="16" borderId="0" xfId="0" applyFill="1" applyAlignment="1" applyProtection="1">
      <alignment horizontal="center"/>
      <protection hidden="1"/>
    </xf>
    <xf numFmtId="0" fontId="0" fillId="16" borderId="15" xfId="0" applyFill="1" applyBorder="1" applyAlignment="1" applyProtection="1">
      <alignment horizontal="center"/>
      <protection hidden="1"/>
    </xf>
    <xf numFmtId="0" fontId="16" fillId="20" borderId="14" xfId="0" applyFont="1" applyFill="1" applyBorder="1" applyAlignment="1">
      <alignment horizontal="left" vertical="center"/>
    </xf>
    <xf numFmtId="0" fontId="16" fillId="20" borderId="0" xfId="0" applyFont="1" applyFill="1" applyAlignment="1">
      <alignment horizontal="left" vertical="center"/>
    </xf>
    <xf numFmtId="0" fontId="7" fillId="0" borderId="30" xfId="0" applyFont="1" applyBorder="1" applyAlignment="1">
      <alignment horizontal="center" vertical="justify"/>
    </xf>
    <xf numFmtId="0" fontId="7" fillId="0" borderId="28" xfId="0" applyFont="1" applyBorder="1" applyAlignment="1">
      <alignment horizontal="center" vertical="justify"/>
    </xf>
    <xf numFmtId="0" fontId="7" fillId="0" borderId="23" xfId="0" applyFont="1" applyBorder="1" applyAlignment="1">
      <alignment horizontal="center" vertical="justify"/>
    </xf>
    <xf numFmtId="0" fontId="4" fillId="9" borderId="63" xfId="0" applyFont="1" applyFill="1" applyBorder="1" applyAlignment="1">
      <alignment horizontal="center"/>
    </xf>
    <xf numFmtId="0" fontId="4" fillId="9" borderId="64" xfId="0" applyFont="1" applyFill="1" applyBorder="1" applyAlignment="1">
      <alignment horizontal="center"/>
    </xf>
    <xf numFmtId="0" fontId="5" fillId="0" borderId="175" xfId="0" applyFont="1" applyBorder="1" applyAlignment="1">
      <alignment horizontal="left"/>
    </xf>
    <xf numFmtId="0" fontId="5" fillId="0" borderId="41" xfId="0" applyFont="1" applyBorder="1" applyAlignment="1">
      <alignment horizontal="left"/>
    </xf>
    <xf numFmtId="0" fontId="4" fillId="5" borderId="14" xfId="0" applyFont="1" applyFill="1" applyBorder="1" applyAlignment="1">
      <alignment horizontal="center"/>
    </xf>
    <xf numFmtId="0" fontId="4" fillId="5" borderId="0" xfId="0" applyFont="1" applyFill="1" applyAlignment="1">
      <alignment horizontal="center"/>
    </xf>
    <xf numFmtId="0" fontId="4" fillId="5" borderId="15" xfId="0" applyFont="1" applyFill="1" applyBorder="1" applyAlignment="1">
      <alignment horizontal="center"/>
    </xf>
    <xf numFmtId="0" fontId="93" fillId="20" borderId="11" xfId="0" applyFont="1" applyFill="1" applyBorder="1" applyAlignment="1" applyProtection="1">
      <alignment horizontal="left" vertical="center"/>
      <protection hidden="1"/>
    </xf>
    <xf numFmtId="0" fontId="93" fillId="20" borderId="12" xfId="0" applyFont="1" applyFill="1" applyBorder="1" applyAlignment="1" applyProtection="1">
      <alignment horizontal="left" vertical="center"/>
      <protection hidden="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41" xfId="0" applyFont="1" applyBorder="1" applyAlignment="1">
      <alignment horizontal="center" vertical="center"/>
    </xf>
    <xf numFmtId="0" fontId="9" fillId="9" borderId="2" xfId="0" applyFont="1" applyFill="1" applyBorder="1" applyAlignment="1">
      <alignment horizontal="center"/>
    </xf>
    <xf numFmtId="0" fontId="9" fillId="9" borderId="29" xfId="0" applyFont="1" applyFill="1" applyBorder="1" applyAlignment="1">
      <alignment horizontal="center"/>
    </xf>
    <xf numFmtId="0" fontId="5" fillId="0" borderId="35" xfId="0" applyFont="1" applyBorder="1" applyAlignment="1">
      <alignment horizontal="left"/>
    </xf>
    <xf numFmtId="0" fontId="5" fillId="0" borderId="21" xfId="0" applyFont="1" applyBorder="1" applyAlignment="1">
      <alignment horizontal="left"/>
    </xf>
    <xf numFmtId="0" fontId="8" fillId="9" borderId="14" xfId="0" applyFont="1" applyFill="1" applyBorder="1" applyAlignment="1" applyProtection="1">
      <alignment horizontal="center" vertical="center" textRotation="90"/>
      <protection hidden="1"/>
    </xf>
    <xf numFmtId="0" fontId="8" fillId="9" borderId="16" xfId="0" applyFont="1" applyFill="1" applyBorder="1" applyAlignment="1" applyProtection="1">
      <alignment horizontal="center" vertical="center" textRotation="90"/>
      <protection hidden="1"/>
    </xf>
    <xf numFmtId="0" fontId="7" fillId="0" borderId="14" xfId="0" applyFont="1" applyBorder="1" applyAlignment="1" applyProtection="1">
      <alignment horizontal="center"/>
      <protection hidden="1"/>
    </xf>
    <xf numFmtId="171" fontId="9" fillId="0" borderId="0" xfId="4" applyNumberFormat="1" applyFont="1" applyFill="1" applyBorder="1" applyAlignment="1" applyProtection="1">
      <alignment horizontal="center"/>
      <protection hidden="1"/>
    </xf>
    <xf numFmtId="171" fontId="9" fillId="0" borderId="15" xfId="4" applyNumberFormat="1" applyFont="1" applyFill="1" applyBorder="1" applyAlignment="1" applyProtection="1">
      <alignment horizontal="center"/>
      <protection hidden="1"/>
    </xf>
    <xf numFmtId="0" fontId="76" fillId="0" borderId="0" xfId="0" applyFont="1" applyAlignment="1">
      <alignment horizontal="right" textRotation="90"/>
    </xf>
    <xf numFmtId="0" fontId="0" fillId="0" borderId="15" xfId="0" applyBorder="1" applyAlignment="1">
      <alignment horizont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16" fillId="20" borderId="14" xfId="0" applyFont="1" applyFill="1" applyBorder="1" applyAlignment="1">
      <alignment horizontal="left" vertical="justify" wrapText="1"/>
    </xf>
    <xf numFmtId="0" fontId="16" fillId="20" borderId="0" xfId="0" applyFont="1" applyFill="1" applyAlignment="1">
      <alignment horizontal="left" vertical="justify"/>
    </xf>
    <xf numFmtId="0" fontId="7" fillId="20" borderId="14" xfId="0" applyFont="1" applyFill="1" applyBorder="1" applyAlignment="1">
      <alignment horizontal="left" vertical="justify"/>
    </xf>
    <xf numFmtId="0" fontId="7" fillId="20" borderId="0" xfId="0" applyFont="1" applyFill="1" applyAlignment="1">
      <alignment horizontal="left" vertical="justify"/>
    </xf>
    <xf numFmtId="0" fontId="7" fillId="20" borderId="14" xfId="0" applyFont="1" applyFill="1" applyBorder="1" applyAlignment="1">
      <alignment vertical="justify" wrapText="1"/>
    </xf>
    <xf numFmtId="0" fontId="7" fillId="20" borderId="0" xfId="0" applyFont="1" applyFill="1" applyAlignment="1">
      <alignment vertical="justify"/>
    </xf>
    <xf numFmtId="0" fontId="16" fillId="20" borderId="16" xfId="0" applyFont="1" applyFill="1" applyBorder="1" applyAlignment="1">
      <alignment horizontal="justify" vertical="justify"/>
    </xf>
    <xf numFmtId="0" fontId="16" fillId="20" borderId="17" xfId="0" applyFont="1" applyFill="1" applyBorder="1" applyAlignment="1">
      <alignment horizontal="justify" vertical="justify"/>
    </xf>
    <xf numFmtId="0" fontId="16" fillId="20" borderId="14" xfId="0" applyFont="1" applyFill="1" applyBorder="1" applyAlignment="1">
      <alignment horizontal="left" vertical="justify"/>
    </xf>
    <xf numFmtId="0" fontId="5" fillId="9" borderId="0" xfId="0" applyFont="1" applyFill="1" applyAlignment="1">
      <alignment horizontal="center" vertical="center" textRotation="90"/>
    </xf>
    <xf numFmtId="0" fontId="5" fillId="0" borderId="25" xfId="0" applyFont="1" applyBorder="1" applyAlignment="1">
      <alignment horizontal="left" vertical="center"/>
    </xf>
    <xf numFmtId="0" fontId="5" fillId="0" borderId="37" xfId="0" applyFont="1" applyBorder="1" applyAlignment="1">
      <alignment horizontal="left" vertical="center"/>
    </xf>
    <xf numFmtId="0" fontId="0" fillId="0" borderId="0" xfId="0" applyAlignment="1" applyProtection="1">
      <alignment horizontal="center" vertical="center"/>
      <protection hidden="1"/>
    </xf>
    <xf numFmtId="0" fontId="0" fillId="0" borderId="15" xfId="0" applyBorder="1" applyAlignment="1" applyProtection="1">
      <alignment horizontal="center" vertical="center"/>
      <protection hidden="1"/>
    </xf>
    <xf numFmtId="0" fontId="5" fillId="9" borderId="0" xfId="0" applyFont="1" applyFill="1" applyAlignment="1">
      <alignment horizontal="center" textRotation="90"/>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21" xfId="0" applyFont="1" applyBorder="1" applyAlignment="1">
      <alignment horizontal="center" vertical="center"/>
    </xf>
    <xf numFmtId="0" fontId="4" fillId="9" borderId="6" xfId="0" applyFont="1" applyFill="1" applyBorder="1" applyAlignment="1">
      <alignment horizontal="center" vertical="center"/>
    </xf>
    <xf numFmtId="0" fontId="4" fillId="9" borderId="27" xfId="0" applyFont="1" applyFill="1" applyBorder="1" applyAlignment="1">
      <alignment horizontal="center" vertical="center"/>
    </xf>
    <xf numFmtId="0" fontId="5" fillId="0" borderId="68" xfId="0" applyFont="1" applyBorder="1" applyAlignment="1">
      <alignment horizontal="left" vertical="center"/>
    </xf>
    <xf numFmtId="0" fontId="5" fillId="0" borderId="50" xfId="0" applyFont="1" applyBorder="1" applyAlignment="1">
      <alignment horizontal="left" vertical="center"/>
    </xf>
    <xf numFmtId="0" fontId="58" fillId="5" borderId="11" xfId="1" applyFill="1" applyBorder="1" applyAlignment="1" applyProtection="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77" fillId="20" borderId="0" xfId="0" applyFont="1" applyFill="1" applyAlignment="1" applyProtection="1">
      <alignment horizontal="left"/>
      <protection hidden="1"/>
    </xf>
    <xf numFmtId="0" fontId="7" fillId="0" borderId="0" xfId="0" applyFont="1" applyAlignment="1" applyProtection="1">
      <alignment horizontal="center"/>
      <protection hidden="1"/>
    </xf>
    <xf numFmtId="0" fontId="16" fillId="20" borderId="17" xfId="0" applyFont="1" applyFill="1" applyBorder="1" applyAlignment="1">
      <alignment horizontal="justify"/>
    </xf>
    <xf numFmtId="0" fontId="9" fillId="0" borderId="0" xfId="0" applyFont="1" applyAlignment="1">
      <alignment horizontal="center" textRotation="90"/>
    </xf>
    <xf numFmtId="0" fontId="0" fillId="0" borderId="141" xfId="0" applyBorder="1" applyAlignment="1">
      <alignment horizontal="center"/>
    </xf>
    <xf numFmtId="0" fontId="5" fillId="0" borderId="0" xfId="0" applyFont="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horizontal="center" vertical="center"/>
    </xf>
    <xf numFmtId="0" fontId="7" fillId="0" borderId="26" xfId="0" applyFont="1" applyBorder="1" applyAlignment="1">
      <alignment horizontal="center" vertical="center"/>
    </xf>
    <xf numFmtId="0" fontId="9" fillId="9" borderId="1" xfId="0" applyFont="1" applyFill="1" applyBorder="1" applyAlignment="1">
      <alignment horizontal="center" vertical="center"/>
    </xf>
    <xf numFmtId="0" fontId="5" fillId="0" borderId="26" xfId="0" applyFont="1" applyBorder="1" applyAlignment="1">
      <alignment horizontal="left" vertical="center"/>
    </xf>
    <xf numFmtId="0" fontId="58" fillId="5" borderId="51" xfId="1" applyFill="1" applyBorder="1" applyAlignment="1" applyProtection="1">
      <alignment horizontal="center"/>
    </xf>
    <xf numFmtId="0" fontId="7" fillId="9" borderId="11" xfId="0" applyFont="1" applyFill="1" applyBorder="1" applyAlignment="1" applyProtection="1">
      <alignment horizontal="center" vertical="center" textRotation="90"/>
      <protection hidden="1"/>
    </xf>
    <xf numFmtId="0" fontId="7" fillId="9" borderId="14" xfId="0" applyFont="1" applyFill="1" applyBorder="1" applyAlignment="1" applyProtection="1">
      <alignment horizontal="center" vertical="center" textRotation="90"/>
      <protection hidden="1"/>
    </xf>
    <xf numFmtId="0" fontId="7" fillId="9" borderId="16" xfId="0" applyFont="1" applyFill="1" applyBorder="1" applyAlignment="1" applyProtection="1">
      <alignment horizontal="center" vertical="center" textRotation="90"/>
      <protection hidden="1"/>
    </xf>
    <xf numFmtId="0" fontId="7" fillId="16" borderId="0" xfId="0" applyFont="1" applyFill="1" applyAlignment="1" applyProtection="1">
      <alignment horizontal="center"/>
      <protection hidden="1"/>
    </xf>
    <xf numFmtId="0" fontId="7" fillId="20" borderId="0" xfId="0" applyFont="1" applyFill="1" applyAlignment="1" applyProtection="1">
      <alignment vertical="center" wrapText="1"/>
      <protection hidden="1"/>
    </xf>
    <xf numFmtId="0" fontId="7" fillId="20" borderId="17" xfId="0" applyFont="1" applyFill="1" applyBorder="1" applyAlignment="1">
      <alignment horizontal="justify" vertical="center"/>
    </xf>
    <xf numFmtId="171" fontId="1" fillId="0" borderId="15" xfId="4" applyNumberFormat="1" applyFont="1" applyFill="1" applyBorder="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6" fillId="9" borderId="2" xfId="0" applyFont="1" applyFill="1" applyBorder="1" applyAlignment="1">
      <alignment horizontal="center" vertical="center"/>
    </xf>
    <xf numFmtId="0" fontId="26" fillId="9" borderId="29" xfId="0" applyFont="1" applyFill="1" applyBorder="1" applyAlignment="1">
      <alignment horizontal="center" vertical="center"/>
    </xf>
    <xf numFmtId="0" fontId="5" fillId="0" borderId="35" xfId="0" applyFont="1" applyBorder="1" applyAlignment="1">
      <alignment horizontal="left" vertical="center"/>
    </xf>
    <xf numFmtId="0" fontId="5" fillId="0" borderId="21" xfId="0" applyFont="1" applyBorder="1" applyAlignment="1">
      <alignment horizontal="left" vertical="center"/>
    </xf>
    <xf numFmtId="0" fontId="4" fillId="5" borderId="31" xfId="0" applyFont="1" applyFill="1" applyBorder="1" applyAlignment="1">
      <alignment horizontal="center"/>
    </xf>
    <xf numFmtId="0" fontId="8" fillId="9" borderId="11" xfId="0" applyFont="1" applyFill="1" applyBorder="1" applyAlignment="1" applyProtection="1">
      <alignment horizontal="center" vertical="center" textRotation="90"/>
      <protection hidden="1"/>
    </xf>
    <xf numFmtId="0" fontId="65" fillId="9" borderId="141" xfId="0" applyFont="1" applyFill="1" applyBorder="1" applyAlignment="1">
      <alignment horizontal="center" textRotation="90"/>
    </xf>
    <xf numFmtId="0" fontId="10" fillId="9" borderId="0" xfId="0" applyFont="1" applyFill="1" applyAlignment="1">
      <alignment horizontal="center" vertical="center" textRotation="90"/>
    </xf>
    <xf numFmtId="0" fontId="10" fillId="9" borderId="0" xfId="0" applyFont="1" applyFill="1" applyAlignment="1" applyProtection="1">
      <alignment horizontal="center" vertical="center" textRotation="90"/>
      <protection hidden="1"/>
    </xf>
    <xf numFmtId="0" fontId="6" fillId="0" borderId="109" xfId="0" applyFont="1" applyBorder="1" applyAlignment="1">
      <alignment horizontal="center"/>
    </xf>
    <xf numFmtId="0" fontId="6" fillId="0" borderId="0" xfId="0" applyFont="1" applyAlignment="1">
      <alignment horizontal="center"/>
    </xf>
    <xf numFmtId="0" fontId="4" fillId="0" borderId="0" xfId="0" applyFont="1" applyAlignment="1">
      <alignment horizontal="left"/>
    </xf>
    <xf numFmtId="0" fontId="10" fillId="0" borderId="113" xfId="0" applyFont="1" applyBorder="1" applyAlignment="1">
      <alignment horizontal="center"/>
    </xf>
    <xf numFmtId="0" fontId="10" fillId="0" borderId="114" xfId="0" applyFont="1" applyBorder="1" applyAlignment="1">
      <alignment horizontal="center"/>
    </xf>
    <xf numFmtId="0" fontId="10" fillId="0" borderId="115" xfId="0" applyFont="1" applyBorder="1" applyAlignment="1">
      <alignment horizontal="center"/>
    </xf>
    <xf numFmtId="0" fontId="16" fillId="0" borderId="116" xfId="0" applyFont="1" applyBorder="1" applyAlignment="1">
      <alignment horizontal="center"/>
    </xf>
    <xf numFmtId="0" fontId="16" fillId="0" borderId="117" xfId="0" applyFont="1" applyBorder="1" applyAlignment="1">
      <alignment horizontal="center"/>
    </xf>
    <xf numFmtId="0" fontId="16" fillId="0" borderId="118" xfId="0" applyFont="1" applyBorder="1" applyAlignment="1">
      <alignment horizontal="center"/>
    </xf>
    <xf numFmtId="0" fontId="6" fillId="11" borderId="0" xfId="0" applyFont="1" applyFill="1" applyAlignment="1">
      <alignment horizontal="left"/>
    </xf>
    <xf numFmtId="0" fontId="6" fillId="0" borderId="106" xfId="0" applyFont="1" applyBorder="1" applyAlignment="1">
      <alignment horizontal="left"/>
    </xf>
    <xf numFmtId="9" fontId="10" fillId="0" borderId="4" xfId="0" applyNumberFormat="1" applyFont="1" applyBorder="1" applyAlignment="1">
      <alignment horizontal="left" vertical="center"/>
    </xf>
    <xf numFmtId="0" fontId="9" fillId="0" borderId="1" xfId="0" applyFont="1" applyBorder="1"/>
    <xf numFmtId="0" fontId="15" fillId="11" borderId="109" xfId="0" applyFont="1" applyFill="1" applyBorder="1" applyAlignment="1">
      <alignment horizontal="left"/>
    </xf>
    <xf numFmtId="0" fontId="15" fillId="11" borderId="0" xfId="0" applyFont="1" applyFill="1" applyAlignment="1">
      <alignment horizontal="left"/>
    </xf>
    <xf numFmtId="0" fontId="15" fillId="11" borderId="106" xfId="0" applyFont="1" applyFill="1" applyBorder="1" applyAlignment="1">
      <alignment horizontal="left"/>
    </xf>
    <xf numFmtId="0" fontId="6" fillId="11" borderId="106" xfId="0" applyFont="1" applyFill="1" applyBorder="1" applyAlignment="1">
      <alignment horizontal="left"/>
    </xf>
    <xf numFmtId="0" fontId="7" fillId="11" borderId="110" xfId="0" applyFont="1" applyFill="1" applyBorder="1" applyAlignment="1">
      <alignment horizontal="center"/>
    </xf>
    <xf numFmtId="0" fontId="7" fillId="11" borderId="111" xfId="0" applyFont="1" applyFill="1" applyBorder="1" applyAlignment="1">
      <alignment horizontal="center"/>
    </xf>
    <xf numFmtId="0" fontId="7" fillId="11" borderId="112" xfId="0" applyFont="1" applyFill="1" applyBorder="1" applyAlignment="1">
      <alignment horizontal="center"/>
    </xf>
    <xf numFmtId="171" fontId="65" fillId="6" borderId="0" xfId="4" applyNumberFormat="1" applyFont="1" applyFill="1" applyBorder="1" applyAlignment="1">
      <alignment horizontal="left" vertical="center"/>
    </xf>
    <xf numFmtId="0" fontId="0" fillId="0" borderId="3" xfId="0"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9" fillId="9" borderId="25" xfId="0" applyFont="1" applyFill="1" applyBorder="1" applyAlignment="1">
      <alignment horizontal="center" vertical="center"/>
    </xf>
    <xf numFmtId="0" fontId="9" fillId="9" borderId="26" xfId="0" applyFont="1" applyFill="1" applyBorder="1" applyAlignment="1">
      <alignment horizontal="center" vertical="center"/>
    </xf>
    <xf numFmtId="0" fontId="8" fillId="9" borderId="0" xfId="0" applyFont="1" applyFill="1" applyAlignment="1" applyProtection="1">
      <alignment horizontal="center" vertical="center" textRotation="90"/>
      <protection hidden="1"/>
    </xf>
    <xf numFmtId="0" fontId="5" fillId="0" borderId="0" xfId="0" applyFont="1" applyAlignment="1">
      <alignment horizontal="center" vertical="center" textRotation="90"/>
    </xf>
    <xf numFmtId="0" fontId="76" fillId="9" borderId="0" xfId="0" applyFont="1" applyFill="1" applyAlignment="1" applyProtection="1">
      <alignment horizontal="justify" vertical="justify" wrapText="1"/>
      <protection hidden="1"/>
    </xf>
    <xf numFmtId="0" fontId="7" fillId="20" borderId="0" xfId="0" applyFont="1" applyFill="1" applyAlignment="1">
      <alignment horizontal="left" vertical="center"/>
    </xf>
    <xf numFmtId="0" fontId="76" fillId="0" borderId="1" xfId="0" applyFont="1" applyBorder="1" applyAlignment="1">
      <alignment horizontal="left"/>
    </xf>
  </cellXfs>
  <cellStyles count="16">
    <cellStyle name="Hipervínculo" xfId="1" builtinId="8"/>
    <cellStyle name="Hipervínculo 2" xfId="2" xr:uid="{00000000-0005-0000-0000-000001000000}"/>
    <cellStyle name="Hipervínculo 3" xfId="3" xr:uid="{00000000-0005-0000-0000-000002000000}"/>
    <cellStyle name="Millares" xfId="4" builtinId="3"/>
    <cellStyle name="Moneda" xfId="5" builtinId="4"/>
    <cellStyle name="Moneda [0]" xfId="15" builtinId="7"/>
    <cellStyle name="Moneda 11" xfId="6" xr:uid="{00000000-0005-0000-0000-000006000000}"/>
    <cellStyle name="Normal" xfId="0" builtinId="0"/>
    <cellStyle name="Normal 2" xfId="7" xr:uid="{00000000-0005-0000-0000-000008000000}"/>
    <cellStyle name="Normal 2 2" xfId="8" xr:uid="{00000000-0005-0000-0000-000009000000}"/>
    <cellStyle name="Normal 2 3" xfId="9" xr:uid="{00000000-0005-0000-0000-00000A000000}"/>
    <cellStyle name="Normal 3" xfId="10" xr:uid="{00000000-0005-0000-0000-00000B000000}"/>
    <cellStyle name="Porcentaje" xfId="11" builtinId="5"/>
    <cellStyle name="Porcentaje 2" xfId="12" xr:uid="{00000000-0005-0000-0000-00000D000000}"/>
    <cellStyle name="Porcentaje 3" xfId="13" xr:uid="{00000000-0005-0000-0000-00000E000000}"/>
    <cellStyle name="Porcentual 2" xfId="14" xr:uid="{00000000-0005-0000-0000-00000F000000}"/>
  </cellStyles>
  <dxfs count="0"/>
  <tableStyles count="0" defaultTableStyle="TableStyleMedium9" defaultPivotStyle="PivotStyleLight16"/>
  <colors>
    <mruColors>
      <color rgb="FF99FF66"/>
      <color rgb="FF1865E2"/>
      <color rgb="FF6E97C8"/>
      <color rgb="FF66FF99"/>
      <color rgb="FF00FF99"/>
      <color rgb="FF99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_rels/drawing2.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3.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4.xml.rels><?xml version="1.0" encoding="UTF-8" standalone="yes"?>
<Relationships xmlns="http://schemas.openxmlformats.org/package/2006/relationships"><Relationship Id="rId1" Type="http://schemas.openxmlformats.org/officeDocument/2006/relationships/hyperlink" Target="#'DATOS PARA DEPURAR'!D82"/></Relationships>
</file>

<file path=xl/drawings/_rels/drawing5.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6.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7.xml.rels><?xml version="1.0" encoding="UTF-8" standalone="yes"?>
<Relationships xmlns="http://schemas.openxmlformats.org/package/2006/relationships"><Relationship Id="rId2" Type="http://schemas.openxmlformats.org/officeDocument/2006/relationships/hyperlink" Target="#'DIVIDENDOS INC 2 ART 242 E.T.'!A1"/><Relationship Id="rId1" Type="http://schemas.openxmlformats.org/officeDocument/2006/relationships/hyperlink" Target="#'FORMULARIO 2019 RENTA CEDULA'!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drawing1.xml><?xml version="1.0" encoding="utf-8"?>
<xdr:wsDr xmlns:xdr="http://schemas.openxmlformats.org/drawingml/2006/spreadsheetDrawing" xmlns:a="http://schemas.openxmlformats.org/drawingml/2006/main">
  <xdr:twoCellAnchor>
    <xdr:from>
      <xdr:col>2</xdr:col>
      <xdr:colOff>563219</xdr:colOff>
      <xdr:row>44</xdr:row>
      <xdr:rowOff>82411</xdr:rowOff>
    </xdr:from>
    <xdr:to>
      <xdr:col>4</xdr:col>
      <xdr:colOff>527604</xdr:colOff>
      <xdr:row>45</xdr:row>
      <xdr:rowOff>91108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4201769" y="9016861"/>
          <a:ext cx="1650310" cy="2277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43</xdr:row>
      <xdr:rowOff>19050</xdr:rowOff>
    </xdr:from>
    <xdr:to>
      <xdr:col>2</xdr:col>
      <xdr:colOff>152400</xdr:colOff>
      <xdr:row>45</xdr:row>
      <xdr:rowOff>123825</xdr:rowOff>
    </xdr:to>
    <xdr:pic>
      <xdr:nvPicPr>
        <xdr:cNvPr id="11327" name="Picture 3">
          <a:extLst>
            <a:ext uri="{FF2B5EF4-FFF2-40B4-BE49-F238E27FC236}">
              <a16:creationId xmlns:a16="http://schemas.microsoft.com/office/drawing/2014/main" id="{00000000-0008-0000-0100-00003F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9039225"/>
          <a:ext cx="590550" cy="5238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389283</xdr:colOff>
      <xdr:row>40</xdr:row>
      <xdr:rowOff>16565</xdr:rowOff>
    </xdr:from>
    <xdr:to>
      <xdr:col>8</xdr:col>
      <xdr:colOff>5799</xdr:colOff>
      <xdr:row>40</xdr:row>
      <xdr:rowOff>190913</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4712805" y="9201978"/>
          <a:ext cx="1645755"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856008</xdr:colOff>
      <xdr:row>66</xdr:row>
      <xdr:rowOff>64190</xdr:rowOff>
    </xdr:from>
    <xdr:to>
      <xdr:col>10</xdr:col>
      <xdr:colOff>224874</xdr:colOff>
      <xdr:row>66</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5313708"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1364848</xdr:colOff>
      <xdr:row>0</xdr:row>
      <xdr:rowOff>77838</xdr:rowOff>
    </xdr:from>
    <xdr:ext cx="1171411" cy="374141"/>
    <xdr:sp macro="" textlink="">
      <xdr:nvSpPr>
        <xdr:cNvPr id="2" name="Rectángulo 1">
          <a:hlinkClick xmlns:r="http://schemas.openxmlformats.org/officeDocument/2006/relationships" r:id="rId1"/>
          <a:extLst>
            <a:ext uri="{FF2B5EF4-FFF2-40B4-BE49-F238E27FC236}">
              <a16:creationId xmlns:a16="http://schemas.microsoft.com/office/drawing/2014/main" id="{3AE90872-7C81-6531-270F-5ACE0088323D}"/>
            </a:ext>
          </a:extLst>
        </xdr:cNvPr>
        <xdr:cNvSpPr/>
      </xdr:nvSpPr>
      <xdr:spPr>
        <a:xfrm>
          <a:off x="6301283" y="77838"/>
          <a:ext cx="1171411" cy="374141"/>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es-ES" sz="1800" b="0" cap="none" spc="0">
              <a:ln w="0">
                <a:solidFill>
                  <a:srgbClr val="FF0000"/>
                </a:solidFill>
              </a:ln>
              <a:solidFill>
                <a:schemeClr val="tx1"/>
              </a:solidFill>
              <a:effectLst>
                <a:outerShdw blurRad="38100" dist="19050" dir="2700000" algn="tl" rotWithShape="0">
                  <a:schemeClr val="dk1">
                    <a:alpha val="40000"/>
                  </a:schemeClr>
                </a:outerShdw>
              </a:effectLst>
            </a:rPr>
            <a:t>REGRESAR</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856008</xdr:colOff>
      <xdr:row>110</xdr:row>
      <xdr:rowOff>64190</xdr:rowOff>
    </xdr:from>
    <xdr:to>
      <xdr:col>20</xdr:col>
      <xdr:colOff>224874</xdr:colOff>
      <xdr:row>110</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5837583" y="11544300"/>
          <a:ext cx="1683441" cy="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856008</xdr:colOff>
      <xdr:row>42</xdr:row>
      <xdr:rowOff>64190</xdr:rowOff>
    </xdr:from>
    <xdr:to>
      <xdr:col>9</xdr:col>
      <xdr:colOff>224874</xdr:colOff>
      <xdr:row>42</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5304183"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8280</xdr:colOff>
      <xdr:row>66</xdr:row>
      <xdr:rowOff>191961</xdr:rowOff>
    </xdr:from>
    <xdr:to>
      <xdr:col>1</xdr:col>
      <xdr:colOff>902801</xdr:colOff>
      <xdr:row>67</xdr:row>
      <xdr:rowOff>194163</xdr:rowOff>
    </xdr:to>
    <xdr:sp macro="" textlink="">
      <xdr:nvSpPr>
        <xdr:cNvPr id="4" name="3 CuadroTexto">
          <a:extLst>
            <a:ext uri="{FF2B5EF4-FFF2-40B4-BE49-F238E27FC236}">
              <a16:creationId xmlns:a16="http://schemas.microsoft.com/office/drawing/2014/main" id="{00000000-0008-0000-0A00-000004000000}"/>
            </a:ext>
          </a:extLst>
        </xdr:cNvPr>
        <xdr:cNvSpPr txBox="1"/>
      </xdr:nvSpPr>
      <xdr:spPr>
        <a:xfrm>
          <a:off x="8280" y="20127786"/>
          <a:ext cx="961196" cy="240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2</xdr:col>
      <xdr:colOff>821121</xdr:colOff>
      <xdr:row>350</xdr:row>
      <xdr:rowOff>49497</xdr:rowOff>
    </xdr:from>
    <xdr:to>
      <xdr:col>3</xdr:col>
      <xdr:colOff>450020</xdr:colOff>
      <xdr:row>350</xdr:row>
      <xdr:rowOff>254077</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2870638" y="75697704"/>
          <a:ext cx="1303985" cy="204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AR" sz="800">
              <a:solidFill>
                <a:srgbClr val="FF0000"/>
              </a:solidFill>
            </a:rPr>
            <a:t>FORMATO 210 AÑO 2023</a:t>
          </a:r>
        </a:p>
      </xdr:txBody>
    </xdr:sp>
    <xdr:clientData/>
  </xdr:twoCellAnchor>
  <xdr:twoCellAnchor>
    <xdr:from>
      <xdr:col>0</xdr:col>
      <xdr:colOff>9877</xdr:colOff>
      <xdr:row>68</xdr:row>
      <xdr:rowOff>325188</xdr:rowOff>
    </xdr:from>
    <xdr:to>
      <xdr:col>1</xdr:col>
      <xdr:colOff>904398</xdr:colOff>
      <xdr:row>69</xdr:row>
      <xdr:rowOff>242363</xdr:rowOff>
    </xdr:to>
    <xdr:sp macro="" textlink="">
      <xdr:nvSpPr>
        <xdr:cNvPr id="5" name="4 CuadroTexto">
          <a:extLst>
            <a:ext uri="{FF2B5EF4-FFF2-40B4-BE49-F238E27FC236}">
              <a16:creationId xmlns:a16="http://schemas.microsoft.com/office/drawing/2014/main" id="{00000000-0008-0000-0A00-000005000000}"/>
            </a:ext>
          </a:extLst>
        </xdr:cNvPr>
        <xdr:cNvSpPr txBox="1"/>
      </xdr:nvSpPr>
      <xdr:spPr>
        <a:xfrm>
          <a:off x="9877" y="23369119"/>
          <a:ext cx="960211"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1</xdr:col>
      <xdr:colOff>1901947</xdr:colOff>
      <xdr:row>66</xdr:row>
      <xdr:rowOff>189188</xdr:rowOff>
    </xdr:from>
    <xdr:to>
      <xdr:col>2</xdr:col>
      <xdr:colOff>1081969</xdr:colOff>
      <xdr:row>67</xdr:row>
      <xdr:rowOff>179509</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1968622" y="20125013"/>
          <a:ext cx="1161222" cy="22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1</xdr:col>
      <xdr:colOff>1933045</xdr:colOff>
      <xdr:row>68</xdr:row>
      <xdr:rowOff>326801</xdr:rowOff>
    </xdr:from>
    <xdr:to>
      <xdr:col>2</xdr:col>
      <xdr:colOff>1113067</xdr:colOff>
      <xdr:row>69</xdr:row>
      <xdr:rowOff>243976</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998735" y="23370732"/>
          <a:ext cx="1163849"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0</xdr:col>
      <xdr:colOff>0</xdr:colOff>
      <xdr:row>61</xdr:row>
      <xdr:rowOff>182212</xdr:rowOff>
    </xdr:from>
    <xdr:to>
      <xdr:col>1</xdr:col>
      <xdr:colOff>1548847</xdr:colOff>
      <xdr:row>62</xdr:row>
      <xdr:rowOff>132521</xdr:rowOff>
    </xdr:to>
    <xdr:sp macro="" textlink="">
      <xdr:nvSpPr>
        <xdr:cNvPr id="9" name="8 CuadroTexto">
          <a:extLst>
            <a:ext uri="{FF2B5EF4-FFF2-40B4-BE49-F238E27FC236}">
              <a16:creationId xmlns:a16="http://schemas.microsoft.com/office/drawing/2014/main" id="{00000000-0008-0000-0A00-000009000000}"/>
            </a:ext>
          </a:extLst>
        </xdr:cNvPr>
        <xdr:cNvSpPr txBox="1"/>
      </xdr:nvSpPr>
      <xdr:spPr>
        <a:xfrm>
          <a:off x="0" y="11529386"/>
          <a:ext cx="1598543" cy="149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1916606</xdr:colOff>
      <xdr:row>61</xdr:row>
      <xdr:rowOff>185524</xdr:rowOff>
    </xdr:from>
    <xdr:to>
      <xdr:col>3</xdr:col>
      <xdr:colOff>66272</xdr:colOff>
      <xdr:row>62</xdr:row>
      <xdr:rowOff>124238</xdr:rowOff>
    </xdr:to>
    <xdr:sp macro="" textlink="">
      <xdr:nvSpPr>
        <xdr:cNvPr id="10" name="9 CuadroTexto">
          <a:extLst>
            <a:ext uri="{FF2B5EF4-FFF2-40B4-BE49-F238E27FC236}">
              <a16:creationId xmlns:a16="http://schemas.microsoft.com/office/drawing/2014/main" id="{00000000-0008-0000-0A00-00000A000000}"/>
            </a:ext>
          </a:extLst>
        </xdr:cNvPr>
        <xdr:cNvSpPr txBox="1"/>
      </xdr:nvSpPr>
      <xdr:spPr>
        <a:xfrm>
          <a:off x="1966302" y="11532698"/>
          <a:ext cx="2017644" cy="17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0</xdr:colOff>
      <xdr:row>63</xdr:row>
      <xdr:rowOff>143380</xdr:rowOff>
    </xdr:from>
    <xdr:to>
      <xdr:col>1</xdr:col>
      <xdr:colOff>1548847</xdr:colOff>
      <xdr:row>64</xdr:row>
      <xdr:rowOff>139211</xdr:rowOff>
    </xdr:to>
    <xdr:sp macro="" textlink="">
      <xdr:nvSpPr>
        <xdr:cNvPr id="11" name="10 CuadroTexto">
          <a:extLst>
            <a:ext uri="{FF2B5EF4-FFF2-40B4-BE49-F238E27FC236}">
              <a16:creationId xmlns:a16="http://schemas.microsoft.com/office/drawing/2014/main" id="{00000000-0008-0000-0A00-00000B000000}"/>
            </a:ext>
          </a:extLst>
        </xdr:cNvPr>
        <xdr:cNvSpPr txBox="1"/>
      </xdr:nvSpPr>
      <xdr:spPr>
        <a:xfrm>
          <a:off x="0" y="13419765"/>
          <a:ext cx="1614789" cy="16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1900996</xdr:colOff>
      <xdr:row>63</xdr:row>
      <xdr:rowOff>119930</xdr:rowOff>
    </xdr:from>
    <xdr:to>
      <xdr:col>3</xdr:col>
      <xdr:colOff>50662</xdr:colOff>
      <xdr:row>64</xdr:row>
      <xdr:rowOff>109584</xdr:rowOff>
    </xdr:to>
    <xdr:sp macro="" textlink="">
      <xdr:nvSpPr>
        <xdr:cNvPr id="12" name="11 CuadroTexto">
          <a:extLst>
            <a:ext uri="{FF2B5EF4-FFF2-40B4-BE49-F238E27FC236}">
              <a16:creationId xmlns:a16="http://schemas.microsoft.com/office/drawing/2014/main" id="{00000000-0008-0000-0A00-00000C000000}"/>
            </a:ext>
          </a:extLst>
        </xdr:cNvPr>
        <xdr:cNvSpPr txBox="1"/>
      </xdr:nvSpPr>
      <xdr:spPr>
        <a:xfrm>
          <a:off x="1966938" y="13396315"/>
          <a:ext cx="1959666" cy="15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22931</xdr:colOff>
      <xdr:row>35</xdr:row>
      <xdr:rowOff>337038</xdr:rowOff>
    </xdr:from>
    <xdr:to>
      <xdr:col>1</xdr:col>
      <xdr:colOff>1340827</xdr:colOff>
      <xdr:row>36</xdr:row>
      <xdr:rowOff>109903</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22931" y="13437576"/>
          <a:ext cx="1383838" cy="153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800" b="1"/>
            <a:t>MAGISTRADOS Y FISCALES</a:t>
          </a:r>
        </a:p>
      </xdr:txBody>
    </xdr:sp>
    <xdr:clientData/>
  </xdr:twoCellAnchor>
  <xdr:twoCellAnchor>
    <xdr:from>
      <xdr:col>1</xdr:col>
      <xdr:colOff>1922976</xdr:colOff>
      <xdr:row>35</xdr:row>
      <xdr:rowOff>322385</xdr:rowOff>
    </xdr:from>
    <xdr:to>
      <xdr:col>2</xdr:col>
      <xdr:colOff>1495424</xdr:colOff>
      <xdr:row>36</xdr:row>
      <xdr:rowOff>92318</xdr:rowOff>
    </xdr:to>
    <xdr:sp macro="" textlink="">
      <xdr:nvSpPr>
        <xdr:cNvPr id="13" name="12 CuadroTexto">
          <a:extLst>
            <a:ext uri="{FF2B5EF4-FFF2-40B4-BE49-F238E27FC236}">
              <a16:creationId xmlns:a16="http://schemas.microsoft.com/office/drawing/2014/main" id="{00000000-0008-0000-0A00-00000D000000}"/>
            </a:ext>
          </a:extLst>
        </xdr:cNvPr>
        <xdr:cNvSpPr txBox="1"/>
      </xdr:nvSpPr>
      <xdr:spPr>
        <a:xfrm>
          <a:off x="1988918" y="13422923"/>
          <a:ext cx="1550718" cy="150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0</xdr:col>
      <xdr:colOff>0</xdr:colOff>
      <xdr:row>37</xdr:row>
      <xdr:rowOff>52242</xdr:rowOff>
    </xdr:from>
    <xdr:to>
      <xdr:col>2</xdr:col>
      <xdr:colOff>476250</xdr:colOff>
      <xdr:row>38</xdr:row>
      <xdr:rowOff>109904</xdr:rowOff>
    </xdr:to>
    <xdr:sp macro="" textlink="">
      <xdr:nvSpPr>
        <xdr:cNvPr id="14" name="13 CuadroTexto">
          <a:extLst>
            <a:ext uri="{FF2B5EF4-FFF2-40B4-BE49-F238E27FC236}">
              <a16:creationId xmlns:a16="http://schemas.microsoft.com/office/drawing/2014/main" id="{00000000-0008-0000-0A00-00000E000000}"/>
            </a:ext>
          </a:extLst>
        </xdr:cNvPr>
        <xdr:cNvSpPr txBox="1"/>
      </xdr:nvSpPr>
      <xdr:spPr>
        <a:xfrm>
          <a:off x="0" y="13826857"/>
          <a:ext cx="2520462" cy="350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twoCellAnchor>
    <xdr:from>
      <xdr:col>0</xdr:col>
      <xdr:colOff>3308</xdr:colOff>
      <xdr:row>84</xdr:row>
      <xdr:rowOff>260483</xdr:rowOff>
    </xdr:from>
    <xdr:to>
      <xdr:col>1</xdr:col>
      <xdr:colOff>897829</xdr:colOff>
      <xdr:row>85</xdr:row>
      <xdr:rowOff>177658</xdr:rowOff>
    </xdr:to>
    <xdr:sp macro="" textlink="">
      <xdr:nvSpPr>
        <xdr:cNvPr id="15" name="14 CuadroTexto">
          <a:extLst>
            <a:ext uri="{FF2B5EF4-FFF2-40B4-BE49-F238E27FC236}">
              <a16:creationId xmlns:a16="http://schemas.microsoft.com/office/drawing/2014/main" id="{00000000-0008-0000-0A00-00000F000000}"/>
            </a:ext>
          </a:extLst>
        </xdr:cNvPr>
        <xdr:cNvSpPr txBox="1"/>
      </xdr:nvSpPr>
      <xdr:spPr>
        <a:xfrm>
          <a:off x="3308" y="24301583"/>
          <a:ext cx="961196"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LUCRO CESANTE</a:t>
          </a:r>
        </a:p>
      </xdr:txBody>
    </xdr:sp>
    <xdr:clientData/>
  </xdr:twoCellAnchor>
  <xdr:twoCellAnchor>
    <xdr:from>
      <xdr:col>1</xdr:col>
      <xdr:colOff>1928190</xdr:colOff>
      <xdr:row>84</xdr:row>
      <xdr:rowOff>255528</xdr:rowOff>
    </xdr:from>
    <xdr:to>
      <xdr:col>2</xdr:col>
      <xdr:colOff>1108212</xdr:colOff>
      <xdr:row>85</xdr:row>
      <xdr:rowOff>172703</xdr:rowOff>
    </xdr:to>
    <xdr:sp macro="" textlink="">
      <xdr:nvSpPr>
        <xdr:cNvPr id="16" name="15 CuadroTexto">
          <a:extLst>
            <a:ext uri="{FF2B5EF4-FFF2-40B4-BE49-F238E27FC236}">
              <a16:creationId xmlns:a16="http://schemas.microsoft.com/office/drawing/2014/main" id="{00000000-0008-0000-0A00-000010000000}"/>
            </a:ext>
          </a:extLst>
        </xdr:cNvPr>
        <xdr:cNvSpPr txBox="1"/>
      </xdr:nvSpPr>
      <xdr:spPr>
        <a:xfrm>
          <a:off x="1994865" y="24296628"/>
          <a:ext cx="1161222"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DAÑO EMERGENTE</a:t>
          </a:r>
        </a:p>
      </xdr:txBody>
    </xdr:sp>
    <xdr:clientData/>
  </xdr:twoCellAnchor>
  <xdr:twoCellAnchor>
    <xdr:from>
      <xdr:col>2</xdr:col>
      <xdr:colOff>1742247</xdr:colOff>
      <xdr:row>116</xdr:row>
      <xdr:rowOff>455958</xdr:rowOff>
    </xdr:from>
    <xdr:to>
      <xdr:col>3</xdr:col>
      <xdr:colOff>1227069</xdr:colOff>
      <xdr:row>117</xdr:row>
      <xdr:rowOff>115957</xdr:rowOff>
    </xdr:to>
    <xdr:sp macro="" textlink="">
      <xdr:nvSpPr>
        <xdr:cNvPr id="20" name="19 CuadroTexto">
          <a:extLst>
            <a:ext uri="{FF2B5EF4-FFF2-40B4-BE49-F238E27FC236}">
              <a16:creationId xmlns:a16="http://schemas.microsoft.com/office/drawing/2014/main" id="{00000000-0008-0000-0A00-000014000000}"/>
            </a:ext>
          </a:extLst>
        </xdr:cNvPr>
        <xdr:cNvSpPr txBox="1"/>
      </xdr:nvSpPr>
      <xdr:spPr>
        <a:xfrm>
          <a:off x="3788051" y="32393697"/>
          <a:ext cx="1273866" cy="15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1905001</xdr:colOff>
      <xdr:row>117</xdr:row>
      <xdr:rowOff>265031</xdr:rowOff>
    </xdr:from>
    <xdr:to>
      <xdr:col>2</xdr:col>
      <xdr:colOff>729156</xdr:colOff>
      <xdr:row>118</xdr:row>
      <xdr:rowOff>91966</xdr:rowOff>
    </xdr:to>
    <xdr:sp macro="" textlink="">
      <xdr:nvSpPr>
        <xdr:cNvPr id="21" name="20 CuadroTexto">
          <a:extLst>
            <a:ext uri="{FF2B5EF4-FFF2-40B4-BE49-F238E27FC236}">
              <a16:creationId xmlns:a16="http://schemas.microsoft.com/office/drawing/2014/main" id="{00000000-0008-0000-0A00-000015000000}"/>
            </a:ext>
          </a:extLst>
        </xdr:cNvPr>
        <xdr:cNvSpPr txBox="1"/>
      </xdr:nvSpPr>
      <xdr:spPr>
        <a:xfrm>
          <a:off x="1970691" y="38246790"/>
          <a:ext cx="807982" cy="12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1717397</xdr:colOff>
      <xdr:row>117</xdr:row>
      <xdr:rowOff>263345</xdr:rowOff>
    </xdr:from>
    <xdr:to>
      <xdr:col>3</xdr:col>
      <xdr:colOff>1040466</xdr:colOff>
      <xdr:row>118</xdr:row>
      <xdr:rowOff>176154</xdr:rowOff>
    </xdr:to>
    <xdr:sp macro="" textlink="">
      <xdr:nvSpPr>
        <xdr:cNvPr id="22" name="21 CuadroTexto">
          <a:extLst>
            <a:ext uri="{FF2B5EF4-FFF2-40B4-BE49-F238E27FC236}">
              <a16:creationId xmlns:a16="http://schemas.microsoft.com/office/drawing/2014/main" id="{00000000-0008-0000-0A00-000016000000}"/>
            </a:ext>
          </a:extLst>
        </xdr:cNvPr>
        <xdr:cNvSpPr txBox="1"/>
      </xdr:nvSpPr>
      <xdr:spPr>
        <a:xfrm>
          <a:off x="3763201" y="32698041"/>
          <a:ext cx="1112113" cy="219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1702109</xdr:colOff>
      <xdr:row>119</xdr:row>
      <xdr:rowOff>339919</xdr:rowOff>
    </xdr:from>
    <xdr:to>
      <xdr:col>3</xdr:col>
      <xdr:colOff>1186931</xdr:colOff>
      <xdr:row>120</xdr:row>
      <xdr:rowOff>131885</xdr:rowOff>
    </xdr:to>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3746321" y="33003342"/>
          <a:ext cx="1272591" cy="17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1897673</xdr:colOff>
      <xdr:row>120</xdr:row>
      <xdr:rowOff>308414</xdr:rowOff>
    </xdr:from>
    <xdr:to>
      <xdr:col>2</xdr:col>
      <xdr:colOff>1077695</xdr:colOff>
      <xdr:row>121</xdr:row>
      <xdr:rowOff>115957</xdr:rowOff>
    </xdr:to>
    <xdr:sp macro="" textlink="">
      <xdr:nvSpPr>
        <xdr:cNvPr id="25" name="24 CuadroTexto">
          <a:extLst>
            <a:ext uri="{FF2B5EF4-FFF2-40B4-BE49-F238E27FC236}">
              <a16:creationId xmlns:a16="http://schemas.microsoft.com/office/drawing/2014/main" id="{00000000-0008-0000-0A00-000019000000}"/>
            </a:ext>
          </a:extLst>
        </xdr:cNvPr>
        <xdr:cNvSpPr txBox="1"/>
      </xdr:nvSpPr>
      <xdr:spPr>
        <a:xfrm>
          <a:off x="1963934" y="33654197"/>
          <a:ext cx="1159565" cy="147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1767094</xdr:colOff>
      <xdr:row>120</xdr:row>
      <xdr:rowOff>303558</xdr:rowOff>
    </xdr:from>
    <xdr:to>
      <xdr:col>3</xdr:col>
      <xdr:colOff>1251916</xdr:colOff>
      <xdr:row>121</xdr:row>
      <xdr:rowOff>115956</xdr:rowOff>
    </xdr:to>
    <xdr:sp macro="" textlink="">
      <xdr:nvSpPr>
        <xdr:cNvPr id="26" name="25 CuadroTexto">
          <a:extLst>
            <a:ext uri="{FF2B5EF4-FFF2-40B4-BE49-F238E27FC236}">
              <a16:creationId xmlns:a16="http://schemas.microsoft.com/office/drawing/2014/main" id="{00000000-0008-0000-0A00-00001A000000}"/>
            </a:ext>
          </a:extLst>
        </xdr:cNvPr>
        <xdr:cNvSpPr txBox="1"/>
      </xdr:nvSpPr>
      <xdr:spPr>
        <a:xfrm>
          <a:off x="3812898" y="33649341"/>
          <a:ext cx="1273866" cy="151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1909396</xdr:colOff>
      <xdr:row>224</xdr:row>
      <xdr:rowOff>186836</xdr:rowOff>
    </xdr:from>
    <xdr:to>
      <xdr:col>2</xdr:col>
      <xdr:colOff>1089418</xdr:colOff>
      <xdr:row>225</xdr:row>
      <xdr:rowOff>113536</xdr:rowOff>
    </xdr:to>
    <xdr:sp macro="" textlink="">
      <xdr:nvSpPr>
        <xdr:cNvPr id="27" name="26 CuadroTexto">
          <a:extLst>
            <a:ext uri="{FF2B5EF4-FFF2-40B4-BE49-F238E27FC236}">
              <a16:creationId xmlns:a16="http://schemas.microsoft.com/office/drawing/2014/main" id="{00000000-0008-0000-0A00-00001B000000}"/>
            </a:ext>
          </a:extLst>
        </xdr:cNvPr>
        <xdr:cNvSpPr txBox="1"/>
      </xdr:nvSpPr>
      <xdr:spPr>
        <a:xfrm>
          <a:off x="1975338" y="53482874"/>
          <a:ext cx="1158292" cy="168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a:t>
          </a:r>
        </a:p>
      </xdr:txBody>
    </xdr:sp>
    <xdr:clientData/>
  </xdr:twoCellAnchor>
  <xdr:twoCellAnchor>
    <xdr:from>
      <xdr:col>2</xdr:col>
      <xdr:colOff>1751486</xdr:colOff>
      <xdr:row>224</xdr:row>
      <xdr:rowOff>202445</xdr:rowOff>
    </xdr:from>
    <xdr:to>
      <xdr:col>3</xdr:col>
      <xdr:colOff>859799</xdr:colOff>
      <xdr:row>225</xdr:row>
      <xdr:rowOff>132840</xdr:rowOff>
    </xdr:to>
    <xdr:sp macro="" textlink="">
      <xdr:nvSpPr>
        <xdr:cNvPr id="28" name="27 CuadroTexto">
          <a:extLst>
            <a:ext uri="{FF2B5EF4-FFF2-40B4-BE49-F238E27FC236}">
              <a16:creationId xmlns:a16="http://schemas.microsoft.com/office/drawing/2014/main" id="{00000000-0008-0000-0A00-00001C000000}"/>
            </a:ext>
          </a:extLst>
        </xdr:cNvPr>
        <xdr:cNvSpPr txBox="1"/>
      </xdr:nvSpPr>
      <xdr:spPr>
        <a:xfrm>
          <a:off x="3797290" y="55339771"/>
          <a:ext cx="897357" cy="170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1890346</xdr:colOff>
      <xdr:row>225</xdr:row>
      <xdr:rowOff>264310</xdr:rowOff>
    </xdr:from>
    <xdr:to>
      <xdr:col>2</xdr:col>
      <xdr:colOff>776653</xdr:colOff>
      <xdr:row>226</xdr:row>
      <xdr:rowOff>124239</xdr:rowOff>
    </xdr:to>
    <xdr:sp macro="" textlink="">
      <xdr:nvSpPr>
        <xdr:cNvPr id="29" name="28 CuadroTexto">
          <a:extLst>
            <a:ext uri="{FF2B5EF4-FFF2-40B4-BE49-F238E27FC236}">
              <a16:creationId xmlns:a16="http://schemas.microsoft.com/office/drawing/2014/main" id="{00000000-0008-0000-0A00-00001D000000}"/>
            </a:ext>
          </a:extLst>
        </xdr:cNvPr>
        <xdr:cNvSpPr txBox="1"/>
      </xdr:nvSpPr>
      <xdr:spPr>
        <a:xfrm>
          <a:off x="1956607" y="55641832"/>
          <a:ext cx="865850" cy="17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1735876</xdr:colOff>
      <xdr:row>225</xdr:row>
      <xdr:rowOff>297440</xdr:rowOff>
    </xdr:from>
    <xdr:to>
      <xdr:col>3</xdr:col>
      <xdr:colOff>1020036</xdr:colOff>
      <xdr:row>226</xdr:row>
      <xdr:rowOff>124239</xdr:rowOff>
    </xdr:to>
    <xdr:sp macro="" textlink="">
      <xdr:nvSpPr>
        <xdr:cNvPr id="30" name="29 CuadroTexto">
          <a:extLst>
            <a:ext uri="{FF2B5EF4-FFF2-40B4-BE49-F238E27FC236}">
              <a16:creationId xmlns:a16="http://schemas.microsoft.com/office/drawing/2014/main" id="{00000000-0008-0000-0A00-00001E000000}"/>
            </a:ext>
          </a:extLst>
        </xdr:cNvPr>
        <xdr:cNvSpPr txBox="1"/>
      </xdr:nvSpPr>
      <xdr:spPr>
        <a:xfrm>
          <a:off x="3781680" y="55674962"/>
          <a:ext cx="1073204" cy="14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1931759</xdr:colOff>
      <xdr:row>226</xdr:row>
      <xdr:rowOff>263037</xdr:rowOff>
    </xdr:from>
    <xdr:to>
      <xdr:col>2</xdr:col>
      <xdr:colOff>818066</xdr:colOff>
      <xdr:row>227</xdr:row>
      <xdr:rowOff>124240</xdr:rowOff>
    </xdr:to>
    <xdr:sp macro="" textlink="">
      <xdr:nvSpPr>
        <xdr:cNvPr id="31" name="30 CuadroTexto">
          <a:extLst>
            <a:ext uri="{FF2B5EF4-FFF2-40B4-BE49-F238E27FC236}">
              <a16:creationId xmlns:a16="http://schemas.microsoft.com/office/drawing/2014/main" id="{00000000-0008-0000-0A00-00001F000000}"/>
            </a:ext>
          </a:extLst>
        </xdr:cNvPr>
        <xdr:cNvSpPr txBox="1"/>
      </xdr:nvSpPr>
      <xdr:spPr>
        <a:xfrm>
          <a:off x="1998020" y="55955298"/>
          <a:ext cx="865850" cy="167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1744158</xdr:colOff>
      <xdr:row>226</xdr:row>
      <xdr:rowOff>279603</xdr:rowOff>
    </xdr:from>
    <xdr:to>
      <xdr:col>3</xdr:col>
      <xdr:colOff>1028318</xdr:colOff>
      <xdr:row>227</xdr:row>
      <xdr:rowOff>132523</xdr:rowOff>
    </xdr:to>
    <xdr:sp macro="" textlink="">
      <xdr:nvSpPr>
        <xdr:cNvPr id="32" name="31 CuadroTexto">
          <a:extLst>
            <a:ext uri="{FF2B5EF4-FFF2-40B4-BE49-F238E27FC236}">
              <a16:creationId xmlns:a16="http://schemas.microsoft.com/office/drawing/2014/main" id="{00000000-0008-0000-0A00-000020000000}"/>
            </a:ext>
          </a:extLst>
        </xdr:cNvPr>
        <xdr:cNvSpPr txBox="1"/>
      </xdr:nvSpPr>
      <xdr:spPr>
        <a:xfrm>
          <a:off x="3789962" y="55971864"/>
          <a:ext cx="1073204" cy="159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1906911</xdr:colOff>
      <xdr:row>227</xdr:row>
      <xdr:rowOff>315600</xdr:rowOff>
    </xdr:from>
    <xdr:to>
      <xdr:col>2</xdr:col>
      <xdr:colOff>793218</xdr:colOff>
      <xdr:row>228</xdr:row>
      <xdr:rowOff>82826</xdr:rowOff>
    </xdr:to>
    <xdr:sp macro="" textlink="">
      <xdr:nvSpPr>
        <xdr:cNvPr id="33" name="32 CuadroTexto">
          <a:extLst>
            <a:ext uri="{FF2B5EF4-FFF2-40B4-BE49-F238E27FC236}">
              <a16:creationId xmlns:a16="http://schemas.microsoft.com/office/drawing/2014/main" id="{00000000-0008-0000-0A00-000021000000}"/>
            </a:ext>
          </a:extLst>
        </xdr:cNvPr>
        <xdr:cNvSpPr txBox="1"/>
      </xdr:nvSpPr>
      <xdr:spPr>
        <a:xfrm>
          <a:off x="1973172" y="56314317"/>
          <a:ext cx="865850" cy="13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1719310</xdr:colOff>
      <xdr:row>227</xdr:row>
      <xdr:rowOff>322926</xdr:rowOff>
    </xdr:from>
    <xdr:to>
      <xdr:col>3</xdr:col>
      <xdr:colOff>1003470</xdr:colOff>
      <xdr:row>228</xdr:row>
      <xdr:rowOff>115956</xdr:rowOff>
    </xdr:to>
    <xdr:sp macro="" textlink="">
      <xdr:nvSpPr>
        <xdr:cNvPr id="34" name="33 CuadroTexto">
          <a:extLst>
            <a:ext uri="{FF2B5EF4-FFF2-40B4-BE49-F238E27FC236}">
              <a16:creationId xmlns:a16="http://schemas.microsoft.com/office/drawing/2014/main" id="{00000000-0008-0000-0A00-000022000000}"/>
            </a:ext>
          </a:extLst>
        </xdr:cNvPr>
        <xdr:cNvSpPr txBox="1"/>
      </xdr:nvSpPr>
      <xdr:spPr>
        <a:xfrm>
          <a:off x="3765114" y="56321643"/>
          <a:ext cx="1073204" cy="157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1906911</xdr:colOff>
      <xdr:row>228</xdr:row>
      <xdr:rowOff>289158</xdr:rowOff>
    </xdr:from>
    <xdr:to>
      <xdr:col>2</xdr:col>
      <xdr:colOff>793218</xdr:colOff>
      <xdr:row>229</xdr:row>
      <xdr:rowOff>149087</xdr:rowOff>
    </xdr:to>
    <xdr:sp macro="" textlink="">
      <xdr:nvSpPr>
        <xdr:cNvPr id="35" name="34 CuadroTexto">
          <a:extLst>
            <a:ext uri="{FF2B5EF4-FFF2-40B4-BE49-F238E27FC236}">
              <a16:creationId xmlns:a16="http://schemas.microsoft.com/office/drawing/2014/main" id="{00000000-0008-0000-0A00-000023000000}"/>
            </a:ext>
          </a:extLst>
        </xdr:cNvPr>
        <xdr:cNvSpPr txBox="1"/>
      </xdr:nvSpPr>
      <xdr:spPr>
        <a:xfrm>
          <a:off x="1973172" y="56652310"/>
          <a:ext cx="865850" cy="18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1719310</xdr:colOff>
      <xdr:row>228</xdr:row>
      <xdr:rowOff>280876</xdr:rowOff>
    </xdr:from>
    <xdr:to>
      <xdr:col>3</xdr:col>
      <xdr:colOff>1003470</xdr:colOff>
      <xdr:row>229</xdr:row>
      <xdr:rowOff>157370</xdr:rowOff>
    </xdr:to>
    <xdr:sp macro="" textlink="">
      <xdr:nvSpPr>
        <xdr:cNvPr id="36" name="35 CuadroTexto">
          <a:extLst>
            <a:ext uri="{FF2B5EF4-FFF2-40B4-BE49-F238E27FC236}">
              <a16:creationId xmlns:a16="http://schemas.microsoft.com/office/drawing/2014/main" id="{00000000-0008-0000-0A00-000024000000}"/>
            </a:ext>
          </a:extLst>
        </xdr:cNvPr>
        <xdr:cNvSpPr txBox="1"/>
      </xdr:nvSpPr>
      <xdr:spPr>
        <a:xfrm>
          <a:off x="3765114" y="56644028"/>
          <a:ext cx="1073204" cy="199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1915194</xdr:colOff>
      <xdr:row>229</xdr:row>
      <xdr:rowOff>280875</xdr:rowOff>
    </xdr:from>
    <xdr:to>
      <xdr:col>2</xdr:col>
      <xdr:colOff>801501</xdr:colOff>
      <xdr:row>230</xdr:row>
      <xdr:rowOff>107674</xdr:rowOff>
    </xdr:to>
    <xdr:sp macro="" textlink="">
      <xdr:nvSpPr>
        <xdr:cNvPr id="37" name="36 CuadroTexto">
          <a:extLst>
            <a:ext uri="{FF2B5EF4-FFF2-40B4-BE49-F238E27FC236}">
              <a16:creationId xmlns:a16="http://schemas.microsoft.com/office/drawing/2014/main" id="{00000000-0008-0000-0A00-000025000000}"/>
            </a:ext>
          </a:extLst>
        </xdr:cNvPr>
        <xdr:cNvSpPr txBox="1"/>
      </xdr:nvSpPr>
      <xdr:spPr>
        <a:xfrm>
          <a:off x="1981455" y="56967049"/>
          <a:ext cx="865850" cy="14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1719310</xdr:colOff>
      <xdr:row>229</xdr:row>
      <xdr:rowOff>289158</xdr:rowOff>
    </xdr:from>
    <xdr:to>
      <xdr:col>3</xdr:col>
      <xdr:colOff>1003470</xdr:colOff>
      <xdr:row>230</xdr:row>
      <xdr:rowOff>157370</xdr:rowOff>
    </xdr:to>
    <xdr:sp macro="" textlink="">
      <xdr:nvSpPr>
        <xdr:cNvPr id="38" name="37 CuadroTexto">
          <a:extLst>
            <a:ext uri="{FF2B5EF4-FFF2-40B4-BE49-F238E27FC236}">
              <a16:creationId xmlns:a16="http://schemas.microsoft.com/office/drawing/2014/main" id="{00000000-0008-0000-0A00-000026000000}"/>
            </a:ext>
          </a:extLst>
        </xdr:cNvPr>
        <xdr:cNvSpPr txBox="1"/>
      </xdr:nvSpPr>
      <xdr:spPr>
        <a:xfrm>
          <a:off x="3765114" y="56975332"/>
          <a:ext cx="1073204" cy="18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1915194</xdr:colOff>
      <xdr:row>234</xdr:row>
      <xdr:rowOff>289159</xdr:rowOff>
    </xdr:from>
    <xdr:to>
      <xdr:col>2</xdr:col>
      <xdr:colOff>801501</xdr:colOff>
      <xdr:row>235</xdr:row>
      <xdr:rowOff>107674</xdr:rowOff>
    </xdr:to>
    <xdr:sp macro="" textlink="">
      <xdr:nvSpPr>
        <xdr:cNvPr id="41" name="40 CuadroTexto">
          <a:extLst>
            <a:ext uri="{FF2B5EF4-FFF2-40B4-BE49-F238E27FC236}">
              <a16:creationId xmlns:a16="http://schemas.microsoft.com/office/drawing/2014/main" id="{00000000-0008-0000-0A00-000029000000}"/>
            </a:ext>
          </a:extLst>
        </xdr:cNvPr>
        <xdr:cNvSpPr txBox="1"/>
      </xdr:nvSpPr>
      <xdr:spPr>
        <a:xfrm>
          <a:off x="1981455" y="57290072"/>
          <a:ext cx="865850" cy="14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1719310</xdr:colOff>
      <xdr:row>234</xdr:row>
      <xdr:rowOff>297442</xdr:rowOff>
    </xdr:from>
    <xdr:to>
      <xdr:col>3</xdr:col>
      <xdr:colOff>1003470</xdr:colOff>
      <xdr:row>235</xdr:row>
      <xdr:rowOff>149088</xdr:rowOff>
    </xdr:to>
    <xdr:sp macro="" textlink="">
      <xdr:nvSpPr>
        <xdr:cNvPr id="42" name="41 CuadroTexto">
          <a:extLst>
            <a:ext uri="{FF2B5EF4-FFF2-40B4-BE49-F238E27FC236}">
              <a16:creationId xmlns:a16="http://schemas.microsoft.com/office/drawing/2014/main" id="{00000000-0008-0000-0A00-00002A000000}"/>
            </a:ext>
          </a:extLst>
        </xdr:cNvPr>
        <xdr:cNvSpPr txBox="1"/>
      </xdr:nvSpPr>
      <xdr:spPr>
        <a:xfrm>
          <a:off x="3765114" y="57613094"/>
          <a:ext cx="1073204" cy="17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1906911</xdr:colOff>
      <xdr:row>235</xdr:row>
      <xdr:rowOff>338854</xdr:rowOff>
    </xdr:from>
    <xdr:to>
      <xdr:col>2</xdr:col>
      <xdr:colOff>793218</xdr:colOff>
      <xdr:row>236</xdr:row>
      <xdr:rowOff>132521</xdr:rowOff>
    </xdr:to>
    <xdr:sp macro="" textlink="">
      <xdr:nvSpPr>
        <xdr:cNvPr id="45" name="44 CuadroTexto">
          <a:extLst>
            <a:ext uri="{FF2B5EF4-FFF2-40B4-BE49-F238E27FC236}">
              <a16:creationId xmlns:a16="http://schemas.microsoft.com/office/drawing/2014/main" id="{00000000-0008-0000-0A00-00002D000000}"/>
            </a:ext>
          </a:extLst>
        </xdr:cNvPr>
        <xdr:cNvSpPr txBox="1"/>
      </xdr:nvSpPr>
      <xdr:spPr>
        <a:xfrm>
          <a:off x="1973172" y="57977528"/>
          <a:ext cx="865850" cy="15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1719310</xdr:colOff>
      <xdr:row>235</xdr:row>
      <xdr:rowOff>338855</xdr:rowOff>
    </xdr:from>
    <xdr:to>
      <xdr:col>3</xdr:col>
      <xdr:colOff>1003470</xdr:colOff>
      <xdr:row>236</xdr:row>
      <xdr:rowOff>157370</xdr:rowOff>
    </xdr:to>
    <xdr:sp macro="" textlink="">
      <xdr:nvSpPr>
        <xdr:cNvPr id="46" name="45 CuadroTexto">
          <a:extLst>
            <a:ext uri="{FF2B5EF4-FFF2-40B4-BE49-F238E27FC236}">
              <a16:creationId xmlns:a16="http://schemas.microsoft.com/office/drawing/2014/main" id="{00000000-0008-0000-0A00-00002E000000}"/>
            </a:ext>
          </a:extLst>
        </xdr:cNvPr>
        <xdr:cNvSpPr txBox="1"/>
      </xdr:nvSpPr>
      <xdr:spPr>
        <a:xfrm>
          <a:off x="3765114" y="57977529"/>
          <a:ext cx="1073204" cy="18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1899201</xdr:colOff>
      <xdr:row>248</xdr:row>
      <xdr:rowOff>373451</xdr:rowOff>
    </xdr:from>
    <xdr:to>
      <xdr:col>2</xdr:col>
      <xdr:colOff>668278</xdr:colOff>
      <xdr:row>249</xdr:row>
      <xdr:rowOff>136344</xdr:rowOff>
    </xdr:to>
    <xdr:sp macro="" textlink="">
      <xdr:nvSpPr>
        <xdr:cNvPr id="49" name="20 CuadroTexto">
          <a:extLst>
            <a:ext uri="{FF2B5EF4-FFF2-40B4-BE49-F238E27FC236}">
              <a16:creationId xmlns:a16="http://schemas.microsoft.com/office/drawing/2014/main" id="{00000000-0008-0000-0A00-000031000000}"/>
            </a:ext>
          </a:extLst>
        </xdr:cNvPr>
        <xdr:cNvSpPr txBox="1"/>
      </xdr:nvSpPr>
      <xdr:spPr>
        <a:xfrm>
          <a:off x="1965462" y="63569755"/>
          <a:ext cx="748620" cy="160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1727593</xdr:colOff>
      <xdr:row>248</xdr:row>
      <xdr:rowOff>372271</xdr:rowOff>
    </xdr:from>
    <xdr:to>
      <xdr:col>3</xdr:col>
      <xdr:colOff>894522</xdr:colOff>
      <xdr:row>249</xdr:row>
      <xdr:rowOff>115957</xdr:rowOff>
    </xdr:to>
    <xdr:sp macro="" textlink="">
      <xdr:nvSpPr>
        <xdr:cNvPr id="50" name="21 CuadroTexto">
          <a:extLst>
            <a:ext uri="{FF2B5EF4-FFF2-40B4-BE49-F238E27FC236}">
              <a16:creationId xmlns:a16="http://schemas.microsoft.com/office/drawing/2014/main" id="{00000000-0008-0000-0A00-000032000000}"/>
            </a:ext>
          </a:extLst>
        </xdr:cNvPr>
        <xdr:cNvSpPr txBox="1"/>
      </xdr:nvSpPr>
      <xdr:spPr>
        <a:xfrm>
          <a:off x="3773397" y="63568575"/>
          <a:ext cx="955973" cy="141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1898762</xdr:colOff>
      <xdr:row>244</xdr:row>
      <xdr:rowOff>255365</xdr:rowOff>
    </xdr:from>
    <xdr:to>
      <xdr:col>2</xdr:col>
      <xdr:colOff>667839</xdr:colOff>
      <xdr:row>245</xdr:row>
      <xdr:rowOff>152789</xdr:rowOff>
    </xdr:to>
    <xdr:sp macro="" textlink="">
      <xdr:nvSpPr>
        <xdr:cNvPr id="53" name="20 CuadroTexto">
          <a:extLst>
            <a:ext uri="{FF2B5EF4-FFF2-40B4-BE49-F238E27FC236}">
              <a16:creationId xmlns:a16="http://schemas.microsoft.com/office/drawing/2014/main" id="{00000000-0008-0000-0A00-000035000000}"/>
            </a:ext>
          </a:extLst>
        </xdr:cNvPr>
        <xdr:cNvSpPr txBox="1"/>
      </xdr:nvSpPr>
      <xdr:spPr>
        <a:xfrm>
          <a:off x="1964246" y="58405490"/>
          <a:ext cx="751468" cy="218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1722873</xdr:colOff>
      <xdr:row>244</xdr:row>
      <xdr:rowOff>286897</xdr:rowOff>
    </xdr:from>
    <xdr:to>
      <xdr:col>3</xdr:col>
      <xdr:colOff>985052</xdr:colOff>
      <xdr:row>245</xdr:row>
      <xdr:rowOff>183590</xdr:rowOff>
    </xdr:to>
    <xdr:sp macro="" textlink="">
      <xdr:nvSpPr>
        <xdr:cNvPr id="54" name="21 CuadroTexto">
          <a:extLst>
            <a:ext uri="{FF2B5EF4-FFF2-40B4-BE49-F238E27FC236}">
              <a16:creationId xmlns:a16="http://schemas.microsoft.com/office/drawing/2014/main" id="{00000000-0008-0000-0A00-000036000000}"/>
            </a:ext>
          </a:extLst>
        </xdr:cNvPr>
        <xdr:cNvSpPr txBox="1"/>
      </xdr:nvSpPr>
      <xdr:spPr>
        <a:xfrm>
          <a:off x="3768677" y="61975767"/>
          <a:ext cx="1051223" cy="219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1721826</xdr:colOff>
      <xdr:row>310</xdr:row>
      <xdr:rowOff>168519</xdr:rowOff>
    </xdr:from>
    <xdr:to>
      <xdr:col>3</xdr:col>
      <xdr:colOff>681402</xdr:colOff>
      <xdr:row>311</xdr:row>
      <xdr:rowOff>87921</xdr:rowOff>
    </xdr:to>
    <xdr:sp macro="" textlink="">
      <xdr:nvSpPr>
        <xdr:cNvPr id="55" name="18 CuadroTexto">
          <a:extLst>
            <a:ext uri="{FF2B5EF4-FFF2-40B4-BE49-F238E27FC236}">
              <a16:creationId xmlns:a16="http://schemas.microsoft.com/office/drawing/2014/main" id="{00000000-0008-0000-0A00-000037000000}"/>
            </a:ext>
          </a:extLst>
        </xdr:cNvPr>
        <xdr:cNvSpPr txBox="1"/>
      </xdr:nvSpPr>
      <xdr:spPr>
        <a:xfrm>
          <a:off x="3766038" y="70858673"/>
          <a:ext cx="747345" cy="146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1707930</xdr:colOff>
      <xdr:row>311</xdr:row>
      <xdr:rowOff>226123</xdr:rowOff>
    </xdr:from>
    <xdr:to>
      <xdr:col>3</xdr:col>
      <xdr:colOff>953258</xdr:colOff>
      <xdr:row>312</xdr:row>
      <xdr:rowOff>132895</xdr:rowOff>
    </xdr:to>
    <xdr:sp macro="" textlink="">
      <xdr:nvSpPr>
        <xdr:cNvPr id="56" name="18 CuadroTexto">
          <a:extLst>
            <a:ext uri="{FF2B5EF4-FFF2-40B4-BE49-F238E27FC236}">
              <a16:creationId xmlns:a16="http://schemas.microsoft.com/office/drawing/2014/main" id="{00000000-0008-0000-0A00-000038000000}"/>
            </a:ext>
          </a:extLst>
        </xdr:cNvPr>
        <xdr:cNvSpPr txBox="1"/>
      </xdr:nvSpPr>
      <xdr:spPr>
        <a:xfrm>
          <a:off x="3752142" y="71143411"/>
          <a:ext cx="1033097" cy="170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1.625 UVT</a:t>
          </a:r>
        </a:p>
      </xdr:txBody>
    </xdr:sp>
    <xdr:clientData/>
  </xdr:twoCellAnchor>
  <xdr:twoCellAnchor>
    <xdr:from>
      <xdr:col>2</xdr:col>
      <xdr:colOff>1735722</xdr:colOff>
      <xdr:row>312</xdr:row>
      <xdr:rowOff>196058</xdr:rowOff>
    </xdr:from>
    <xdr:to>
      <xdr:col>3</xdr:col>
      <xdr:colOff>695298</xdr:colOff>
      <xdr:row>313</xdr:row>
      <xdr:rowOff>159422</xdr:rowOff>
    </xdr:to>
    <xdr:sp macro="" textlink="">
      <xdr:nvSpPr>
        <xdr:cNvPr id="57" name="18 CuadroTexto">
          <a:extLst>
            <a:ext uri="{FF2B5EF4-FFF2-40B4-BE49-F238E27FC236}">
              <a16:creationId xmlns:a16="http://schemas.microsoft.com/office/drawing/2014/main" id="{00000000-0008-0000-0A00-000039000000}"/>
            </a:ext>
          </a:extLst>
        </xdr:cNvPr>
        <xdr:cNvSpPr txBox="1"/>
      </xdr:nvSpPr>
      <xdr:spPr>
        <a:xfrm>
          <a:off x="3779934" y="71377116"/>
          <a:ext cx="747345" cy="21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1739311</xdr:colOff>
      <xdr:row>313</xdr:row>
      <xdr:rowOff>215310</xdr:rowOff>
    </xdr:from>
    <xdr:to>
      <xdr:col>3</xdr:col>
      <xdr:colOff>984639</xdr:colOff>
      <xdr:row>314</xdr:row>
      <xdr:rowOff>156695</xdr:rowOff>
    </xdr:to>
    <xdr:sp macro="" textlink="">
      <xdr:nvSpPr>
        <xdr:cNvPr id="58" name="18 CuadroTexto">
          <a:extLst>
            <a:ext uri="{FF2B5EF4-FFF2-40B4-BE49-F238E27FC236}">
              <a16:creationId xmlns:a16="http://schemas.microsoft.com/office/drawing/2014/main" id="{00000000-0008-0000-0A00-00003A000000}"/>
            </a:ext>
          </a:extLst>
        </xdr:cNvPr>
        <xdr:cNvSpPr txBox="1"/>
      </xdr:nvSpPr>
      <xdr:spPr>
        <a:xfrm>
          <a:off x="3783523" y="71652810"/>
          <a:ext cx="1033097" cy="20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1.625 UVT</a:t>
          </a:r>
        </a:p>
      </xdr:txBody>
    </xdr:sp>
    <xdr:clientData/>
  </xdr:twoCellAnchor>
  <xdr:twoCellAnchor>
    <xdr:from>
      <xdr:col>0</xdr:col>
      <xdr:colOff>14652</xdr:colOff>
      <xdr:row>133</xdr:row>
      <xdr:rowOff>212482</xdr:rowOff>
    </xdr:from>
    <xdr:to>
      <xdr:col>1</xdr:col>
      <xdr:colOff>1487365</xdr:colOff>
      <xdr:row>134</xdr:row>
      <xdr:rowOff>117230</xdr:rowOff>
    </xdr:to>
    <xdr:sp macro="" textlink="">
      <xdr:nvSpPr>
        <xdr:cNvPr id="59" name="58 CuadroTexto">
          <a:extLst>
            <a:ext uri="{FF2B5EF4-FFF2-40B4-BE49-F238E27FC236}">
              <a16:creationId xmlns:a16="http://schemas.microsoft.com/office/drawing/2014/main" id="{00000000-0008-0000-0A00-00003B000000}"/>
            </a:ext>
          </a:extLst>
        </xdr:cNvPr>
        <xdr:cNvSpPr txBox="1"/>
      </xdr:nvSpPr>
      <xdr:spPr>
        <a:xfrm>
          <a:off x="14652" y="40942847"/>
          <a:ext cx="1538655" cy="1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1918187</xdr:colOff>
      <xdr:row>133</xdr:row>
      <xdr:rowOff>225670</xdr:rowOff>
    </xdr:from>
    <xdr:to>
      <xdr:col>2</xdr:col>
      <xdr:colOff>1670539</xdr:colOff>
      <xdr:row>134</xdr:row>
      <xdr:rowOff>278423</xdr:rowOff>
    </xdr:to>
    <xdr:sp macro="" textlink="">
      <xdr:nvSpPr>
        <xdr:cNvPr id="60" name="59 CuadroTexto">
          <a:extLst>
            <a:ext uri="{FF2B5EF4-FFF2-40B4-BE49-F238E27FC236}">
              <a16:creationId xmlns:a16="http://schemas.microsoft.com/office/drawing/2014/main" id="{00000000-0008-0000-0A00-00003C000000}"/>
            </a:ext>
          </a:extLst>
        </xdr:cNvPr>
        <xdr:cNvSpPr txBox="1"/>
      </xdr:nvSpPr>
      <xdr:spPr>
        <a:xfrm>
          <a:off x="1984129" y="38142497"/>
          <a:ext cx="1730622" cy="316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1733549</xdr:colOff>
      <xdr:row>133</xdr:row>
      <xdr:rowOff>231531</xdr:rowOff>
    </xdr:from>
    <xdr:to>
      <xdr:col>4</xdr:col>
      <xdr:colOff>43961</xdr:colOff>
      <xdr:row>134</xdr:row>
      <xdr:rowOff>146539</xdr:rowOff>
    </xdr:to>
    <xdr:sp macro="" textlink="">
      <xdr:nvSpPr>
        <xdr:cNvPr id="61" name="60 CuadroTexto">
          <a:extLst>
            <a:ext uri="{FF2B5EF4-FFF2-40B4-BE49-F238E27FC236}">
              <a16:creationId xmlns:a16="http://schemas.microsoft.com/office/drawing/2014/main" id="{00000000-0008-0000-0A00-00003D000000}"/>
            </a:ext>
          </a:extLst>
        </xdr:cNvPr>
        <xdr:cNvSpPr txBox="1"/>
      </xdr:nvSpPr>
      <xdr:spPr>
        <a:xfrm>
          <a:off x="3777761" y="37437646"/>
          <a:ext cx="1885950" cy="178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b="1"/>
            <a:t>AÑO</a:t>
          </a:r>
          <a:r>
            <a:rPr lang="es-CO" sz="500" b="1" baseline="0"/>
            <a:t> 2017 Y SUBSIGUIENTES  PARAGRAFO 2 ART 49 E.T.</a:t>
          </a:r>
          <a:endParaRPr lang="es-CO" sz="500" b="1"/>
        </a:p>
      </xdr:txBody>
    </xdr:sp>
    <xdr:clientData/>
  </xdr:twoCellAnchor>
  <xdr:twoCellAnchor>
    <xdr:from>
      <xdr:col>0</xdr:col>
      <xdr:colOff>0</xdr:colOff>
      <xdr:row>80</xdr:row>
      <xdr:rowOff>271097</xdr:rowOff>
    </xdr:from>
    <xdr:to>
      <xdr:col>1</xdr:col>
      <xdr:colOff>1941634</xdr:colOff>
      <xdr:row>81</xdr:row>
      <xdr:rowOff>175815</xdr:rowOff>
    </xdr:to>
    <xdr:sp macro="" textlink="">
      <xdr:nvSpPr>
        <xdr:cNvPr id="62" name="61 CuadroTexto">
          <a:extLst>
            <a:ext uri="{FF2B5EF4-FFF2-40B4-BE49-F238E27FC236}">
              <a16:creationId xmlns:a16="http://schemas.microsoft.com/office/drawing/2014/main" id="{00000000-0008-0000-0A00-00003E000000}"/>
            </a:ext>
          </a:extLst>
        </xdr:cNvPr>
        <xdr:cNvSpPr txBox="1"/>
      </xdr:nvSpPr>
      <xdr:spPr>
        <a:xfrm>
          <a:off x="0" y="26208405"/>
          <a:ext cx="2007576" cy="197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1925515</xdr:colOff>
      <xdr:row>80</xdr:row>
      <xdr:rowOff>262304</xdr:rowOff>
    </xdr:from>
    <xdr:to>
      <xdr:col>3</xdr:col>
      <xdr:colOff>2</xdr:colOff>
      <xdr:row>81</xdr:row>
      <xdr:rowOff>234461</xdr:rowOff>
    </xdr:to>
    <xdr:sp macro="" textlink="">
      <xdr:nvSpPr>
        <xdr:cNvPr id="63" name="62 CuadroTexto">
          <a:extLst>
            <a:ext uri="{FF2B5EF4-FFF2-40B4-BE49-F238E27FC236}">
              <a16:creationId xmlns:a16="http://schemas.microsoft.com/office/drawing/2014/main" id="{00000000-0008-0000-0A00-00003F000000}"/>
            </a:ext>
          </a:extLst>
        </xdr:cNvPr>
        <xdr:cNvSpPr txBox="1"/>
      </xdr:nvSpPr>
      <xdr:spPr>
        <a:xfrm>
          <a:off x="1991457" y="26199612"/>
          <a:ext cx="1730622" cy="265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1711568</xdr:colOff>
      <xdr:row>80</xdr:row>
      <xdr:rowOff>192998</xdr:rowOff>
    </xdr:from>
    <xdr:to>
      <xdr:col>3</xdr:col>
      <xdr:colOff>1815353</xdr:colOff>
      <xdr:row>81</xdr:row>
      <xdr:rowOff>179294</xdr:rowOff>
    </xdr:to>
    <xdr:sp macro="" textlink="">
      <xdr:nvSpPr>
        <xdr:cNvPr id="64" name="63 CuadroTexto">
          <a:hlinkClick xmlns:r="http://schemas.openxmlformats.org/officeDocument/2006/relationships" r:id="rId2"/>
          <a:extLst>
            <a:ext uri="{FF2B5EF4-FFF2-40B4-BE49-F238E27FC236}">
              <a16:creationId xmlns:a16="http://schemas.microsoft.com/office/drawing/2014/main" id="{00000000-0008-0000-0A00-000040000000}"/>
            </a:ext>
          </a:extLst>
        </xdr:cNvPr>
        <xdr:cNvSpPr txBox="1"/>
      </xdr:nvSpPr>
      <xdr:spPr>
        <a:xfrm>
          <a:off x="3751039" y="26538027"/>
          <a:ext cx="1885520" cy="210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b="1"/>
            <a:t>AÑO</a:t>
          </a:r>
          <a:r>
            <a:rPr lang="es-CO" sz="600" b="1" baseline="0"/>
            <a:t> 2017 Y SUBSIGUIENTES  PARAGRAFO 2 ART 49 E.T.</a:t>
          </a:r>
          <a:endParaRPr lang="es-CO" sz="600" b="1"/>
        </a:p>
      </xdr:txBody>
    </xdr:sp>
    <xdr:clientData/>
  </xdr:twoCellAnchor>
  <xdr:twoCellAnchor>
    <xdr:from>
      <xdr:col>2</xdr:col>
      <xdr:colOff>1727662</xdr:colOff>
      <xdr:row>291</xdr:row>
      <xdr:rowOff>325997</xdr:rowOff>
    </xdr:from>
    <xdr:to>
      <xdr:col>3</xdr:col>
      <xdr:colOff>1412605</xdr:colOff>
      <xdr:row>292</xdr:row>
      <xdr:rowOff>95250</xdr:rowOff>
    </xdr:to>
    <xdr:sp macro="" textlink="">
      <xdr:nvSpPr>
        <xdr:cNvPr id="65" name="19 CuadroTexto">
          <a:extLst>
            <a:ext uri="{FF2B5EF4-FFF2-40B4-BE49-F238E27FC236}">
              <a16:creationId xmlns:a16="http://schemas.microsoft.com/office/drawing/2014/main" id="{00000000-0008-0000-0A00-000041000000}"/>
            </a:ext>
          </a:extLst>
        </xdr:cNvPr>
        <xdr:cNvSpPr txBox="1"/>
      </xdr:nvSpPr>
      <xdr:spPr>
        <a:xfrm>
          <a:off x="3775537" y="68601197"/>
          <a:ext cx="1475643" cy="14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1</xdr:col>
      <xdr:colOff>1905000</xdr:colOff>
      <xdr:row>290</xdr:row>
      <xdr:rowOff>250429</xdr:rowOff>
    </xdr:from>
    <xdr:to>
      <xdr:col>2</xdr:col>
      <xdr:colOff>676605</xdr:colOff>
      <xdr:row>291</xdr:row>
      <xdr:rowOff>174861</xdr:rowOff>
    </xdr:to>
    <xdr:sp macro="" textlink="">
      <xdr:nvSpPr>
        <xdr:cNvPr id="68" name="24 CuadroTexto">
          <a:extLst>
            <a:ext uri="{FF2B5EF4-FFF2-40B4-BE49-F238E27FC236}">
              <a16:creationId xmlns:a16="http://schemas.microsoft.com/office/drawing/2014/main" id="{00000000-0008-0000-0A00-000044000000}"/>
            </a:ext>
          </a:extLst>
        </xdr:cNvPr>
        <xdr:cNvSpPr txBox="1"/>
      </xdr:nvSpPr>
      <xdr:spPr>
        <a:xfrm>
          <a:off x="1970690" y="66616688"/>
          <a:ext cx="755432" cy="21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1737263</xdr:colOff>
      <xdr:row>290</xdr:row>
      <xdr:rowOff>262101</xdr:rowOff>
    </xdr:from>
    <xdr:to>
      <xdr:col>3</xdr:col>
      <xdr:colOff>1020161</xdr:colOff>
      <xdr:row>291</xdr:row>
      <xdr:rowOff>185069</xdr:rowOff>
    </xdr:to>
    <xdr:sp macro="" textlink="">
      <xdr:nvSpPr>
        <xdr:cNvPr id="69" name="25 CuadroTexto">
          <a:extLst>
            <a:ext uri="{FF2B5EF4-FFF2-40B4-BE49-F238E27FC236}">
              <a16:creationId xmlns:a16="http://schemas.microsoft.com/office/drawing/2014/main" id="{00000000-0008-0000-0A00-000045000000}"/>
            </a:ext>
          </a:extLst>
        </xdr:cNvPr>
        <xdr:cNvSpPr txBox="1"/>
      </xdr:nvSpPr>
      <xdr:spPr>
        <a:xfrm>
          <a:off x="3785138" y="68222976"/>
          <a:ext cx="1073598" cy="237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1746712</xdr:colOff>
      <xdr:row>288</xdr:row>
      <xdr:rowOff>295275</xdr:rowOff>
    </xdr:from>
    <xdr:to>
      <xdr:col>3</xdr:col>
      <xdr:colOff>1431655</xdr:colOff>
      <xdr:row>289</xdr:row>
      <xdr:rowOff>133350</xdr:rowOff>
    </xdr:to>
    <xdr:sp macro="" textlink="">
      <xdr:nvSpPr>
        <xdr:cNvPr id="70" name="19 CuadroTexto">
          <a:extLst>
            <a:ext uri="{FF2B5EF4-FFF2-40B4-BE49-F238E27FC236}">
              <a16:creationId xmlns:a16="http://schemas.microsoft.com/office/drawing/2014/main" id="{00000000-0008-0000-0A00-000046000000}"/>
            </a:ext>
          </a:extLst>
        </xdr:cNvPr>
        <xdr:cNvSpPr txBox="1"/>
      </xdr:nvSpPr>
      <xdr:spPr>
        <a:xfrm>
          <a:off x="3794587" y="67598925"/>
          <a:ext cx="1475643"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1</xdr:col>
      <xdr:colOff>1924049</xdr:colOff>
      <xdr:row>287</xdr:row>
      <xdr:rowOff>296741</xdr:rowOff>
    </xdr:from>
    <xdr:to>
      <xdr:col>2</xdr:col>
      <xdr:colOff>835269</xdr:colOff>
      <xdr:row>288</xdr:row>
      <xdr:rowOff>104775</xdr:rowOff>
    </xdr:to>
    <xdr:sp macro="" textlink="">
      <xdr:nvSpPr>
        <xdr:cNvPr id="73" name="24 CuadroTexto">
          <a:extLst>
            <a:ext uri="{FF2B5EF4-FFF2-40B4-BE49-F238E27FC236}">
              <a16:creationId xmlns:a16="http://schemas.microsoft.com/office/drawing/2014/main" id="{00000000-0008-0000-0A00-000049000000}"/>
            </a:ext>
          </a:extLst>
        </xdr:cNvPr>
        <xdr:cNvSpPr txBox="1"/>
      </xdr:nvSpPr>
      <xdr:spPr>
        <a:xfrm>
          <a:off x="1990724" y="67267016"/>
          <a:ext cx="892420" cy="141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1721826</xdr:colOff>
      <xdr:row>287</xdr:row>
      <xdr:rowOff>289415</xdr:rowOff>
    </xdr:from>
    <xdr:to>
      <xdr:col>3</xdr:col>
      <xdr:colOff>1206648</xdr:colOff>
      <xdr:row>288</xdr:row>
      <xdr:rowOff>199193</xdr:rowOff>
    </xdr:to>
    <xdr:sp macro="" textlink="">
      <xdr:nvSpPr>
        <xdr:cNvPr id="74" name="25 CuadroTexto">
          <a:extLst>
            <a:ext uri="{FF2B5EF4-FFF2-40B4-BE49-F238E27FC236}">
              <a16:creationId xmlns:a16="http://schemas.microsoft.com/office/drawing/2014/main" id="{00000000-0008-0000-0A00-00004A000000}"/>
            </a:ext>
          </a:extLst>
        </xdr:cNvPr>
        <xdr:cNvSpPr txBox="1"/>
      </xdr:nvSpPr>
      <xdr:spPr>
        <a:xfrm>
          <a:off x="3769701" y="66935840"/>
          <a:ext cx="1275522" cy="243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1913282</xdr:colOff>
      <xdr:row>241</xdr:row>
      <xdr:rowOff>215348</xdr:rowOff>
    </xdr:from>
    <xdr:to>
      <xdr:col>2</xdr:col>
      <xdr:colOff>686643</xdr:colOff>
      <xdr:row>242</xdr:row>
      <xdr:rowOff>171322</xdr:rowOff>
    </xdr:to>
    <xdr:sp macro="" textlink="">
      <xdr:nvSpPr>
        <xdr:cNvPr id="79" name="20 CuadroTexto">
          <a:extLst>
            <a:ext uri="{FF2B5EF4-FFF2-40B4-BE49-F238E27FC236}">
              <a16:creationId xmlns:a16="http://schemas.microsoft.com/office/drawing/2014/main" id="{00000000-0008-0000-0A00-00004F000000}"/>
            </a:ext>
          </a:extLst>
        </xdr:cNvPr>
        <xdr:cNvSpPr txBox="1"/>
      </xdr:nvSpPr>
      <xdr:spPr>
        <a:xfrm>
          <a:off x="1979543" y="60984848"/>
          <a:ext cx="752904" cy="212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1</xdr:col>
      <xdr:colOff>1924707</xdr:colOff>
      <xdr:row>242</xdr:row>
      <xdr:rowOff>304800</xdr:rowOff>
    </xdr:from>
    <xdr:to>
      <xdr:col>2</xdr:col>
      <xdr:colOff>878145</xdr:colOff>
      <xdr:row>243</xdr:row>
      <xdr:rowOff>190983</xdr:rowOff>
    </xdr:to>
    <xdr:sp macro="" textlink="">
      <xdr:nvSpPr>
        <xdr:cNvPr id="81" name="21 CuadroTexto">
          <a:extLst>
            <a:ext uri="{FF2B5EF4-FFF2-40B4-BE49-F238E27FC236}">
              <a16:creationId xmlns:a16="http://schemas.microsoft.com/office/drawing/2014/main" id="{00000000-0008-0000-0A00-000051000000}"/>
            </a:ext>
          </a:extLst>
        </xdr:cNvPr>
        <xdr:cNvSpPr txBox="1"/>
      </xdr:nvSpPr>
      <xdr:spPr>
        <a:xfrm>
          <a:off x="1991382" y="60855225"/>
          <a:ext cx="934638" cy="229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1905614</xdr:colOff>
      <xdr:row>243</xdr:row>
      <xdr:rowOff>290800</xdr:rowOff>
    </xdr:from>
    <xdr:to>
      <xdr:col>2</xdr:col>
      <xdr:colOff>875109</xdr:colOff>
      <xdr:row>244</xdr:row>
      <xdr:rowOff>139715</xdr:rowOff>
    </xdr:to>
    <xdr:sp macro="" textlink="">
      <xdr:nvSpPr>
        <xdr:cNvPr id="83" name="18 CuadroTexto">
          <a:extLst>
            <a:ext uri="{FF2B5EF4-FFF2-40B4-BE49-F238E27FC236}">
              <a16:creationId xmlns:a16="http://schemas.microsoft.com/office/drawing/2014/main" id="{00000000-0008-0000-0A00-000053000000}"/>
            </a:ext>
          </a:extLst>
        </xdr:cNvPr>
        <xdr:cNvSpPr txBox="1"/>
      </xdr:nvSpPr>
      <xdr:spPr>
        <a:xfrm>
          <a:off x="1971098" y="58119456"/>
          <a:ext cx="951886" cy="170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RENTA DE</a:t>
          </a:r>
          <a:r>
            <a:rPr lang="es-CO" sz="700" b="1" baseline="0"/>
            <a:t> TRABAJO</a:t>
          </a:r>
          <a:endParaRPr lang="es-CO" sz="700" b="1"/>
        </a:p>
      </xdr:txBody>
    </xdr:sp>
    <xdr:clientData/>
  </xdr:twoCellAnchor>
  <xdr:twoCellAnchor>
    <xdr:from>
      <xdr:col>1</xdr:col>
      <xdr:colOff>1896914</xdr:colOff>
      <xdr:row>247</xdr:row>
      <xdr:rowOff>408792</xdr:rowOff>
    </xdr:from>
    <xdr:to>
      <xdr:col>3</xdr:col>
      <xdr:colOff>21121</xdr:colOff>
      <xdr:row>248</xdr:row>
      <xdr:rowOff>278423</xdr:rowOff>
    </xdr:to>
    <xdr:sp macro="" textlink="">
      <xdr:nvSpPr>
        <xdr:cNvPr id="84" name="18 CuadroTexto">
          <a:extLst>
            <a:ext uri="{FF2B5EF4-FFF2-40B4-BE49-F238E27FC236}">
              <a16:creationId xmlns:a16="http://schemas.microsoft.com/office/drawing/2014/main" id="{00000000-0008-0000-0A00-000054000000}"/>
            </a:ext>
          </a:extLst>
        </xdr:cNvPr>
        <xdr:cNvSpPr txBox="1"/>
      </xdr:nvSpPr>
      <xdr:spPr>
        <a:xfrm>
          <a:off x="1962856" y="59397850"/>
          <a:ext cx="1780342" cy="287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 </a:t>
          </a:r>
        </a:p>
      </xdr:txBody>
    </xdr:sp>
    <xdr:clientData/>
  </xdr:twoCellAnchor>
  <xdr:twoCellAnchor>
    <xdr:from>
      <xdr:col>1</xdr:col>
      <xdr:colOff>1940145</xdr:colOff>
      <xdr:row>283</xdr:row>
      <xdr:rowOff>276225</xdr:rowOff>
    </xdr:from>
    <xdr:to>
      <xdr:col>2</xdr:col>
      <xdr:colOff>1085851</xdr:colOff>
      <xdr:row>287</xdr:row>
      <xdr:rowOff>114300</xdr:rowOff>
    </xdr:to>
    <xdr:sp macro="" textlink="">
      <xdr:nvSpPr>
        <xdr:cNvPr id="85" name="18 CuadroTexto">
          <a:extLst>
            <a:ext uri="{FF2B5EF4-FFF2-40B4-BE49-F238E27FC236}">
              <a16:creationId xmlns:a16="http://schemas.microsoft.com/office/drawing/2014/main" id="{00000000-0008-0000-0A00-000055000000}"/>
            </a:ext>
          </a:extLst>
        </xdr:cNvPr>
        <xdr:cNvSpPr txBox="1"/>
      </xdr:nvSpPr>
      <xdr:spPr>
        <a:xfrm>
          <a:off x="2006820" y="66932175"/>
          <a:ext cx="11269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RENTA</a:t>
          </a:r>
          <a:r>
            <a:rPr lang="es-CO" sz="800" baseline="0"/>
            <a:t> DE TRABAJO</a:t>
          </a:r>
          <a:endParaRPr lang="es-CO" sz="800"/>
        </a:p>
      </xdr:txBody>
    </xdr:sp>
    <xdr:clientData/>
  </xdr:twoCellAnchor>
  <xdr:twoCellAnchor>
    <xdr:from>
      <xdr:col>2</xdr:col>
      <xdr:colOff>1708109</xdr:colOff>
      <xdr:row>243</xdr:row>
      <xdr:rowOff>310260</xdr:rowOff>
    </xdr:from>
    <xdr:to>
      <xdr:col>3</xdr:col>
      <xdr:colOff>1482586</xdr:colOff>
      <xdr:row>244</xdr:row>
      <xdr:rowOff>205773</xdr:rowOff>
    </xdr:to>
    <xdr:sp macro="" textlink="">
      <xdr:nvSpPr>
        <xdr:cNvPr id="88" name="23 CuadroTexto">
          <a:extLst>
            <a:ext uri="{FF2B5EF4-FFF2-40B4-BE49-F238E27FC236}">
              <a16:creationId xmlns:a16="http://schemas.microsoft.com/office/drawing/2014/main" id="{00000000-0008-0000-0A00-000058000000}"/>
            </a:ext>
          </a:extLst>
        </xdr:cNvPr>
        <xdr:cNvSpPr txBox="1"/>
      </xdr:nvSpPr>
      <xdr:spPr>
        <a:xfrm>
          <a:off x="3753913" y="61676108"/>
          <a:ext cx="1563521" cy="21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DE TRABAJO QUE NO PROVIDE UNA REL.</a:t>
          </a:r>
          <a:r>
            <a:rPr lang="es-CO" sz="500" baseline="0"/>
            <a:t> LAB</a:t>
          </a:r>
          <a:endParaRPr lang="es-CO" sz="500"/>
        </a:p>
      </xdr:txBody>
    </xdr:sp>
    <xdr:clientData/>
  </xdr:twoCellAnchor>
  <xdr:twoCellAnchor>
    <xdr:from>
      <xdr:col>1</xdr:col>
      <xdr:colOff>1905000</xdr:colOff>
      <xdr:row>123</xdr:row>
      <xdr:rowOff>454953</xdr:rowOff>
    </xdr:from>
    <xdr:to>
      <xdr:col>2</xdr:col>
      <xdr:colOff>1085022</xdr:colOff>
      <xdr:row>124</xdr:row>
      <xdr:rowOff>140805</xdr:rowOff>
    </xdr:to>
    <xdr:sp macro="" textlink="">
      <xdr:nvSpPr>
        <xdr:cNvPr id="17" name="24 CuadroTexto">
          <a:extLst>
            <a:ext uri="{FF2B5EF4-FFF2-40B4-BE49-F238E27FC236}">
              <a16:creationId xmlns:a16="http://schemas.microsoft.com/office/drawing/2014/main" id="{4998C9C0-85A0-491D-8575-B13C763C991D}"/>
            </a:ext>
          </a:extLst>
        </xdr:cNvPr>
        <xdr:cNvSpPr txBox="1"/>
      </xdr:nvSpPr>
      <xdr:spPr>
        <a:xfrm>
          <a:off x="1971261" y="34836062"/>
          <a:ext cx="1159565" cy="14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1736513</xdr:colOff>
      <xdr:row>123</xdr:row>
      <xdr:rowOff>428117</xdr:rowOff>
    </xdr:from>
    <xdr:to>
      <xdr:col>3</xdr:col>
      <xdr:colOff>1221335</xdr:colOff>
      <xdr:row>124</xdr:row>
      <xdr:rowOff>115957</xdr:rowOff>
    </xdr:to>
    <xdr:sp macro="" textlink="">
      <xdr:nvSpPr>
        <xdr:cNvPr id="18" name="25 CuadroTexto">
          <a:extLst>
            <a:ext uri="{FF2B5EF4-FFF2-40B4-BE49-F238E27FC236}">
              <a16:creationId xmlns:a16="http://schemas.microsoft.com/office/drawing/2014/main" id="{8D459708-7712-4AFB-AEFB-0BFC0C15ED51}"/>
            </a:ext>
          </a:extLst>
        </xdr:cNvPr>
        <xdr:cNvSpPr txBox="1"/>
      </xdr:nvSpPr>
      <xdr:spPr>
        <a:xfrm>
          <a:off x="3782317" y="34809226"/>
          <a:ext cx="1273866" cy="151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1919654</xdr:colOff>
      <xdr:row>122</xdr:row>
      <xdr:rowOff>381000</xdr:rowOff>
    </xdr:from>
    <xdr:to>
      <xdr:col>2</xdr:col>
      <xdr:colOff>886557</xdr:colOff>
      <xdr:row>123</xdr:row>
      <xdr:rowOff>139213</xdr:rowOff>
    </xdr:to>
    <xdr:sp macro="" textlink="">
      <xdr:nvSpPr>
        <xdr:cNvPr id="23" name="18 CuadroTexto">
          <a:extLst>
            <a:ext uri="{FF2B5EF4-FFF2-40B4-BE49-F238E27FC236}">
              <a16:creationId xmlns:a16="http://schemas.microsoft.com/office/drawing/2014/main" id="{7CF03126-856E-4300-AFC1-0AA5B855B4D0}"/>
            </a:ext>
          </a:extLst>
        </xdr:cNvPr>
        <xdr:cNvSpPr txBox="1"/>
      </xdr:nvSpPr>
      <xdr:spPr>
        <a:xfrm>
          <a:off x="1985596" y="34040885"/>
          <a:ext cx="945173" cy="161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DE TRABAJO</a:t>
          </a:r>
        </a:p>
      </xdr:txBody>
    </xdr:sp>
    <xdr:clientData/>
  </xdr:twoCellAnchor>
  <xdr:twoCellAnchor>
    <xdr:from>
      <xdr:col>2</xdr:col>
      <xdr:colOff>1700559</xdr:colOff>
      <xdr:row>122</xdr:row>
      <xdr:rowOff>359575</xdr:rowOff>
    </xdr:from>
    <xdr:to>
      <xdr:col>4</xdr:col>
      <xdr:colOff>183172</xdr:colOff>
      <xdr:row>123</xdr:row>
      <xdr:rowOff>300404</xdr:rowOff>
    </xdr:to>
    <xdr:sp macro="" textlink="">
      <xdr:nvSpPr>
        <xdr:cNvPr id="47" name="23 CuadroTexto">
          <a:extLst>
            <a:ext uri="{FF2B5EF4-FFF2-40B4-BE49-F238E27FC236}">
              <a16:creationId xmlns:a16="http://schemas.microsoft.com/office/drawing/2014/main" id="{7622DAE4-3EF1-44DF-8877-79217F1AE616}"/>
            </a:ext>
          </a:extLst>
        </xdr:cNvPr>
        <xdr:cNvSpPr txBox="1"/>
      </xdr:nvSpPr>
      <xdr:spPr>
        <a:xfrm>
          <a:off x="3744771" y="34019460"/>
          <a:ext cx="2058151" cy="343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DE TRABAJO QUE NO PROV.</a:t>
          </a:r>
          <a:r>
            <a:rPr lang="es-CO" sz="600" baseline="0"/>
            <a:t> RELACION LABORAL O LEGAL Y REGLAMENTARIA</a:t>
          </a:r>
          <a:endParaRPr lang="es-CO" sz="600"/>
        </a:p>
      </xdr:txBody>
    </xdr:sp>
    <xdr:clientData/>
  </xdr:twoCellAnchor>
  <xdr:twoCellAnchor>
    <xdr:from>
      <xdr:col>2</xdr:col>
      <xdr:colOff>1732817</xdr:colOff>
      <xdr:row>246</xdr:row>
      <xdr:rowOff>413896</xdr:rowOff>
    </xdr:from>
    <xdr:to>
      <xdr:col>3</xdr:col>
      <xdr:colOff>571500</xdr:colOff>
      <xdr:row>247</xdr:row>
      <xdr:rowOff>91109</xdr:rowOff>
    </xdr:to>
    <xdr:sp macro="" textlink="">
      <xdr:nvSpPr>
        <xdr:cNvPr id="6" name="23 CuadroTexto">
          <a:extLst>
            <a:ext uri="{FF2B5EF4-FFF2-40B4-BE49-F238E27FC236}">
              <a16:creationId xmlns:a16="http://schemas.microsoft.com/office/drawing/2014/main" id="{B3381587-AF72-4E20-8387-DDCDE7C22197}"/>
            </a:ext>
          </a:extLst>
        </xdr:cNvPr>
        <xdr:cNvSpPr txBox="1"/>
      </xdr:nvSpPr>
      <xdr:spPr>
        <a:xfrm>
          <a:off x="3778621" y="62732244"/>
          <a:ext cx="627727" cy="1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CANTIDAD</a:t>
          </a:r>
        </a:p>
      </xdr:txBody>
    </xdr:sp>
    <xdr:clientData/>
  </xdr:twoCellAnchor>
  <xdr:twoCellAnchor>
    <xdr:from>
      <xdr:col>1</xdr:col>
      <xdr:colOff>1905000</xdr:colOff>
      <xdr:row>250</xdr:row>
      <xdr:rowOff>216145</xdr:rowOff>
    </xdr:from>
    <xdr:to>
      <xdr:col>2</xdr:col>
      <xdr:colOff>886557</xdr:colOff>
      <xdr:row>251</xdr:row>
      <xdr:rowOff>117231</xdr:rowOff>
    </xdr:to>
    <xdr:sp macro="" textlink="">
      <xdr:nvSpPr>
        <xdr:cNvPr id="48" name="18 CuadroTexto">
          <a:extLst>
            <a:ext uri="{FF2B5EF4-FFF2-40B4-BE49-F238E27FC236}">
              <a16:creationId xmlns:a16="http://schemas.microsoft.com/office/drawing/2014/main" id="{A0AB7128-CB40-453E-ABC9-621C25003D6E}"/>
            </a:ext>
          </a:extLst>
        </xdr:cNvPr>
        <xdr:cNvSpPr txBox="1"/>
      </xdr:nvSpPr>
      <xdr:spPr>
        <a:xfrm>
          <a:off x="1970942" y="60509395"/>
          <a:ext cx="959827" cy="16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DE TRABAJO</a:t>
          </a:r>
        </a:p>
      </xdr:txBody>
    </xdr:sp>
    <xdr:clientData/>
  </xdr:twoCellAnchor>
  <xdr:twoCellAnchor>
    <xdr:from>
      <xdr:col>1</xdr:col>
      <xdr:colOff>1905000</xdr:colOff>
      <xdr:row>251</xdr:row>
      <xdr:rowOff>268548</xdr:rowOff>
    </xdr:from>
    <xdr:to>
      <xdr:col>2</xdr:col>
      <xdr:colOff>674077</xdr:colOff>
      <xdr:row>252</xdr:row>
      <xdr:rowOff>143257</xdr:rowOff>
    </xdr:to>
    <xdr:sp macro="" textlink="">
      <xdr:nvSpPr>
        <xdr:cNvPr id="71" name="20 CuadroTexto">
          <a:extLst>
            <a:ext uri="{FF2B5EF4-FFF2-40B4-BE49-F238E27FC236}">
              <a16:creationId xmlns:a16="http://schemas.microsoft.com/office/drawing/2014/main" id="{50CB49B8-4802-46CC-9E1C-DE8CF91D8CE1}"/>
            </a:ext>
          </a:extLst>
        </xdr:cNvPr>
        <xdr:cNvSpPr txBox="1"/>
      </xdr:nvSpPr>
      <xdr:spPr>
        <a:xfrm>
          <a:off x="1971261" y="64483613"/>
          <a:ext cx="748620" cy="181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1725013</xdr:colOff>
      <xdr:row>251</xdr:row>
      <xdr:rowOff>266636</xdr:rowOff>
    </xdr:from>
    <xdr:to>
      <xdr:col>3</xdr:col>
      <xdr:colOff>861391</xdr:colOff>
      <xdr:row>252</xdr:row>
      <xdr:rowOff>173676</xdr:rowOff>
    </xdr:to>
    <xdr:sp macro="" textlink="">
      <xdr:nvSpPr>
        <xdr:cNvPr id="76" name="21 CuadroTexto">
          <a:extLst>
            <a:ext uri="{FF2B5EF4-FFF2-40B4-BE49-F238E27FC236}">
              <a16:creationId xmlns:a16="http://schemas.microsoft.com/office/drawing/2014/main" id="{C0E38AF4-27BF-44BC-AE80-5E5FE3657D50}"/>
            </a:ext>
          </a:extLst>
        </xdr:cNvPr>
        <xdr:cNvSpPr txBox="1"/>
      </xdr:nvSpPr>
      <xdr:spPr>
        <a:xfrm>
          <a:off x="3770817" y="64481701"/>
          <a:ext cx="925422" cy="213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1748148</xdr:colOff>
      <xdr:row>250</xdr:row>
      <xdr:rowOff>219166</xdr:rowOff>
    </xdr:from>
    <xdr:to>
      <xdr:col>3</xdr:col>
      <xdr:colOff>1383195</xdr:colOff>
      <xdr:row>251</xdr:row>
      <xdr:rowOff>99393</xdr:rowOff>
    </xdr:to>
    <xdr:sp macro="" textlink="">
      <xdr:nvSpPr>
        <xdr:cNvPr id="77" name="23 CuadroTexto">
          <a:extLst>
            <a:ext uri="{FF2B5EF4-FFF2-40B4-BE49-F238E27FC236}">
              <a16:creationId xmlns:a16="http://schemas.microsoft.com/office/drawing/2014/main" id="{B870A269-284E-46F5-8FE8-19A2FE2F2ACA}"/>
            </a:ext>
          </a:extLst>
        </xdr:cNvPr>
        <xdr:cNvSpPr txBox="1"/>
      </xdr:nvSpPr>
      <xdr:spPr>
        <a:xfrm>
          <a:off x="3793952" y="64169188"/>
          <a:ext cx="1424091" cy="14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RENTAS DE</a:t>
          </a:r>
          <a:r>
            <a:rPr lang="es-CO" sz="600" baseline="0"/>
            <a:t> TRABAJO QUE NO PROV. DE </a:t>
          </a:r>
          <a:endParaRPr lang="es-CO" sz="600"/>
        </a:p>
      </xdr:txBody>
    </xdr:sp>
    <xdr:clientData/>
  </xdr:twoCellAnchor>
  <xdr:twoCellAnchor>
    <xdr:from>
      <xdr:col>1</xdr:col>
      <xdr:colOff>1913283</xdr:colOff>
      <xdr:row>252</xdr:row>
      <xdr:rowOff>307255</xdr:rowOff>
    </xdr:from>
    <xdr:to>
      <xdr:col>2</xdr:col>
      <xdr:colOff>894840</xdr:colOff>
      <xdr:row>253</xdr:row>
      <xdr:rowOff>124240</xdr:rowOff>
    </xdr:to>
    <xdr:sp macro="" textlink="">
      <xdr:nvSpPr>
        <xdr:cNvPr id="75" name="18 CuadroTexto">
          <a:extLst>
            <a:ext uri="{FF2B5EF4-FFF2-40B4-BE49-F238E27FC236}">
              <a16:creationId xmlns:a16="http://schemas.microsoft.com/office/drawing/2014/main" id="{FFB924C6-60F9-4F2C-9C2A-07BFBF77C89C}"/>
            </a:ext>
          </a:extLst>
        </xdr:cNvPr>
        <xdr:cNvSpPr txBox="1"/>
      </xdr:nvSpPr>
      <xdr:spPr>
        <a:xfrm>
          <a:off x="1979544" y="64828777"/>
          <a:ext cx="961100" cy="156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DE TRABAJO</a:t>
          </a:r>
        </a:p>
      </xdr:txBody>
    </xdr:sp>
    <xdr:clientData/>
  </xdr:twoCellAnchor>
  <xdr:twoCellAnchor>
    <xdr:from>
      <xdr:col>1</xdr:col>
      <xdr:colOff>1905000</xdr:colOff>
      <xdr:row>253</xdr:row>
      <xdr:rowOff>285113</xdr:rowOff>
    </xdr:from>
    <xdr:to>
      <xdr:col>2</xdr:col>
      <xdr:colOff>674077</xdr:colOff>
      <xdr:row>254</xdr:row>
      <xdr:rowOff>159822</xdr:rowOff>
    </xdr:to>
    <xdr:sp macro="" textlink="">
      <xdr:nvSpPr>
        <xdr:cNvPr id="78" name="20 CuadroTexto">
          <a:extLst>
            <a:ext uri="{FF2B5EF4-FFF2-40B4-BE49-F238E27FC236}">
              <a16:creationId xmlns:a16="http://schemas.microsoft.com/office/drawing/2014/main" id="{304F9C5B-BC60-43B3-8CA2-08B561905EA3}"/>
            </a:ext>
          </a:extLst>
        </xdr:cNvPr>
        <xdr:cNvSpPr txBox="1"/>
      </xdr:nvSpPr>
      <xdr:spPr>
        <a:xfrm>
          <a:off x="1971261" y="65146222"/>
          <a:ext cx="748620" cy="19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1725012</xdr:colOff>
      <xdr:row>253</xdr:row>
      <xdr:rowOff>274919</xdr:rowOff>
    </xdr:from>
    <xdr:to>
      <xdr:col>3</xdr:col>
      <xdr:colOff>861391</xdr:colOff>
      <xdr:row>254</xdr:row>
      <xdr:rowOff>181959</xdr:rowOff>
    </xdr:to>
    <xdr:sp macro="" textlink="">
      <xdr:nvSpPr>
        <xdr:cNvPr id="80" name="21 CuadroTexto">
          <a:extLst>
            <a:ext uri="{FF2B5EF4-FFF2-40B4-BE49-F238E27FC236}">
              <a16:creationId xmlns:a16="http://schemas.microsoft.com/office/drawing/2014/main" id="{FF88DD8E-4AA7-4CD0-B7A3-30E83D2F7F21}"/>
            </a:ext>
          </a:extLst>
        </xdr:cNvPr>
        <xdr:cNvSpPr txBox="1"/>
      </xdr:nvSpPr>
      <xdr:spPr>
        <a:xfrm>
          <a:off x="3770816" y="65136028"/>
          <a:ext cx="925423" cy="230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1706736</xdr:colOff>
      <xdr:row>252</xdr:row>
      <xdr:rowOff>326840</xdr:rowOff>
    </xdr:from>
    <xdr:to>
      <xdr:col>3</xdr:col>
      <xdr:colOff>1383196</xdr:colOff>
      <xdr:row>253</xdr:row>
      <xdr:rowOff>165653</xdr:rowOff>
    </xdr:to>
    <xdr:sp macro="" textlink="">
      <xdr:nvSpPr>
        <xdr:cNvPr id="92" name="23 CuadroTexto">
          <a:extLst>
            <a:ext uri="{FF2B5EF4-FFF2-40B4-BE49-F238E27FC236}">
              <a16:creationId xmlns:a16="http://schemas.microsoft.com/office/drawing/2014/main" id="{01707E33-99CB-47A3-81B5-795FE0BB1AA1}"/>
            </a:ext>
          </a:extLst>
        </xdr:cNvPr>
        <xdr:cNvSpPr txBox="1"/>
      </xdr:nvSpPr>
      <xdr:spPr>
        <a:xfrm>
          <a:off x="3752540" y="64848362"/>
          <a:ext cx="1465504" cy="17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RENTAS DE</a:t>
          </a:r>
          <a:r>
            <a:rPr lang="es-CO" sz="600" baseline="0"/>
            <a:t> TRABAJO QUE NO PROV. DE </a:t>
          </a:r>
          <a:endParaRPr lang="es-CO" sz="600"/>
        </a:p>
      </xdr:txBody>
    </xdr:sp>
    <xdr:clientData/>
  </xdr:twoCellAnchor>
  <xdr:twoCellAnchor>
    <xdr:from>
      <xdr:col>1</xdr:col>
      <xdr:colOff>1896922</xdr:colOff>
      <xdr:row>121</xdr:row>
      <xdr:rowOff>284840</xdr:rowOff>
    </xdr:from>
    <xdr:to>
      <xdr:col>3</xdr:col>
      <xdr:colOff>0</xdr:colOff>
      <xdr:row>122</xdr:row>
      <xdr:rowOff>241788</xdr:rowOff>
    </xdr:to>
    <xdr:sp macro="" textlink="">
      <xdr:nvSpPr>
        <xdr:cNvPr id="94" name="23 CuadroTexto">
          <a:extLst>
            <a:ext uri="{FF2B5EF4-FFF2-40B4-BE49-F238E27FC236}">
              <a16:creationId xmlns:a16="http://schemas.microsoft.com/office/drawing/2014/main" id="{FFFA8DBD-6B5C-4AD8-971F-1746AD33EDE7}"/>
            </a:ext>
          </a:extLst>
        </xdr:cNvPr>
        <xdr:cNvSpPr txBox="1"/>
      </xdr:nvSpPr>
      <xdr:spPr>
        <a:xfrm>
          <a:off x="1962864" y="33607686"/>
          <a:ext cx="1869117" cy="293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DE TRABAJO QUE NO PROV.</a:t>
          </a:r>
          <a:r>
            <a:rPr lang="es-CO" sz="600" baseline="0"/>
            <a:t> RELACION LABORAL O LEGAL Y REGLAMENTARIA</a:t>
          </a:r>
          <a:endParaRPr lang="es-CO" sz="600"/>
        </a:p>
      </xdr:txBody>
    </xdr:sp>
    <xdr:clientData/>
  </xdr:twoCellAnchor>
  <xdr:twoCellAnchor>
    <xdr:from>
      <xdr:col>1</xdr:col>
      <xdr:colOff>1925516</xdr:colOff>
      <xdr:row>119</xdr:row>
      <xdr:rowOff>328247</xdr:rowOff>
    </xdr:from>
    <xdr:to>
      <xdr:col>2</xdr:col>
      <xdr:colOff>892419</xdr:colOff>
      <xdr:row>120</xdr:row>
      <xdr:rowOff>174382</xdr:rowOff>
    </xdr:to>
    <xdr:sp macro="" textlink="">
      <xdr:nvSpPr>
        <xdr:cNvPr id="95" name="18 CuadroTexto">
          <a:extLst>
            <a:ext uri="{FF2B5EF4-FFF2-40B4-BE49-F238E27FC236}">
              <a16:creationId xmlns:a16="http://schemas.microsoft.com/office/drawing/2014/main" id="{AF3E4612-270C-465E-BB62-653E880C3F72}"/>
            </a:ext>
          </a:extLst>
        </xdr:cNvPr>
        <xdr:cNvSpPr txBox="1"/>
      </xdr:nvSpPr>
      <xdr:spPr>
        <a:xfrm>
          <a:off x="1991458" y="32991670"/>
          <a:ext cx="945173" cy="227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DE TRABAJO</a:t>
          </a:r>
        </a:p>
      </xdr:txBody>
    </xdr:sp>
    <xdr:clientData/>
  </xdr:twoCellAnchor>
  <xdr:twoCellAnchor>
    <xdr:from>
      <xdr:col>1</xdr:col>
      <xdr:colOff>1905001</xdr:colOff>
      <xdr:row>116</xdr:row>
      <xdr:rowOff>468922</xdr:rowOff>
    </xdr:from>
    <xdr:to>
      <xdr:col>2</xdr:col>
      <xdr:colOff>871904</xdr:colOff>
      <xdr:row>117</xdr:row>
      <xdr:rowOff>131885</xdr:rowOff>
    </xdr:to>
    <xdr:sp macro="" textlink="">
      <xdr:nvSpPr>
        <xdr:cNvPr id="96" name="18 CuadroTexto">
          <a:extLst>
            <a:ext uri="{FF2B5EF4-FFF2-40B4-BE49-F238E27FC236}">
              <a16:creationId xmlns:a16="http://schemas.microsoft.com/office/drawing/2014/main" id="{7574AFC8-B6AB-4911-9D40-F7BBF5A48C9E}"/>
            </a:ext>
          </a:extLst>
        </xdr:cNvPr>
        <xdr:cNvSpPr txBox="1"/>
      </xdr:nvSpPr>
      <xdr:spPr>
        <a:xfrm>
          <a:off x="1970943" y="32040634"/>
          <a:ext cx="945173" cy="161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DE TRABAJO</a:t>
          </a:r>
        </a:p>
      </xdr:txBody>
    </xdr:sp>
    <xdr:clientData/>
  </xdr:twoCellAnchor>
  <xdr:twoCellAnchor>
    <xdr:from>
      <xdr:col>1</xdr:col>
      <xdr:colOff>1902784</xdr:colOff>
      <xdr:row>118</xdr:row>
      <xdr:rowOff>232086</xdr:rowOff>
    </xdr:from>
    <xdr:to>
      <xdr:col>3</xdr:col>
      <xdr:colOff>190500</xdr:colOff>
      <xdr:row>119</xdr:row>
      <xdr:rowOff>240323</xdr:rowOff>
    </xdr:to>
    <xdr:sp macro="" textlink="">
      <xdr:nvSpPr>
        <xdr:cNvPr id="97" name="23 CuadroTexto">
          <a:extLst>
            <a:ext uri="{FF2B5EF4-FFF2-40B4-BE49-F238E27FC236}">
              <a16:creationId xmlns:a16="http://schemas.microsoft.com/office/drawing/2014/main" id="{D54DF392-D27C-4EC8-9783-B51297642B1F}"/>
            </a:ext>
          </a:extLst>
        </xdr:cNvPr>
        <xdr:cNvSpPr txBox="1"/>
      </xdr:nvSpPr>
      <xdr:spPr>
        <a:xfrm>
          <a:off x="1968726" y="32609759"/>
          <a:ext cx="2053755" cy="293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DE TRABAJO QUE NO PROV.</a:t>
          </a:r>
          <a:r>
            <a:rPr lang="es-CO" sz="600" baseline="0"/>
            <a:t> RELACION LABORAL O LEGAL Y REGLAMENTARIA</a:t>
          </a:r>
          <a:endParaRPr lang="es-CO" sz="600"/>
        </a:p>
      </xdr:txBody>
    </xdr:sp>
    <xdr:clientData/>
  </xdr:twoCellAnchor>
  <xdr:twoCellAnchor>
    <xdr:from>
      <xdr:col>1</xdr:col>
      <xdr:colOff>1918506</xdr:colOff>
      <xdr:row>236</xdr:row>
      <xdr:rowOff>317319</xdr:rowOff>
    </xdr:from>
    <xdr:to>
      <xdr:col>2</xdr:col>
      <xdr:colOff>804813</xdr:colOff>
      <xdr:row>237</xdr:row>
      <xdr:rowOff>110987</xdr:rowOff>
    </xdr:to>
    <xdr:sp macro="" textlink="">
      <xdr:nvSpPr>
        <xdr:cNvPr id="98" name="44 CuadroTexto">
          <a:extLst>
            <a:ext uri="{FF2B5EF4-FFF2-40B4-BE49-F238E27FC236}">
              <a16:creationId xmlns:a16="http://schemas.microsoft.com/office/drawing/2014/main" id="{6CC6D9CD-585B-4397-B637-7EFA09D76FC6}"/>
            </a:ext>
          </a:extLst>
        </xdr:cNvPr>
        <xdr:cNvSpPr txBox="1"/>
      </xdr:nvSpPr>
      <xdr:spPr>
        <a:xfrm>
          <a:off x="1984767" y="58320428"/>
          <a:ext cx="865850" cy="15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1730905</xdr:colOff>
      <xdr:row>236</xdr:row>
      <xdr:rowOff>317320</xdr:rowOff>
    </xdr:from>
    <xdr:to>
      <xdr:col>3</xdr:col>
      <xdr:colOff>1015065</xdr:colOff>
      <xdr:row>237</xdr:row>
      <xdr:rowOff>135836</xdr:rowOff>
    </xdr:to>
    <xdr:sp macro="" textlink="">
      <xdr:nvSpPr>
        <xdr:cNvPr id="99" name="45 CuadroTexto">
          <a:extLst>
            <a:ext uri="{FF2B5EF4-FFF2-40B4-BE49-F238E27FC236}">
              <a16:creationId xmlns:a16="http://schemas.microsoft.com/office/drawing/2014/main" id="{AC59E711-DCF8-408D-8069-A729CBA54BD5}"/>
            </a:ext>
          </a:extLst>
        </xdr:cNvPr>
        <xdr:cNvSpPr txBox="1"/>
      </xdr:nvSpPr>
      <xdr:spPr>
        <a:xfrm>
          <a:off x="3776709" y="58320429"/>
          <a:ext cx="1073204" cy="18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1921565</xdr:colOff>
      <xdr:row>230</xdr:row>
      <xdr:rowOff>298174</xdr:rowOff>
    </xdr:from>
    <xdr:to>
      <xdr:col>2</xdr:col>
      <xdr:colOff>807872</xdr:colOff>
      <xdr:row>231</xdr:row>
      <xdr:rowOff>165653</xdr:rowOff>
    </xdr:to>
    <xdr:sp macro="" textlink="">
      <xdr:nvSpPr>
        <xdr:cNvPr id="100" name="44 CuadroTexto">
          <a:extLst>
            <a:ext uri="{FF2B5EF4-FFF2-40B4-BE49-F238E27FC236}">
              <a16:creationId xmlns:a16="http://schemas.microsoft.com/office/drawing/2014/main" id="{3110D22D-3F55-4B50-95B4-14BA58F39E3A}"/>
            </a:ext>
          </a:extLst>
        </xdr:cNvPr>
        <xdr:cNvSpPr txBox="1"/>
      </xdr:nvSpPr>
      <xdr:spPr>
        <a:xfrm>
          <a:off x="1987826" y="57299087"/>
          <a:ext cx="865850" cy="18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1733964</xdr:colOff>
      <xdr:row>230</xdr:row>
      <xdr:rowOff>298175</xdr:rowOff>
    </xdr:from>
    <xdr:to>
      <xdr:col>3</xdr:col>
      <xdr:colOff>1018124</xdr:colOff>
      <xdr:row>231</xdr:row>
      <xdr:rowOff>149088</xdr:rowOff>
    </xdr:to>
    <xdr:sp macro="" textlink="">
      <xdr:nvSpPr>
        <xdr:cNvPr id="101" name="45 CuadroTexto">
          <a:extLst>
            <a:ext uri="{FF2B5EF4-FFF2-40B4-BE49-F238E27FC236}">
              <a16:creationId xmlns:a16="http://schemas.microsoft.com/office/drawing/2014/main" id="{E335A730-3D36-44DB-9C13-38D4BCD40CB0}"/>
            </a:ext>
          </a:extLst>
        </xdr:cNvPr>
        <xdr:cNvSpPr txBox="1"/>
      </xdr:nvSpPr>
      <xdr:spPr>
        <a:xfrm>
          <a:off x="3779768" y="57299088"/>
          <a:ext cx="1073204"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1904999</xdr:colOff>
      <xdr:row>231</xdr:row>
      <xdr:rowOff>372717</xdr:rowOff>
    </xdr:from>
    <xdr:to>
      <xdr:col>2</xdr:col>
      <xdr:colOff>791306</xdr:colOff>
      <xdr:row>232</xdr:row>
      <xdr:rowOff>132522</xdr:rowOff>
    </xdr:to>
    <xdr:sp macro="" textlink="">
      <xdr:nvSpPr>
        <xdr:cNvPr id="102" name="44 CuadroTexto">
          <a:extLst>
            <a:ext uri="{FF2B5EF4-FFF2-40B4-BE49-F238E27FC236}">
              <a16:creationId xmlns:a16="http://schemas.microsoft.com/office/drawing/2014/main" id="{0697C2A6-EF61-4620-99D3-0E017548463B}"/>
            </a:ext>
          </a:extLst>
        </xdr:cNvPr>
        <xdr:cNvSpPr txBox="1"/>
      </xdr:nvSpPr>
      <xdr:spPr>
        <a:xfrm>
          <a:off x="1971260" y="57688369"/>
          <a:ext cx="865850" cy="18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1725681</xdr:colOff>
      <xdr:row>231</xdr:row>
      <xdr:rowOff>372719</xdr:rowOff>
    </xdr:from>
    <xdr:to>
      <xdr:col>3</xdr:col>
      <xdr:colOff>1009841</xdr:colOff>
      <xdr:row>232</xdr:row>
      <xdr:rowOff>115958</xdr:rowOff>
    </xdr:to>
    <xdr:sp macro="" textlink="">
      <xdr:nvSpPr>
        <xdr:cNvPr id="103" name="45 CuadroTexto">
          <a:extLst>
            <a:ext uri="{FF2B5EF4-FFF2-40B4-BE49-F238E27FC236}">
              <a16:creationId xmlns:a16="http://schemas.microsoft.com/office/drawing/2014/main" id="{A66778FF-C690-4E9D-9F27-CB3700A59560}"/>
            </a:ext>
          </a:extLst>
        </xdr:cNvPr>
        <xdr:cNvSpPr txBox="1"/>
      </xdr:nvSpPr>
      <xdr:spPr>
        <a:xfrm>
          <a:off x="3771485" y="57688371"/>
          <a:ext cx="1073204"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1896717</xdr:colOff>
      <xdr:row>232</xdr:row>
      <xdr:rowOff>397565</xdr:rowOff>
    </xdr:from>
    <xdr:to>
      <xdr:col>2</xdr:col>
      <xdr:colOff>783024</xdr:colOff>
      <xdr:row>233</xdr:row>
      <xdr:rowOff>157370</xdr:rowOff>
    </xdr:to>
    <xdr:sp macro="" textlink="">
      <xdr:nvSpPr>
        <xdr:cNvPr id="104" name="44 CuadroTexto">
          <a:extLst>
            <a:ext uri="{FF2B5EF4-FFF2-40B4-BE49-F238E27FC236}">
              <a16:creationId xmlns:a16="http://schemas.microsoft.com/office/drawing/2014/main" id="{2DA73DB1-B0D3-43F8-BFA8-6BB15497711E}"/>
            </a:ext>
          </a:extLst>
        </xdr:cNvPr>
        <xdr:cNvSpPr txBox="1"/>
      </xdr:nvSpPr>
      <xdr:spPr>
        <a:xfrm>
          <a:off x="1962978" y="58135630"/>
          <a:ext cx="865850" cy="18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1709116</xdr:colOff>
      <xdr:row>232</xdr:row>
      <xdr:rowOff>381001</xdr:rowOff>
    </xdr:from>
    <xdr:to>
      <xdr:col>3</xdr:col>
      <xdr:colOff>993276</xdr:colOff>
      <xdr:row>233</xdr:row>
      <xdr:rowOff>124240</xdr:rowOff>
    </xdr:to>
    <xdr:sp macro="" textlink="">
      <xdr:nvSpPr>
        <xdr:cNvPr id="105" name="45 CuadroTexto">
          <a:extLst>
            <a:ext uri="{FF2B5EF4-FFF2-40B4-BE49-F238E27FC236}">
              <a16:creationId xmlns:a16="http://schemas.microsoft.com/office/drawing/2014/main" id="{671D756E-A3D2-41BD-93A8-E3AF9A3138E9}"/>
            </a:ext>
          </a:extLst>
        </xdr:cNvPr>
        <xdr:cNvSpPr txBox="1"/>
      </xdr:nvSpPr>
      <xdr:spPr>
        <a:xfrm>
          <a:off x="3754920" y="58119066"/>
          <a:ext cx="1073204"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1905000</xdr:colOff>
      <xdr:row>233</xdr:row>
      <xdr:rowOff>364435</xdr:rowOff>
    </xdr:from>
    <xdr:to>
      <xdr:col>2</xdr:col>
      <xdr:colOff>791307</xdr:colOff>
      <xdr:row>234</xdr:row>
      <xdr:rowOff>124240</xdr:rowOff>
    </xdr:to>
    <xdr:sp macro="" textlink="">
      <xdr:nvSpPr>
        <xdr:cNvPr id="106" name="44 CuadroTexto">
          <a:extLst>
            <a:ext uri="{FF2B5EF4-FFF2-40B4-BE49-F238E27FC236}">
              <a16:creationId xmlns:a16="http://schemas.microsoft.com/office/drawing/2014/main" id="{81BDEE8A-703D-4B29-B8E2-2A1B58445AFE}"/>
            </a:ext>
          </a:extLst>
        </xdr:cNvPr>
        <xdr:cNvSpPr txBox="1"/>
      </xdr:nvSpPr>
      <xdr:spPr>
        <a:xfrm>
          <a:off x="1971261" y="58524913"/>
          <a:ext cx="865850" cy="18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1733963</xdr:colOff>
      <xdr:row>233</xdr:row>
      <xdr:rowOff>381001</xdr:rowOff>
    </xdr:from>
    <xdr:to>
      <xdr:col>3</xdr:col>
      <xdr:colOff>1018123</xdr:colOff>
      <xdr:row>234</xdr:row>
      <xdr:rowOff>124240</xdr:rowOff>
    </xdr:to>
    <xdr:sp macro="" textlink="">
      <xdr:nvSpPr>
        <xdr:cNvPr id="107" name="45 CuadroTexto">
          <a:extLst>
            <a:ext uri="{FF2B5EF4-FFF2-40B4-BE49-F238E27FC236}">
              <a16:creationId xmlns:a16="http://schemas.microsoft.com/office/drawing/2014/main" id="{E58682EC-A8B6-4B1D-B2F6-235A4D25889D}"/>
            </a:ext>
          </a:extLst>
        </xdr:cNvPr>
        <xdr:cNvSpPr txBox="1"/>
      </xdr:nvSpPr>
      <xdr:spPr>
        <a:xfrm>
          <a:off x="3779767" y="58541479"/>
          <a:ext cx="1073204"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1731066</xdr:colOff>
      <xdr:row>247</xdr:row>
      <xdr:rowOff>381000</xdr:rowOff>
    </xdr:from>
    <xdr:to>
      <xdr:col>3</xdr:col>
      <xdr:colOff>1505543</xdr:colOff>
      <xdr:row>248</xdr:row>
      <xdr:rowOff>177122</xdr:rowOff>
    </xdr:to>
    <xdr:sp macro="" textlink="">
      <xdr:nvSpPr>
        <xdr:cNvPr id="108" name="23 CuadroTexto">
          <a:extLst>
            <a:ext uri="{FF2B5EF4-FFF2-40B4-BE49-F238E27FC236}">
              <a16:creationId xmlns:a16="http://schemas.microsoft.com/office/drawing/2014/main" id="{E53E910B-3589-4EEA-940E-D670706715B0}"/>
            </a:ext>
          </a:extLst>
        </xdr:cNvPr>
        <xdr:cNvSpPr txBox="1"/>
      </xdr:nvSpPr>
      <xdr:spPr>
        <a:xfrm>
          <a:off x="3776870" y="63154891"/>
          <a:ext cx="1563521" cy="21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DE TRABAJO QUE NO PROVIDE UNA REL.</a:t>
          </a:r>
          <a:r>
            <a:rPr lang="es-CO" sz="500" baseline="0"/>
            <a:t> LAB</a:t>
          </a:r>
          <a:endParaRPr lang="es-CO" sz="500"/>
        </a:p>
      </xdr:txBody>
    </xdr:sp>
    <xdr:clientData/>
  </xdr:twoCellAnchor>
  <xdr:twoCellAnchor>
    <xdr:from>
      <xdr:col>1</xdr:col>
      <xdr:colOff>1902045</xdr:colOff>
      <xdr:row>289</xdr:row>
      <xdr:rowOff>266700</xdr:rowOff>
    </xdr:from>
    <xdr:to>
      <xdr:col>2</xdr:col>
      <xdr:colOff>1047751</xdr:colOff>
      <xdr:row>290</xdr:row>
      <xdr:rowOff>95250</xdr:rowOff>
    </xdr:to>
    <xdr:sp macro="" textlink="">
      <xdr:nvSpPr>
        <xdr:cNvPr id="109" name="18 CuadroTexto">
          <a:extLst>
            <a:ext uri="{FF2B5EF4-FFF2-40B4-BE49-F238E27FC236}">
              <a16:creationId xmlns:a16="http://schemas.microsoft.com/office/drawing/2014/main" id="{3CF64186-F40B-4CA0-9552-457D968AEA85}"/>
            </a:ext>
          </a:extLst>
        </xdr:cNvPr>
        <xdr:cNvSpPr txBox="1"/>
      </xdr:nvSpPr>
      <xdr:spPr>
        <a:xfrm>
          <a:off x="1968720" y="67903725"/>
          <a:ext cx="1126906"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RENTA</a:t>
          </a:r>
          <a:r>
            <a:rPr lang="es-CO" sz="800" baseline="0"/>
            <a:t> DE TRABAJO</a:t>
          </a:r>
          <a:endParaRPr lang="es-CO" sz="800"/>
        </a:p>
      </xdr:txBody>
    </xdr:sp>
    <xdr:clientData/>
  </xdr:twoCellAnchor>
  <xdr:twoCellAnchor>
    <xdr:from>
      <xdr:col>2</xdr:col>
      <xdr:colOff>1733550</xdr:colOff>
      <xdr:row>283</xdr:row>
      <xdr:rowOff>295275</xdr:rowOff>
    </xdr:from>
    <xdr:to>
      <xdr:col>3</xdr:col>
      <xdr:colOff>1508027</xdr:colOff>
      <xdr:row>287</xdr:row>
      <xdr:rowOff>196172</xdr:rowOff>
    </xdr:to>
    <xdr:sp macro="" textlink="">
      <xdr:nvSpPr>
        <xdr:cNvPr id="110" name="23 CuadroTexto">
          <a:extLst>
            <a:ext uri="{FF2B5EF4-FFF2-40B4-BE49-F238E27FC236}">
              <a16:creationId xmlns:a16="http://schemas.microsoft.com/office/drawing/2014/main" id="{D47636E1-4C3C-4BFD-BC74-1D1D14B72840}"/>
            </a:ext>
          </a:extLst>
        </xdr:cNvPr>
        <xdr:cNvSpPr txBox="1"/>
      </xdr:nvSpPr>
      <xdr:spPr>
        <a:xfrm>
          <a:off x="3781425" y="66951225"/>
          <a:ext cx="1565177" cy="215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DE TRABAJO QUE NO PROVIDE UNA REL.</a:t>
          </a:r>
          <a:r>
            <a:rPr lang="es-CO" sz="500" baseline="0"/>
            <a:t> LAB</a:t>
          </a:r>
          <a:endParaRPr lang="es-CO" sz="500"/>
        </a:p>
      </xdr:txBody>
    </xdr:sp>
    <xdr:clientData/>
  </xdr:twoCellAnchor>
  <xdr:twoCellAnchor>
    <xdr:from>
      <xdr:col>2</xdr:col>
      <xdr:colOff>1724025</xdr:colOff>
      <xdr:row>289</xdr:row>
      <xdr:rowOff>295275</xdr:rowOff>
    </xdr:from>
    <xdr:to>
      <xdr:col>3</xdr:col>
      <xdr:colOff>1498502</xdr:colOff>
      <xdr:row>290</xdr:row>
      <xdr:rowOff>85725</xdr:rowOff>
    </xdr:to>
    <xdr:sp macro="" textlink="">
      <xdr:nvSpPr>
        <xdr:cNvPr id="111" name="23 CuadroTexto">
          <a:extLst>
            <a:ext uri="{FF2B5EF4-FFF2-40B4-BE49-F238E27FC236}">
              <a16:creationId xmlns:a16="http://schemas.microsoft.com/office/drawing/2014/main" id="{C68B4687-39AE-40E5-945B-E1793A82E29A}"/>
            </a:ext>
          </a:extLst>
        </xdr:cNvPr>
        <xdr:cNvSpPr txBox="1"/>
      </xdr:nvSpPr>
      <xdr:spPr>
        <a:xfrm>
          <a:off x="3771900" y="67932300"/>
          <a:ext cx="1565177"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DE TRABAJO QUE NO PROVIDE UNA REL.</a:t>
          </a:r>
          <a:r>
            <a:rPr lang="es-CO" sz="500" baseline="0"/>
            <a:t> LAB</a:t>
          </a:r>
          <a:endParaRPr lang="es-CO" sz="5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592204</xdr:colOff>
      <xdr:row>11</xdr:row>
      <xdr:rowOff>164798</xdr:rowOff>
    </xdr:from>
    <xdr:to>
      <xdr:col>2</xdr:col>
      <xdr:colOff>1675639</xdr:colOff>
      <xdr:row>12</xdr:row>
      <xdr:rowOff>124240</xdr:rowOff>
    </xdr:to>
    <xdr:sp macro="" textlink="">
      <xdr:nvSpPr>
        <xdr:cNvPr id="2" name="1 CuadroTexto">
          <a:extLst>
            <a:ext uri="{FF2B5EF4-FFF2-40B4-BE49-F238E27FC236}">
              <a16:creationId xmlns:a16="http://schemas.microsoft.com/office/drawing/2014/main" id="{00000000-0008-0000-0F00-000002000000}"/>
            </a:ext>
          </a:extLst>
        </xdr:cNvPr>
        <xdr:cNvSpPr txBox="1"/>
      </xdr:nvSpPr>
      <xdr:spPr>
        <a:xfrm>
          <a:off x="865530" y="2144341"/>
          <a:ext cx="1737761" cy="174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MAGISTRADOS Y FISCALES</a:t>
          </a:r>
        </a:p>
      </xdr:txBody>
    </xdr:sp>
    <xdr:clientData/>
  </xdr:twoCellAnchor>
  <xdr:twoCellAnchor>
    <xdr:from>
      <xdr:col>2</xdr:col>
      <xdr:colOff>3427778</xdr:colOff>
      <xdr:row>11</xdr:row>
      <xdr:rowOff>149512</xdr:rowOff>
    </xdr:from>
    <xdr:to>
      <xdr:col>3</xdr:col>
      <xdr:colOff>1121578</xdr:colOff>
      <xdr:row>12</xdr:row>
      <xdr:rowOff>149990</xdr:rowOff>
    </xdr:to>
    <xdr:sp macro="" textlink="">
      <xdr:nvSpPr>
        <xdr:cNvPr id="3" name="2 CuadroTexto">
          <a:extLst>
            <a:ext uri="{FF2B5EF4-FFF2-40B4-BE49-F238E27FC236}">
              <a16:creationId xmlns:a16="http://schemas.microsoft.com/office/drawing/2014/main" id="{00000000-0008-0000-0F00-000003000000}"/>
            </a:ext>
          </a:extLst>
        </xdr:cNvPr>
        <xdr:cNvSpPr txBox="1"/>
      </xdr:nvSpPr>
      <xdr:spPr>
        <a:xfrm>
          <a:off x="4355430" y="2129055"/>
          <a:ext cx="1139365" cy="21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1</xdr:col>
      <xdr:colOff>611257</xdr:colOff>
      <xdr:row>12</xdr:row>
      <xdr:rowOff>302570</xdr:rowOff>
    </xdr:from>
    <xdr:to>
      <xdr:col>2</xdr:col>
      <xdr:colOff>2418522</xdr:colOff>
      <xdr:row>13</xdr:row>
      <xdr:rowOff>213277</xdr:rowOff>
    </xdr:to>
    <xdr:sp macro="" textlink="">
      <xdr:nvSpPr>
        <xdr:cNvPr id="4" name="3 CuadroTexto">
          <a:extLst>
            <a:ext uri="{FF2B5EF4-FFF2-40B4-BE49-F238E27FC236}">
              <a16:creationId xmlns:a16="http://schemas.microsoft.com/office/drawing/2014/main" id="{00000000-0008-0000-0F00-000004000000}"/>
            </a:ext>
          </a:extLst>
        </xdr:cNvPr>
        <xdr:cNvSpPr txBox="1"/>
      </xdr:nvSpPr>
      <xdr:spPr>
        <a:xfrm>
          <a:off x="884583" y="2497461"/>
          <a:ext cx="2461591" cy="22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563219</xdr:colOff>
      <xdr:row>49</xdr:row>
      <xdr:rowOff>82411</xdr:rowOff>
    </xdr:from>
    <xdr:to>
      <xdr:col>4</xdr:col>
      <xdr:colOff>571500</xdr:colOff>
      <xdr:row>50</xdr:row>
      <xdr:rowOff>107674</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4199284" y="9226411"/>
          <a:ext cx="1590259" cy="19091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48</xdr:row>
      <xdr:rowOff>19050</xdr:rowOff>
    </xdr:from>
    <xdr:to>
      <xdr:col>2</xdr:col>
      <xdr:colOff>152400</xdr:colOff>
      <xdr:row>50</xdr:row>
      <xdr:rowOff>152400</xdr:rowOff>
    </xdr:to>
    <xdr:pic>
      <xdr:nvPicPr>
        <xdr:cNvPr id="3952" name="Picture 3">
          <a:extLst>
            <a:ext uri="{FF2B5EF4-FFF2-40B4-BE49-F238E27FC236}">
              <a16:creationId xmlns:a16="http://schemas.microsoft.com/office/drawing/2014/main" id="{00000000-0008-0000-0B00-00007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8848725"/>
          <a:ext cx="590550" cy="5143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1\JOIVER\CONFIG~1\Temp\Rar$DI00.547\Conferencia%20Obligacion%20Declarar%20Renta\MODELO%20APLICATIVO%20DE%20DEPURAR%20RENTA%20A&#209;O%202013%20PERSONA%20NATURAL%20-%20OJEDA%20PACHECO%20YOIBER%20ANTO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ONIO BRUTO"/>
      <sheetName val="DATOS PARA DEPURAR"/>
      <sheetName val="DEPURACION ORDINARIO"/>
      <sheetName val="IMAS TRABAJADOR POR CTA PROPIA"/>
      <sheetName val="DEPURACION POR IMAS EMPLEAD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omments" Target="../comments7.xml"/><Relationship Id="rId4" Type="http://schemas.openxmlformats.org/officeDocument/2006/relationships/image" Target="../media/image2.png"/></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hyperlink" Target="https://www.youtube.com/watch?v=5jx1pxgAOz0"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9.bin"/><Relationship Id="rId1" Type="http://schemas.openxmlformats.org/officeDocument/2006/relationships/hyperlink" Target="https://www.youtube.com/watch?v=SuRuYWMOyuU" TargetMode="External"/><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oiberantonioojedapacheco@hot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0.bin"/><Relationship Id="rId1" Type="http://schemas.openxmlformats.org/officeDocument/2006/relationships/hyperlink" Target="https://www.youtube.com/watch?v=jOxjUosbSFY" TargetMode="External"/><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1.bin"/><Relationship Id="rId1" Type="http://schemas.openxmlformats.org/officeDocument/2006/relationships/hyperlink" Target="https://www.youtube.com/watch?v=R7vMJRectMI" TargetMode="External"/><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3.bin"/><Relationship Id="rId1" Type="http://schemas.openxmlformats.org/officeDocument/2006/relationships/hyperlink" Target="mailto:yoiberantonioojedapacheco@hotmail.com"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25.bin"/><Relationship Id="rId1" Type="http://schemas.openxmlformats.org/officeDocument/2006/relationships/hyperlink" Target="https://www.youtube.com/watch?v=k5WXkCdSmmU" TargetMode="External"/><Relationship Id="rId4" Type="http://schemas.openxmlformats.org/officeDocument/2006/relationships/comments" Target="../comments15.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youtube.com/watch?v=1MFZlGglvU8"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B1:D105"/>
  <sheetViews>
    <sheetView view="pageBreakPreview" topLeftCell="A13" zoomScale="145" zoomScaleNormal="145" zoomScaleSheetLayoutView="145" workbookViewId="0">
      <selection activeCell="F5" sqref="F5"/>
    </sheetView>
  </sheetViews>
  <sheetFormatPr baseColWidth="10" defaultRowHeight="15" x14ac:dyDescent="0.2"/>
  <cols>
    <col min="1" max="1" width="0.85546875" style="428" customWidth="1"/>
    <col min="2" max="2" width="14.140625" style="428" customWidth="1"/>
    <col min="3" max="3" width="26.42578125" style="429" customWidth="1"/>
    <col min="4" max="4" width="31.42578125" style="428" customWidth="1"/>
    <col min="5" max="16384" width="11.42578125" style="428"/>
  </cols>
  <sheetData>
    <row r="1" spans="2:4" ht="5.0999999999999996" customHeight="1" x14ac:dyDescent="0.2"/>
    <row r="2" spans="2:4" ht="15.75" thickBot="1" x14ac:dyDescent="0.25"/>
    <row r="3" spans="2:4" ht="80.099999999999994" customHeight="1" thickBot="1" x14ac:dyDescent="0.25">
      <c r="B3" s="1210"/>
      <c r="C3" s="1211"/>
      <c r="D3" s="1212"/>
    </row>
    <row r="4" spans="2:4" ht="5.0999999999999996" customHeight="1" thickBot="1" x14ac:dyDescent="0.25">
      <c r="B4" s="950"/>
      <c r="D4" s="951"/>
    </row>
    <row r="5" spans="2:4" ht="30" customHeight="1" x14ac:dyDescent="0.2">
      <c r="B5" s="430" t="s">
        <v>436</v>
      </c>
      <c r="C5" s="431" t="s">
        <v>437</v>
      </c>
      <c r="D5" s="432" t="s">
        <v>438</v>
      </c>
    </row>
    <row r="6" spans="2:4" ht="15" customHeight="1" x14ac:dyDescent="0.2">
      <c r="B6" s="1213" t="s">
        <v>439</v>
      </c>
      <c r="C6" s="504">
        <v>1</v>
      </c>
      <c r="D6" s="949">
        <v>45516</v>
      </c>
    </row>
    <row r="7" spans="2:4" x14ac:dyDescent="0.2">
      <c r="B7" s="1213"/>
      <c r="C7" s="504">
        <v>2</v>
      </c>
      <c r="D7" s="949">
        <v>45516</v>
      </c>
    </row>
    <row r="8" spans="2:4" x14ac:dyDescent="0.2">
      <c r="B8" s="1213"/>
      <c r="C8" s="504">
        <v>3</v>
      </c>
      <c r="D8" s="949">
        <v>45517</v>
      </c>
    </row>
    <row r="9" spans="2:4" x14ac:dyDescent="0.2">
      <c r="B9" s="1213"/>
      <c r="C9" s="504">
        <v>4</v>
      </c>
      <c r="D9" s="949">
        <v>45517</v>
      </c>
    </row>
    <row r="10" spans="2:4" x14ac:dyDescent="0.2">
      <c r="B10" s="1213"/>
      <c r="C10" s="504">
        <v>5</v>
      </c>
      <c r="D10" s="949">
        <v>45518</v>
      </c>
    </row>
    <row r="11" spans="2:4" x14ac:dyDescent="0.2">
      <c r="B11" s="1213"/>
      <c r="C11" s="504">
        <v>6</v>
      </c>
      <c r="D11" s="949">
        <v>45518</v>
      </c>
    </row>
    <row r="12" spans="2:4" x14ac:dyDescent="0.2">
      <c r="B12" s="1213"/>
      <c r="C12" s="504">
        <v>7</v>
      </c>
      <c r="D12" s="949">
        <v>45519</v>
      </c>
    </row>
    <row r="13" spans="2:4" x14ac:dyDescent="0.2">
      <c r="B13" s="1213"/>
      <c r="C13" s="504">
        <v>8</v>
      </c>
      <c r="D13" s="949">
        <v>45519</v>
      </c>
    </row>
    <row r="14" spans="2:4" x14ac:dyDescent="0.2">
      <c r="B14" s="1213"/>
      <c r="C14" s="504">
        <v>9</v>
      </c>
      <c r="D14" s="949">
        <v>45520</v>
      </c>
    </row>
    <row r="15" spans="2:4" x14ac:dyDescent="0.2">
      <c r="B15" s="1213"/>
      <c r="C15" s="433">
        <v>10</v>
      </c>
      <c r="D15" s="949">
        <v>45520</v>
      </c>
    </row>
    <row r="16" spans="2:4" ht="15.75" customHeight="1" x14ac:dyDescent="0.2">
      <c r="B16" s="1213"/>
      <c r="C16" s="433">
        <v>11</v>
      </c>
      <c r="D16" s="949">
        <v>45524</v>
      </c>
    </row>
    <row r="17" spans="2:4" ht="15" customHeight="1" x14ac:dyDescent="0.2">
      <c r="B17" s="1213"/>
      <c r="C17" s="433">
        <v>12</v>
      </c>
      <c r="D17" s="949">
        <v>45524</v>
      </c>
    </row>
    <row r="18" spans="2:4" x14ac:dyDescent="0.2">
      <c r="B18" s="1213"/>
      <c r="C18" s="433">
        <v>13</v>
      </c>
      <c r="D18" s="949">
        <v>45525</v>
      </c>
    </row>
    <row r="19" spans="2:4" x14ac:dyDescent="0.2">
      <c r="B19" s="1213"/>
      <c r="C19" s="433">
        <v>14</v>
      </c>
      <c r="D19" s="949">
        <v>45525</v>
      </c>
    </row>
    <row r="20" spans="2:4" x14ac:dyDescent="0.2">
      <c r="B20" s="1213"/>
      <c r="C20" s="433">
        <v>15</v>
      </c>
      <c r="D20" s="949">
        <v>45526</v>
      </c>
    </row>
    <row r="21" spans="2:4" x14ac:dyDescent="0.2">
      <c r="B21" s="1213"/>
      <c r="C21" s="433">
        <v>16</v>
      </c>
      <c r="D21" s="949">
        <v>45526</v>
      </c>
    </row>
    <row r="22" spans="2:4" x14ac:dyDescent="0.2">
      <c r="B22" s="1213"/>
      <c r="C22" s="433">
        <v>17</v>
      </c>
      <c r="D22" s="949">
        <v>45527</v>
      </c>
    </row>
    <row r="23" spans="2:4" x14ac:dyDescent="0.2">
      <c r="B23" s="1213"/>
      <c r="C23" s="433">
        <v>18</v>
      </c>
      <c r="D23" s="949">
        <v>45527</v>
      </c>
    </row>
    <row r="24" spans="2:4" x14ac:dyDescent="0.2">
      <c r="B24" s="1213"/>
      <c r="C24" s="433">
        <v>19</v>
      </c>
      <c r="D24" s="949">
        <v>45530</v>
      </c>
    </row>
    <row r="25" spans="2:4" x14ac:dyDescent="0.2">
      <c r="B25" s="1213"/>
      <c r="C25" s="433">
        <v>20</v>
      </c>
      <c r="D25" s="949">
        <v>45530</v>
      </c>
    </row>
    <row r="26" spans="2:4" ht="15" customHeight="1" x14ac:dyDescent="0.2">
      <c r="B26" s="1213"/>
      <c r="C26" s="433">
        <v>21</v>
      </c>
      <c r="D26" s="949">
        <v>45531</v>
      </c>
    </row>
    <row r="27" spans="2:4" x14ac:dyDescent="0.2">
      <c r="B27" s="1213"/>
      <c r="C27" s="433">
        <v>22</v>
      </c>
      <c r="D27" s="949">
        <v>45531</v>
      </c>
    </row>
    <row r="28" spans="2:4" x14ac:dyDescent="0.2">
      <c r="B28" s="1213"/>
      <c r="C28" s="433">
        <v>23</v>
      </c>
      <c r="D28" s="949">
        <v>45532</v>
      </c>
    </row>
    <row r="29" spans="2:4" x14ac:dyDescent="0.2">
      <c r="B29" s="1213"/>
      <c r="C29" s="433">
        <v>24</v>
      </c>
      <c r="D29" s="949">
        <v>45532</v>
      </c>
    </row>
    <row r="30" spans="2:4" x14ac:dyDescent="0.2">
      <c r="B30" s="1213"/>
      <c r="C30" s="433">
        <v>25</v>
      </c>
      <c r="D30" s="949">
        <v>45533</v>
      </c>
    </row>
    <row r="31" spans="2:4" x14ac:dyDescent="0.2">
      <c r="B31" s="1213"/>
      <c r="C31" s="433">
        <v>26</v>
      </c>
      <c r="D31" s="949">
        <v>45533</v>
      </c>
    </row>
    <row r="32" spans="2:4" x14ac:dyDescent="0.2">
      <c r="B32" s="1213"/>
      <c r="C32" s="433">
        <v>27</v>
      </c>
      <c r="D32" s="949">
        <v>45537</v>
      </c>
    </row>
    <row r="33" spans="2:4" x14ac:dyDescent="0.2">
      <c r="B33" s="1213"/>
      <c r="C33" s="433">
        <v>28</v>
      </c>
      <c r="D33" s="949">
        <v>45537</v>
      </c>
    </row>
    <row r="34" spans="2:4" x14ac:dyDescent="0.2">
      <c r="B34" s="1213"/>
      <c r="C34" s="433">
        <v>29</v>
      </c>
      <c r="D34" s="949">
        <v>45538</v>
      </c>
    </row>
    <row r="35" spans="2:4" x14ac:dyDescent="0.2">
      <c r="B35" s="1213"/>
      <c r="C35" s="433">
        <v>30</v>
      </c>
      <c r="D35" s="949">
        <v>45538</v>
      </c>
    </row>
    <row r="36" spans="2:4" ht="15" customHeight="1" x14ac:dyDescent="0.2">
      <c r="B36" s="1213"/>
      <c r="C36" s="433">
        <v>31</v>
      </c>
      <c r="D36" s="949">
        <v>45539</v>
      </c>
    </row>
    <row r="37" spans="2:4" x14ac:dyDescent="0.2">
      <c r="B37" s="1213"/>
      <c r="C37" s="433">
        <v>32</v>
      </c>
      <c r="D37" s="949">
        <v>45539</v>
      </c>
    </row>
    <row r="38" spans="2:4" x14ac:dyDescent="0.2">
      <c r="B38" s="1213"/>
      <c r="C38" s="433">
        <v>33</v>
      </c>
      <c r="D38" s="949">
        <v>45540</v>
      </c>
    </row>
    <row r="39" spans="2:4" x14ac:dyDescent="0.2">
      <c r="B39" s="1213"/>
      <c r="C39" s="433">
        <v>34</v>
      </c>
      <c r="D39" s="949">
        <v>45540</v>
      </c>
    </row>
    <row r="40" spans="2:4" x14ac:dyDescent="0.2">
      <c r="B40" s="1213"/>
      <c r="C40" s="433">
        <v>35</v>
      </c>
      <c r="D40" s="949">
        <v>45541</v>
      </c>
    </row>
    <row r="41" spans="2:4" x14ac:dyDescent="0.2">
      <c r="B41" s="1213"/>
      <c r="C41" s="433">
        <v>36</v>
      </c>
      <c r="D41" s="949">
        <v>45541</v>
      </c>
    </row>
    <row r="42" spans="2:4" x14ac:dyDescent="0.2">
      <c r="B42" s="1213"/>
      <c r="C42" s="433">
        <v>37</v>
      </c>
      <c r="D42" s="949">
        <v>45544</v>
      </c>
    </row>
    <row r="43" spans="2:4" x14ac:dyDescent="0.2">
      <c r="B43" s="1213"/>
      <c r="C43" s="433">
        <v>38</v>
      </c>
      <c r="D43" s="949">
        <v>45544</v>
      </c>
    </row>
    <row r="44" spans="2:4" x14ac:dyDescent="0.2">
      <c r="B44" s="1213"/>
      <c r="C44" s="433">
        <v>39</v>
      </c>
      <c r="D44" s="949">
        <v>45545</v>
      </c>
    </row>
    <row r="45" spans="2:4" x14ac:dyDescent="0.2">
      <c r="B45" s="1213"/>
      <c r="C45" s="433">
        <v>40</v>
      </c>
      <c r="D45" s="949">
        <v>45545</v>
      </c>
    </row>
    <row r="46" spans="2:4" ht="15" customHeight="1" x14ac:dyDescent="0.2">
      <c r="B46" s="1213"/>
      <c r="C46" s="433">
        <v>41</v>
      </c>
      <c r="D46" s="949">
        <v>45546</v>
      </c>
    </row>
    <row r="47" spans="2:4" x14ac:dyDescent="0.2">
      <c r="B47" s="1213"/>
      <c r="C47" s="433">
        <v>42</v>
      </c>
      <c r="D47" s="949">
        <v>45546</v>
      </c>
    </row>
    <row r="48" spans="2:4" x14ac:dyDescent="0.2">
      <c r="B48" s="1213"/>
      <c r="C48" s="433">
        <v>43</v>
      </c>
      <c r="D48" s="949">
        <v>45547</v>
      </c>
    </row>
    <row r="49" spans="2:4" x14ac:dyDescent="0.2">
      <c r="B49" s="1213"/>
      <c r="C49" s="433">
        <v>44</v>
      </c>
      <c r="D49" s="949">
        <v>45547</v>
      </c>
    </row>
    <row r="50" spans="2:4" x14ac:dyDescent="0.2">
      <c r="B50" s="1213"/>
      <c r="C50" s="433">
        <v>45</v>
      </c>
      <c r="D50" s="949">
        <v>45548</v>
      </c>
    </row>
    <row r="51" spans="2:4" x14ac:dyDescent="0.2">
      <c r="B51" s="1213"/>
      <c r="C51" s="433">
        <v>46</v>
      </c>
      <c r="D51" s="949">
        <v>45548</v>
      </c>
    </row>
    <row r="52" spans="2:4" x14ac:dyDescent="0.2">
      <c r="B52" s="1213"/>
      <c r="C52" s="433">
        <v>47</v>
      </c>
      <c r="D52" s="949">
        <v>45551</v>
      </c>
    </row>
    <row r="53" spans="2:4" x14ac:dyDescent="0.2">
      <c r="B53" s="1213"/>
      <c r="C53" s="433">
        <v>48</v>
      </c>
      <c r="D53" s="949">
        <v>45551</v>
      </c>
    </row>
    <row r="54" spans="2:4" x14ac:dyDescent="0.2">
      <c r="B54" s="1213"/>
      <c r="C54" s="433">
        <v>49</v>
      </c>
      <c r="D54" s="949">
        <v>45552</v>
      </c>
    </row>
    <row r="55" spans="2:4" x14ac:dyDescent="0.2">
      <c r="B55" s="1213"/>
      <c r="C55" s="433">
        <v>50</v>
      </c>
      <c r="D55" s="949">
        <v>45552</v>
      </c>
    </row>
    <row r="56" spans="2:4" ht="15" customHeight="1" x14ac:dyDescent="0.2">
      <c r="B56" s="1213"/>
      <c r="C56" s="433">
        <v>51</v>
      </c>
      <c r="D56" s="949">
        <v>45553</v>
      </c>
    </row>
    <row r="57" spans="2:4" x14ac:dyDescent="0.2">
      <c r="B57" s="1213"/>
      <c r="C57" s="433">
        <v>52</v>
      </c>
      <c r="D57" s="949">
        <v>45553</v>
      </c>
    </row>
    <row r="58" spans="2:4" x14ac:dyDescent="0.2">
      <c r="B58" s="1213"/>
      <c r="C58" s="433">
        <v>53</v>
      </c>
      <c r="D58" s="949">
        <v>45554</v>
      </c>
    </row>
    <row r="59" spans="2:4" x14ac:dyDescent="0.2">
      <c r="B59" s="1213"/>
      <c r="C59" s="433">
        <v>54</v>
      </c>
      <c r="D59" s="949">
        <v>45554</v>
      </c>
    </row>
    <row r="60" spans="2:4" x14ac:dyDescent="0.2">
      <c r="B60" s="1213"/>
      <c r="C60" s="433">
        <v>55</v>
      </c>
      <c r="D60" s="949">
        <v>45555</v>
      </c>
    </row>
    <row r="61" spans="2:4" x14ac:dyDescent="0.2">
      <c r="B61" s="1213"/>
      <c r="C61" s="433">
        <v>56</v>
      </c>
      <c r="D61" s="949">
        <v>45555</v>
      </c>
    </row>
    <row r="62" spans="2:4" x14ac:dyDescent="0.2">
      <c r="B62" s="1213"/>
      <c r="C62" s="433">
        <v>57</v>
      </c>
      <c r="D62" s="949">
        <v>45558</v>
      </c>
    </row>
    <row r="63" spans="2:4" x14ac:dyDescent="0.2">
      <c r="B63" s="1213"/>
      <c r="C63" s="433">
        <v>58</v>
      </c>
      <c r="D63" s="949">
        <v>45558</v>
      </c>
    </row>
    <row r="64" spans="2:4" x14ac:dyDescent="0.2">
      <c r="B64" s="1213"/>
      <c r="C64" s="433">
        <v>59</v>
      </c>
      <c r="D64" s="949">
        <v>45559</v>
      </c>
    </row>
    <row r="65" spans="2:4" x14ac:dyDescent="0.2">
      <c r="B65" s="1213"/>
      <c r="C65" s="433">
        <v>60</v>
      </c>
      <c r="D65" s="949">
        <v>45559</v>
      </c>
    </row>
    <row r="66" spans="2:4" ht="15" customHeight="1" x14ac:dyDescent="0.2">
      <c r="B66" s="1213"/>
      <c r="C66" s="433">
        <v>61</v>
      </c>
      <c r="D66" s="949">
        <v>45560</v>
      </c>
    </row>
    <row r="67" spans="2:4" x14ac:dyDescent="0.2">
      <c r="B67" s="1213"/>
      <c r="C67" s="433">
        <v>62</v>
      </c>
      <c r="D67" s="949">
        <v>45560</v>
      </c>
    </row>
    <row r="68" spans="2:4" x14ac:dyDescent="0.2">
      <c r="B68" s="1213"/>
      <c r="C68" s="433">
        <v>63</v>
      </c>
      <c r="D68" s="949">
        <v>45561</v>
      </c>
    </row>
    <row r="69" spans="2:4" x14ac:dyDescent="0.2">
      <c r="B69" s="1213"/>
      <c r="C69" s="433">
        <v>64</v>
      </c>
      <c r="D69" s="949">
        <v>45561</v>
      </c>
    </row>
    <row r="70" spans="2:4" x14ac:dyDescent="0.2">
      <c r="B70" s="1213"/>
      <c r="C70" s="433">
        <v>65</v>
      </c>
      <c r="D70" s="949">
        <v>45562</v>
      </c>
    </row>
    <row r="71" spans="2:4" x14ac:dyDescent="0.2">
      <c r="B71" s="1213"/>
      <c r="C71" s="433">
        <v>66</v>
      </c>
      <c r="D71" s="949">
        <v>45562</v>
      </c>
    </row>
    <row r="72" spans="2:4" x14ac:dyDescent="0.2">
      <c r="B72" s="1213"/>
      <c r="C72" s="433">
        <v>67</v>
      </c>
      <c r="D72" s="949">
        <v>45566</v>
      </c>
    </row>
    <row r="73" spans="2:4" x14ac:dyDescent="0.2">
      <c r="B73" s="1213"/>
      <c r="C73" s="433">
        <v>68</v>
      </c>
      <c r="D73" s="949">
        <v>45566</v>
      </c>
    </row>
    <row r="74" spans="2:4" x14ac:dyDescent="0.2">
      <c r="B74" s="1213"/>
      <c r="C74" s="433">
        <v>69</v>
      </c>
      <c r="D74" s="949">
        <v>45567</v>
      </c>
    </row>
    <row r="75" spans="2:4" x14ac:dyDescent="0.2">
      <c r="B75" s="1213"/>
      <c r="C75" s="433">
        <v>70</v>
      </c>
      <c r="D75" s="949">
        <v>45567</v>
      </c>
    </row>
    <row r="76" spans="2:4" ht="15" customHeight="1" x14ac:dyDescent="0.2">
      <c r="B76" s="1213"/>
      <c r="C76" s="433">
        <v>71</v>
      </c>
      <c r="D76" s="949">
        <v>45568</v>
      </c>
    </row>
    <row r="77" spans="2:4" x14ac:dyDescent="0.2">
      <c r="B77" s="1213"/>
      <c r="C77" s="433">
        <v>72</v>
      </c>
      <c r="D77" s="949">
        <v>45568</v>
      </c>
    </row>
    <row r="78" spans="2:4" x14ac:dyDescent="0.2">
      <c r="B78" s="1213"/>
      <c r="C78" s="433">
        <v>73</v>
      </c>
      <c r="D78" s="949">
        <v>45569</v>
      </c>
    </row>
    <row r="79" spans="2:4" x14ac:dyDescent="0.2">
      <c r="B79" s="1213"/>
      <c r="C79" s="433">
        <v>74</v>
      </c>
      <c r="D79" s="949">
        <v>45569</v>
      </c>
    </row>
    <row r="80" spans="2:4" x14ac:dyDescent="0.2">
      <c r="B80" s="1213"/>
      <c r="C80" s="433">
        <v>75</v>
      </c>
      <c r="D80" s="949">
        <v>45572</v>
      </c>
    </row>
    <row r="81" spans="2:4" x14ac:dyDescent="0.2">
      <c r="B81" s="1213"/>
      <c r="C81" s="433">
        <v>76</v>
      </c>
      <c r="D81" s="949">
        <v>45572</v>
      </c>
    </row>
    <row r="82" spans="2:4" x14ac:dyDescent="0.2">
      <c r="B82" s="1213"/>
      <c r="C82" s="433">
        <v>77</v>
      </c>
      <c r="D82" s="949">
        <v>45573</v>
      </c>
    </row>
    <row r="83" spans="2:4" x14ac:dyDescent="0.2">
      <c r="B83" s="1213"/>
      <c r="C83" s="433">
        <v>78</v>
      </c>
      <c r="D83" s="949">
        <v>45573</v>
      </c>
    </row>
    <row r="84" spans="2:4" x14ac:dyDescent="0.2">
      <c r="B84" s="1213"/>
      <c r="C84" s="433">
        <v>79</v>
      </c>
      <c r="D84" s="949">
        <v>45574</v>
      </c>
    </row>
    <row r="85" spans="2:4" x14ac:dyDescent="0.2">
      <c r="B85" s="1213"/>
      <c r="C85" s="433">
        <v>80</v>
      </c>
      <c r="D85" s="949">
        <v>45574</v>
      </c>
    </row>
    <row r="86" spans="2:4" ht="15" customHeight="1" x14ac:dyDescent="0.2">
      <c r="B86" s="1213"/>
      <c r="C86" s="433">
        <v>81</v>
      </c>
      <c r="D86" s="949">
        <v>45575</v>
      </c>
    </row>
    <row r="87" spans="2:4" x14ac:dyDescent="0.2">
      <c r="B87" s="1213"/>
      <c r="C87" s="433">
        <v>82</v>
      </c>
      <c r="D87" s="949">
        <v>45575</v>
      </c>
    </row>
    <row r="88" spans="2:4" x14ac:dyDescent="0.2">
      <c r="B88" s="1213"/>
      <c r="C88" s="433">
        <v>83</v>
      </c>
      <c r="D88" s="949">
        <v>45576</v>
      </c>
    </row>
    <row r="89" spans="2:4" x14ac:dyDescent="0.2">
      <c r="B89" s="1213"/>
      <c r="C89" s="433">
        <v>84</v>
      </c>
      <c r="D89" s="949">
        <v>45576</v>
      </c>
    </row>
    <row r="90" spans="2:4" x14ac:dyDescent="0.2">
      <c r="B90" s="1213"/>
      <c r="C90" s="433">
        <v>85</v>
      </c>
      <c r="D90" s="949">
        <v>45580</v>
      </c>
    </row>
    <row r="91" spans="2:4" x14ac:dyDescent="0.2">
      <c r="B91" s="1213"/>
      <c r="C91" s="433">
        <v>86</v>
      </c>
      <c r="D91" s="949">
        <v>45580</v>
      </c>
    </row>
    <row r="92" spans="2:4" x14ac:dyDescent="0.2">
      <c r="B92" s="1213"/>
      <c r="C92" s="433">
        <v>87</v>
      </c>
      <c r="D92" s="949">
        <v>45581</v>
      </c>
    </row>
    <row r="93" spans="2:4" x14ac:dyDescent="0.2">
      <c r="B93" s="1213"/>
      <c r="C93" s="433">
        <v>88</v>
      </c>
      <c r="D93" s="949">
        <v>45581</v>
      </c>
    </row>
    <row r="94" spans="2:4" x14ac:dyDescent="0.2">
      <c r="B94" s="1213"/>
      <c r="C94" s="433">
        <v>89</v>
      </c>
      <c r="D94" s="949">
        <v>45582</v>
      </c>
    </row>
    <row r="95" spans="2:4" x14ac:dyDescent="0.2">
      <c r="B95" s="1213"/>
      <c r="C95" s="433">
        <v>90</v>
      </c>
      <c r="D95" s="949">
        <v>45582</v>
      </c>
    </row>
    <row r="96" spans="2:4" ht="15" customHeight="1" x14ac:dyDescent="0.2">
      <c r="B96" s="1213"/>
      <c r="C96" s="433">
        <v>91</v>
      </c>
      <c r="D96" s="949">
        <v>45583</v>
      </c>
    </row>
    <row r="97" spans="2:4" x14ac:dyDescent="0.2">
      <c r="B97" s="1213"/>
      <c r="C97" s="433">
        <v>92</v>
      </c>
      <c r="D97" s="949">
        <v>45583</v>
      </c>
    </row>
    <row r="98" spans="2:4" x14ac:dyDescent="0.2">
      <c r="B98" s="1213"/>
      <c r="C98" s="433">
        <v>93</v>
      </c>
      <c r="D98" s="949">
        <v>45586</v>
      </c>
    </row>
    <row r="99" spans="2:4" x14ac:dyDescent="0.2">
      <c r="B99" s="1213"/>
      <c r="C99" s="433">
        <v>94</v>
      </c>
      <c r="D99" s="949">
        <v>45586</v>
      </c>
    </row>
    <row r="100" spans="2:4" x14ac:dyDescent="0.2">
      <c r="B100" s="1213"/>
      <c r="C100" s="433">
        <v>95</v>
      </c>
      <c r="D100" s="949">
        <v>45587</v>
      </c>
    </row>
    <row r="101" spans="2:4" x14ac:dyDescent="0.2">
      <c r="B101" s="1213"/>
      <c r="C101" s="433">
        <v>96</v>
      </c>
      <c r="D101" s="949">
        <v>45587</v>
      </c>
    </row>
    <row r="102" spans="2:4" x14ac:dyDescent="0.2">
      <c r="B102" s="1213"/>
      <c r="C102" s="433">
        <v>97</v>
      </c>
      <c r="D102" s="949">
        <v>45588</v>
      </c>
    </row>
    <row r="103" spans="2:4" x14ac:dyDescent="0.2">
      <c r="B103" s="1213"/>
      <c r="C103" s="433">
        <v>98</v>
      </c>
      <c r="D103" s="949">
        <v>45588</v>
      </c>
    </row>
    <row r="104" spans="2:4" x14ac:dyDescent="0.2">
      <c r="B104" s="1213"/>
      <c r="C104" s="433">
        <v>99</v>
      </c>
      <c r="D104" s="949">
        <v>45589</v>
      </c>
    </row>
    <row r="105" spans="2:4" ht="15.75" thickBot="1" x14ac:dyDescent="0.25">
      <c r="B105" s="1214"/>
      <c r="C105" s="434" t="s">
        <v>407</v>
      </c>
      <c r="D105" s="952">
        <v>45589</v>
      </c>
    </row>
  </sheetData>
  <mergeCells count="2">
    <mergeCell ref="B3:D3"/>
    <mergeCell ref="B6:B105"/>
  </mergeCells>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A2ED-B2B1-4275-BDB0-CFDE61276DC6}">
  <dimension ref="B1:H35"/>
  <sheetViews>
    <sheetView showGridLines="0" view="pageBreakPreview" topLeftCell="A13" zoomScale="115" zoomScaleNormal="115" zoomScaleSheetLayoutView="115" workbookViewId="0">
      <selection activeCell="E24" sqref="E24"/>
    </sheetView>
  </sheetViews>
  <sheetFormatPr baseColWidth="10" defaultRowHeight="12.75" x14ac:dyDescent="0.2"/>
  <cols>
    <col min="1" max="1" width="0.7109375" customWidth="1"/>
    <col min="2" max="2" width="25.28515625" customWidth="1"/>
    <col min="3" max="3" width="20.85546875" customWidth="1"/>
    <col min="4" max="4" width="26.42578125" customWidth="1"/>
    <col min="5" max="5" width="20.140625" customWidth="1"/>
    <col min="6" max="6" width="23" customWidth="1"/>
    <col min="7" max="7" width="0.42578125" customWidth="1"/>
    <col min="8" max="8" width="13.28515625" hidden="1" customWidth="1"/>
  </cols>
  <sheetData>
    <row r="1" spans="2:6" ht="8.25" customHeight="1" x14ac:dyDescent="0.2"/>
    <row r="2" spans="2:6" ht="29.25" customHeight="1" x14ac:dyDescent="0.2">
      <c r="B2" s="1800" t="s">
        <v>993</v>
      </c>
      <c r="C2" s="1800"/>
      <c r="D2" s="1800"/>
      <c r="E2" s="1800"/>
      <c r="F2" s="1800"/>
    </row>
    <row r="3" spans="2:6" ht="13.5" thickBot="1" x14ac:dyDescent="0.25"/>
    <row r="4" spans="2:6" ht="27.75" customHeight="1" x14ac:dyDescent="0.2">
      <c r="B4" s="1185" t="s">
        <v>791</v>
      </c>
      <c r="C4" s="1186">
        <f>+'FORMULARIO 2023 RENTA'!G6+'FORMULARIO 2023 RENTA'!J6+'FORMULARIO 2023 RENTA'!N6+'FORMULARIO 2023 RENTA'!S6</f>
        <v>1527340518</v>
      </c>
      <c r="D4" s="1802"/>
      <c r="E4" s="1187" t="s">
        <v>995</v>
      </c>
      <c r="F4" s="1188">
        <f>+'FORMULARIO 2023 RENTA'!S7</f>
        <v>0</v>
      </c>
    </row>
    <row r="5" spans="2:6" ht="19.5" customHeight="1" x14ac:dyDescent="0.2">
      <c r="B5" s="1805"/>
      <c r="C5" s="1806"/>
      <c r="D5" s="1803"/>
      <c r="E5" s="1807"/>
      <c r="F5" s="1808"/>
    </row>
    <row r="6" spans="2:6" ht="29.25" customHeight="1" x14ac:dyDescent="0.2">
      <c r="B6" s="1189" t="s">
        <v>792</v>
      </c>
      <c r="C6" s="1183">
        <f>+'FORMULARIO 2023 RENTA'!G8+'FORMULARIO 2023 RENTA'!J8+'FORMULARIO 2023 RENTA'!N8+'FORMULARIO 2023 RENTA'!S8</f>
        <v>57859267.999999993</v>
      </c>
      <c r="D6" s="1803"/>
      <c r="E6" s="1184" t="s">
        <v>996</v>
      </c>
      <c r="F6" s="1190">
        <f>+C4-F4-C6</f>
        <v>1469481250</v>
      </c>
    </row>
    <row r="7" spans="2:6" ht="24.75" customHeight="1" x14ac:dyDescent="0.2">
      <c r="B7" s="1189"/>
      <c r="C7" s="1183"/>
      <c r="D7" s="1803"/>
      <c r="E7" s="1806"/>
      <c r="F7" s="1809"/>
    </row>
    <row r="8" spans="2:6" ht="24.75" customHeight="1" thickBot="1" x14ac:dyDescent="0.25">
      <c r="B8" s="1191" t="s">
        <v>997</v>
      </c>
      <c r="C8" s="1192">
        <f>F6*40%</f>
        <v>587792500</v>
      </c>
      <c r="D8" s="1804"/>
      <c r="E8" s="1193" t="s">
        <v>998</v>
      </c>
      <c r="F8" s="1194">
        <f>1340*'DATOS PARA DEPURAR'!C24</f>
        <v>56832080</v>
      </c>
    </row>
    <row r="9" spans="2:6" ht="24.75" customHeight="1" thickBot="1" x14ac:dyDescent="0.25">
      <c r="B9" s="1195"/>
      <c r="C9" s="1196"/>
      <c r="D9" s="1178"/>
      <c r="E9" s="1197"/>
      <c r="F9" s="1196"/>
    </row>
    <row r="10" spans="2:6" ht="32.25" customHeight="1" thickBot="1" x14ac:dyDescent="0.25">
      <c r="B10" s="1198" t="s">
        <v>999</v>
      </c>
      <c r="C10" s="1199">
        <f>MIN(C8,F8)</f>
        <v>56832080</v>
      </c>
      <c r="D10" s="1200" t="s">
        <v>1005</v>
      </c>
      <c r="E10" s="1201">
        <f>SUM(C14:F14)</f>
        <v>165581597.625</v>
      </c>
      <c r="F10" s="1196"/>
    </row>
    <row r="11" spans="2:6" ht="13.5" thickBot="1" x14ac:dyDescent="0.25"/>
    <row r="12" spans="2:6" ht="46.5" customHeight="1" thickBot="1" x14ac:dyDescent="0.25">
      <c r="B12" s="1179" t="s">
        <v>34</v>
      </c>
      <c r="C12" s="1180" t="str">
        <f>+'FORMULARIO 2023 RENTA'!F5</f>
        <v>Rentas de Trabajo</v>
      </c>
      <c r="D12" s="1181" t="str">
        <f>+'FORMULARIO 2023 RENTA'!I5</f>
        <v>RENTA DE TRABAJO QUE NO PROVIENEN DE RELACION LABORAL O LEGAL Y REGLAMENTARIA</v>
      </c>
      <c r="E12" s="1180" t="str">
        <f>+'FORMULARIO 2023 RENTA'!M5</f>
        <v>Rentas De Capital</v>
      </c>
      <c r="F12" s="1182" t="str">
        <f>+'FORMULARIO 2023 RENTA'!R5</f>
        <v>Rentas No laborales</v>
      </c>
    </row>
    <row r="13" spans="2:6" ht="30" customHeight="1" x14ac:dyDescent="0.2">
      <c r="B13" s="992" t="s">
        <v>991</v>
      </c>
      <c r="C13" s="1177">
        <f>+'FORMULARIO 2023 RENTA'!G10</f>
        <v>104803729</v>
      </c>
      <c r="D13" s="1177">
        <f>+'FORMULARIO 2023 RENTA'!J10</f>
        <v>79811085</v>
      </c>
      <c r="E13" s="1177">
        <f>+'FORMULARIO 2023 RENTA'!N10</f>
        <v>22996731.000000007</v>
      </c>
      <c r="F13" s="1177">
        <f>+'FORMULARIO 2023 RENTA'!S10</f>
        <v>285331899</v>
      </c>
    </row>
    <row r="14" spans="2:6" ht="28.5" customHeight="1" x14ac:dyDescent="0.2">
      <c r="B14" s="1175" t="s">
        <v>992</v>
      </c>
      <c r="C14" s="508">
        <f>+'FORMULARIO 2023 RENTA'!G14+'FORMULARIO 2023 RENTA'!G17</f>
        <v>41581597.625</v>
      </c>
      <c r="D14" s="1174">
        <f>+'FORMULARIO 2023 RENTA'!J12+'FORMULARIO 2023 RENTA'!J17</f>
        <v>0</v>
      </c>
      <c r="E14" s="1176">
        <f>+'FORMULARIO 2023 RENTA'!N14+'FORMULARIO 2023 RENTA'!N17</f>
        <v>0</v>
      </c>
      <c r="F14" s="1176">
        <f>+'FORMULARIO 2023 RENTA'!S14+'FORMULARIO 2023 RENTA'!S17</f>
        <v>124000000</v>
      </c>
    </row>
    <row r="15" spans="2:6" ht="16.5" customHeight="1" x14ac:dyDescent="0.2">
      <c r="B15" s="1801" t="s">
        <v>994</v>
      </c>
      <c r="C15" s="1801"/>
      <c r="D15" s="1801"/>
      <c r="E15" s="1801"/>
      <c r="F15" s="1801"/>
    </row>
    <row r="16" spans="2:6" ht="22.5" customHeight="1" x14ac:dyDescent="0.2">
      <c r="B16" s="1799" t="s">
        <v>1000</v>
      </c>
      <c r="C16" s="1799"/>
      <c r="D16" s="1799"/>
      <c r="E16" s="1799"/>
      <c r="F16" s="1799"/>
    </row>
    <row r="17" spans="2:8" ht="25.5" customHeight="1" x14ac:dyDescent="0.2">
      <c r="B17" s="1175" t="s">
        <v>992</v>
      </c>
      <c r="C17" s="591">
        <f>MIN($C$10,C14)</f>
        <v>41581597.625</v>
      </c>
      <c r="D17" s="591">
        <f>MIN($C$10,D14)</f>
        <v>0</v>
      </c>
      <c r="E17" s="591">
        <f>MIN($C$10,E14)</f>
        <v>0</v>
      </c>
      <c r="F17" s="591">
        <f>MIN($C$10,F14)</f>
        <v>56832080</v>
      </c>
      <c r="G17" s="591"/>
      <c r="H17" s="591"/>
    </row>
    <row r="18" spans="2:8" ht="16.5" customHeight="1" x14ac:dyDescent="0.2">
      <c r="B18" s="1799" t="s">
        <v>1001</v>
      </c>
      <c r="C18" s="1799"/>
      <c r="D18" s="1799"/>
      <c r="E18" s="1799"/>
      <c r="F18" s="1799"/>
    </row>
    <row r="19" spans="2:8" ht="18.75" customHeight="1" x14ac:dyDescent="0.2">
      <c r="B19" s="1799" t="s">
        <v>1002</v>
      </c>
      <c r="C19" s="1799"/>
      <c r="D19" s="1799"/>
      <c r="E19" s="1799"/>
      <c r="F19" s="1799"/>
    </row>
    <row r="20" spans="2:8" ht="18.75" customHeight="1" x14ac:dyDescent="0.2">
      <c r="B20" s="1178" t="s">
        <v>1003</v>
      </c>
      <c r="C20" s="1178" t="s">
        <v>1004</v>
      </c>
      <c r="D20" s="1178" t="s">
        <v>1008</v>
      </c>
    </row>
    <row r="21" spans="2:8" ht="18.75" customHeight="1" x14ac:dyDescent="0.2">
      <c r="B21" s="1174">
        <f>IF(E10&lt;=C10,F17,0)</f>
        <v>0</v>
      </c>
      <c r="C21" s="508">
        <f>+H21</f>
        <v>15250482.375</v>
      </c>
      <c r="D21" s="1202">
        <f>MAX(B21:C21)</f>
        <v>15250482.375</v>
      </c>
      <c r="G21" s="508">
        <f>IF(SUM(C17:F17)&gt;C10,C10-SUM(C17:E17),0)</f>
        <v>15250482.375</v>
      </c>
      <c r="H21" s="508">
        <f>IF(G21&gt;=0,G21,0)</f>
        <v>15250482.375</v>
      </c>
    </row>
    <row r="22" spans="2:8" ht="18.75" customHeight="1" x14ac:dyDescent="0.2">
      <c r="B22" s="1799" t="s">
        <v>1006</v>
      </c>
      <c r="C22" s="1799"/>
      <c r="D22" s="1799"/>
      <c r="E22" s="1799"/>
      <c r="F22" s="1799"/>
      <c r="G22" s="508"/>
      <c r="H22" s="508"/>
    </row>
    <row r="23" spans="2:8" ht="18.75" customHeight="1" x14ac:dyDescent="0.2">
      <c r="B23" s="1178" t="s">
        <v>1003</v>
      </c>
      <c r="C23" s="1178" t="s">
        <v>1004</v>
      </c>
      <c r="D23" s="1178" t="s">
        <v>1008</v>
      </c>
      <c r="G23" s="508"/>
      <c r="H23" s="508"/>
    </row>
    <row r="24" spans="2:8" ht="18.75" customHeight="1" x14ac:dyDescent="0.2">
      <c r="B24" s="508">
        <f>IF(SUM(C17:E17)&lt;=C10,E17,0)</f>
        <v>0</v>
      </c>
      <c r="C24" s="591">
        <f>+H24</f>
        <v>0</v>
      </c>
      <c r="D24" s="1202">
        <f>MAX(B24:C24)</f>
        <v>0</v>
      </c>
      <c r="G24" s="508">
        <f>IF(SUM(C17:E17)&gt;C10,C10-SUM(C17:D17),0)</f>
        <v>0</v>
      </c>
      <c r="H24" s="508">
        <f>IF(G24&gt;=0,G24,0)</f>
        <v>0</v>
      </c>
    </row>
    <row r="25" spans="2:8" ht="18.75" customHeight="1" x14ac:dyDescent="0.2">
      <c r="B25" s="1799" t="s">
        <v>1007</v>
      </c>
      <c r="C25" s="1799"/>
      <c r="D25" s="1799"/>
      <c r="E25" s="1799"/>
      <c r="F25" s="1799"/>
    </row>
    <row r="26" spans="2:8" ht="18.75" customHeight="1" x14ac:dyDescent="0.2">
      <c r="B26" s="1178" t="s">
        <v>1003</v>
      </c>
      <c r="C26" s="1178" t="s">
        <v>1004</v>
      </c>
      <c r="D26" s="1178" t="s">
        <v>1008</v>
      </c>
    </row>
    <row r="27" spans="2:8" ht="18.75" customHeight="1" x14ac:dyDescent="0.2">
      <c r="B27" s="508">
        <f>IF(SUM(C17:D17)&lt;=C10,D17,0)</f>
        <v>0</v>
      </c>
      <c r="C27">
        <f>+H27</f>
        <v>0</v>
      </c>
      <c r="D27" s="508">
        <f>MAX(B27:C27)</f>
        <v>0</v>
      </c>
      <c r="G27">
        <f>IF(SUM(C17:D17)&gt;C10,C10-SUM(C17),0)</f>
        <v>0</v>
      </c>
      <c r="H27">
        <f>IF(G27&gt;=0,G27,0)</f>
        <v>0</v>
      </c>
    </row>
    <row r="28" spans="2:8" x14ac:dyDescent="0.2">
      <c r="B28" s="1799" t="s">
        <v>490</v>
      </c>
      <c r="C28" s="1799"/>
      <c r="D28" s="1799"/>
      <c r="E28" s="1799"/>
      <c r="F28" s="1799"/>
    </row>
    <row r="29" spans="2:8" x14ac:dyDescent="0.2">
      <c r="B29" s="1178" t="s">
        <v>1003</v>
      </c>
      <c r="C29" s="1178" t="s">
        <v>1004</v>
      </c>
      <c r="D29" s="1178" t="s">
        <v>1008</v>
      </c>
    </row>
    <row r="30" spans="2:8" x14ac:dyDescent="0.2">
      <c r="B30" s="591">
        <f>+C17</f>
        <v>41581597.625</v>
      </c>
      <c r="C30">
        <v>0</v>
      </c>
      <c r="D30" s="591">
        <f>MAX(B30:C30)</f>
        <v>41581597.625</v>
      </c>
    </row>
    <row r="32" spans="2:8" ht="18" customHeight="1" x14ac:dyDescent="0.2">
      <c r="B32" s="1810" t="s">
        <v>1009</v>
      </c>
      <c r="C32" s="1810"/>
      <c r="D32" s="1810"/>
      <c r="E32" s="1810"/>
      <c r="F32" s="1810"/>
    </row>
    <row r="33" spans="2:6" ht="21.75" customHeight="1" thickBot="1" x14ac:dyDescent="0.25">
      <c r="B33" s="1799" t="s">
        <v>1000</v>
      </c>
      <c r="C33" s="1799"/>
      <c r="D33" s="1799"/>
      <c r="E33" s="1799"/>
      <c r="F33" s="1799"/>
    </row>
    <row r="34" spans="2:6" ht="46.5" customHeight="1" thickBot="1" x14ac:dyDescent="0.25">
      <c r="B34" s="1203" t="s">
        <v>34</v>
      </c>
      <c r="C34" s="1204" t="str">
        <f>+C12</f>
        <v>Rentas de Trabajo</v>
      </c>
      <c r="D34" s="1209" t="str">
        <f t="shared" ref="D34:F34" si="0">+D12</f>
        <v>RENTA DE TRABAJO QUE NO PROVIENEN DE RELACION LABORAL O LEGAL Y REGLAMENTARIA</v>
      </c>
      <c r="E34" s="1204" t="str">
        <f t="shared" si="0"/>
        <v>Rentas De Capital</v>
      </c>
      <c r="F34" s="1205" t="str">
        <f t="shared" si="0"/>
        <v>Rentas No laborales</v>
      </c>
    </row>
    <row r="35" spans="2:6" ht="24.75" customHeight="1" thickBot="1" x14ac:dyDescent="0.25">
      <c r="B35" s="1206" t="s">
        <v>1010</v>
      </c>
      <c r="C35" s="1207">
        <f>+B30</f>
        <v>41581597.625</v>
      </c>
      <c r="D35" s="1207">
        <f>+D27</f>
        <v>0</v>
      </c>
      <c r="E35" s="1207">
        <f>+D24</f>
        <v>0</v>
      </c>
      <c r="F35" s="1208">
        <f>+D21</f>
        <v>15250482.375</v>
      </c>
    </row>
  </sheetData>
  <sheetProtection algorithmName="SHA-512" hashValue="s79qsbGmYp8RJl+dt1j7BCmln9ckaJfUOqZ7jGtdhyv7W2JQwaZ5KQbG7UNTRUDPFqU3kKb54cbwHc785+YXhQ==" saltValue="EWuobpbdnia6ZJ5eI9CU6Q==" spinCount="100000" sheet="1" objects="1" scenarios="1"/>
  <mergeCells count="14">
    <mergeCell ref="B22:F22"/>
    <mergeCell ref="B25:F25"/>
    <mergeCell ref="B28:F28"/>
    <mergeCell ref="B32:F32"/>
    <mergeCell ref="B33:F33"/>
    <mergeCell ref="B19:F19"/>
    <mergeCell ref="B16:F16"/>
    <mergeCell ref="B18:F18"/>
    <mergeCell ref="B2:F2"/>
    <mergeCell ref="B15:F15"/>
    <mergeCell ref="D4:D8"/>
    <mergeCell ref="B5:C5"/>
    <mergeCell ref="E5:F5"/>
    <mergeCell ref="E7:F7"/>
  </mergeCells>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3281-52A9-431F-BEAE-9764D8B98526}">
  <dimension ref="B1:K49"/>
  <sheetViews>
    <sheetView showGridLines="0" view="pageBreakPreview" topLeftCell="A34" zoomScale="115" zoomScaleNormal="100" zoomScaleSheetLayoutView="115" workbookViewId="0">
      <selection activeCell="D43" sqref="D43"/>
    </sheetView>
  </sheetViews>
  <sheetFormatPr baseColWidth="10" defaultRowHeight="12.75" x14ac:dyDescent="0.2"/>
  <cols>
    <col min="2" max="2" width="34.85546875" customWidth="1"/>
    <col min="3" max="3" width="18.42578125" customWidth="1"/>
    <col min="4" max="4" width="13.42578125" customWidth="1"/>
    <col min="5" max="5" width="15.5703125" customWidth="1"/>
    <col min="6" max="6" width="17.28515625" customWidth="1"/>
    <col min="7" max="7" width="15.42578125" customWidth="1"/>
    <col min="8" max="8" width="20.7109375" customWidth="1"/>
  </cols>
  <sheetData>
    <row r="1" spans="2:8" ht="13.5" thickBot="1" x14ac:dyDescent="0.25"/>
    <row r="2" spans="2:8" ht="21" customHeight="1" thickBot="1" x14ac:dyDescent="0.25">
      <c r="B2" s="1481" t="s">
        <v>932</v>
      </c>
      <c r="C2" s="1482"/>
      <c r="D2" s="1482"/>
      <c r="E2" s="1483"/>
    </row>
    <row r="3" spans="2:8" ht="22.5" customHeight="1" x14ac:dyDescent="0.2">
      <c r="B3" s="1025" t="s">
        <v>928</v>
      </c>
      <c r="C3" s="1029">
        <f>IF('FORMULARIO 2023 RENTA'!S37&gt;0,'FORMULARIO 2023 RENTA'!S37,0)</f>
        <v>240922275</v>
      </c>
      <c r="D3" s="1029"/>
      <c r="E3" s="1030">
        <f>MIN(C3:C4)</f>
        <v>240922275</v>
      </c>
      <c r="F3" s="571">
        <f>IF('FORMULARIO 2023 RENTA'!S37&gt;0,'FORMULARIO 2023 RENTA'!S37*5%*'DATOS PARA DEPURAR'!E11,0)</f>
        <v>0</v>
      </c>
      <c r="G3" s="572"/>
      <c r="H3" s="1039">
        <f>MIN(F3:F4)</f>
        <v>0</v>
      </c>
    </row>
    <row r="4" spans="2:8" ht="22.5" customHeight="1" x14ac:dyDescent="0.2">
      <c r="B4" s="1026" t="s">
        <v>24</v>
      </c>
      <c r="C4" s="1024">
        <f>+C3</f>
        <v>240922275</v>
      </c>
      <c r="D4" s="1024"/>
      <c r="E4" s="1031"/>
      <c r="F4" s="573">
        <f>+C4</f>
        <v>240922275</v>
      </c>
      <c r="G4" s="570"/>
      <c r="H4" s="1040">
        <f>MIN(F7:F9)</f>
        <v>0</v>
      </c>
    </row>
    <row r="5" spans="2:8" ht="22.5" customHeight="1" x14ac:dyDescent="0.25">
      <c r="B5" s="1026" t="s">
        <v>791</v>
      </c>
      <c r="C5" s="1818">
        <f>+('FORMULARIO 2023 RENTA'!G6+'FORMULARIO 2023 RENTA'!J6+'FORMULARIO 2023 RENTA'!N6+'FORMULARIO 2023 RENTA'!S6+'FORMULARIO 2023 RENTA'!J26+'FORMULARIO 2023 RENTA'!J31+'FORMULARIO 2023 RENTA'!J34+'FORMULARIO 2023 RENTA'!J35+'FORMULARIO 2023 RENTA'!J36+'FORMULARIO 2023 RENTA'!J39)</f>
        <v>3617340518</v>
      </c>
      <c r="D5" s="1819"/>
      <c r="E5" s="1031"/>
      <c r="F5" s="573"/>
      <c r="G5" s="570"/>
      <c r="H5" s="1040"/>
    </row>
    <row r="6" spans="2:8" ht="22.5" customHeight="1" x14ac:dyDescent="0.2">
      <c r="B6" s="1026" t="s">
        <v>929</v>
      </c>
      <c r="C6" s="1024">
        <f>IF(('FORMULARIO 2023 RENTA'!G6+'FORMULARIO 2023 RENTA'!J6+'FORMULARIO 2023 RENTA'!N6+'FORMULARIO 2023 RENTA'!S6+'FORMULARIO 2023 RENTA'!J26+'FORMULARIO 2023 RENTA'!J31+'FORMULARIO 2023 RENTA'!J34+'FORMULARIO 2023 RENTA'!J35+'FORMULARIO 2023 RENTA'!J36+'FORMULARIO 2023 RENTA'!J39)&gt;0,('FORMULARIO 2023 RENTA'!G6+'FORMULARIO 2023 RENTA'!J6+'FORMULARIO 2023 RENTA'!N6+'FORMULARIO 2023 RENTA'!S6+'FORMULARIO 2023 RENTA'!J26+'FORMULARIO 2023 RENTA'!J31+'FORMULARIO 2023 RENTA'!J34+'FORMULARIO 2023 RENTA'!J35+'FORMULARIO 2023 RENTA'!J36+'FORMULARIO 2023 RENTA'!J39)*0.5%,0)</f>
        <v>18086702.59</v>
      </c>
      <c r="D6" s="1024"/>
      <c r="E6" s="1031">
        <f>MIN(C6:C9)</f>
        <v>0</v>
      </c>
      <c r="F6" s="571">
        <f>IF(C3=0,C5*0.5%*'DATOS PARA DEPURAR'!E11,0)</f>
        <v>0</v>
      </c>
      <c r="G6" s="572">
        <f>MIN(F6:F9)</f>
        <v>0</v>
      </c>
      <c r="H6" s="1040">
        <f>IF(F6&gt;H4,F6,H4)</f>
        <v>0</v>
      </c>
    </row>
    <row r="7" spans="2:8" ht="22.5" customHeight="1" x14ac:dyDescent="0.2">
      <c r="B7" s="1026" t="s">
        <v>399</v>
      </c>
      <c r="C7" s="1024">
        <f>IF(('FORMULARIO 2023 RENTA'!G6+'FORMULARIO 2023 RENTA'!J6+'FORMULARIO 2023 RENTA'!N6+'FORMULARIO 2023 RENTA'!S6+'FORMULARIO 2023 RENTA'!J26+'FORMULARIO 2023 RENTA'!J31+'FORMULARIO 2023 RENTA'!J34+'FORMULARIO 2023 RENTA'!J35+'FORMULARIO 2023 RENTA'!J36+'FORMULARIO 2023 RENTA'!J39)&gt;0,('FORMULARIO 2023 RENTA'!G6+'FORMULARIO 2023 RENTA'!J6+'FORMULARIO 2023 RENTA'!N6+'FORMULARIO 2023 RENTA'!S6+'FORMULARIO 2023 RENTA'!J26+'FORMULARIO 2023 RENTA'!J31+'FORMULARIO 2023 RENTA'!J34+'FORMULARIO 2023 RENTA'!J35+'FORMULARIO 2023 RENTA'!J36+'FORMULARIO 2023 RENTA'!J39)*5%,0)</f>
        <v>180867025.90000001</v>
      </c>
      <c r="D7" s="1024"/>
      <c r="E7" s="1031"/>
      <c r="F7" s="571">
        <f>+C7</f>
        <v>180867025.90000001</v>
      </c>
      <c r="G7" s="570"/>
      <c r="H7" s="1041"/>
    </row>
    <row r="8" spans="2:8" ht="22.5" customHeight="1" x14ac:dyDescent="0.2">
      <c r="B8" s="1026" t="s">
        <v>400</v>
      </c>
      <c r="C8" s="1024">
        <f>IF('FORMULARIO 2023 RENTA'!S37=0,('FORMULARIO 2023 RENTA'!S38+'FORMULARIO 2023 RENTA'!S39+'FORMULARIO 2023 RENTA'!S41-'FORMULARIO 2023 RENTA'!S37-'FORMULARIO 2023 RENTA'!S41)*2,0)</f>
        <v>0</v>
      </c>
      <c r="D8" s="1024"/>
      <c r="E8" s="1031"/>
      <c r="F8" s="571">
        <f>+C8</f>
        <v>0</v>
      </c>
      <c r="G8" s="571"/>
      <c r="H8" s="1042"/>
    </row>
    <row r="9" spans="2:8" ht="22.5" customHeight="1" x14ac:dyDescent="0.2">
      <c r="B9" s="1026" t="s">
        <v>401</v>
      </c>
      <c r="C9" s="1024">
        <f>2500*'DATOS PARA DEPURAR'!C24</f>
        <v>106030000</v>
      </c>
      <c r="D9" s="1024"/>
      <c r="E9" s="1031"/>
      <c r="F9" s="571">
        <f>+C9</f>
        <v>106030000</v>
      </c>
      <c r="G9" s="571"/>
      <c r="H9" s="1042">
        <f>MIN(F12:F14)</f>
        <v>0</v>
      </c>
    </row>
    <row r="10" spans="2:8" ht="22.5" customHeight="1" x14ac:dyDescent="0.25">
      <c r="B10" s="1026" t="s">
        <v>927</v>
      </c>
      <c r="C10" s="1818">
        <f>+'DATOS PARA DEPURAR'!E20</f>
        <v>100000000</v>
      </c>
      <c r="D10" s="1819"/>
      <c r="E10" s="1031"/>
      <c r="F10" s="571"/>
      <c r="G10" s="571"/>
      <c r="H10" s="1042"/>
    </row>
    <row r="11" spans="2:8" ht="28.5" customHeight="1" x14ac:dyDescent="0.2">
      <c r="B11" s="1036" t="s">
        <v>930</v>
      </c>
      <c r="C11" s="1032">
        <f>IF('DATOS PARA DEPURAR'!E20&gt;0,'DATOS PARA DEPURAR'!E20*1%,0)</f>
        <v>1000000</v>
      </c>
      <c r="D11" s="1032"/>
      <c r="E11" s="1031">
        <f>MIN(C11:C14)</f>
        <v>0</v>
      </c>
      <c r="F11" s="578" t="b">
        <f>IF(C3=0,IF((C5)&lt;=0,C10*1%*'DATOS PARA DEPURAR'!E11,0))</f>
        <v>0</v>
      </c>
      <c r="G11" s="578"/>
      <c r="H11" s="1043" t="b">
        <f>IF(F11&gt;H9,F11,H9)</f>
        <v>0</v>
      </c>
    </row>
    <row r="12" spans="2:8" ht="22.5" customHeight="1" x14ac:dyDescent="0.2">
      <c r="B12" s="1027" t="s">
        <v>399</v>
      </c>
      <c r="C12" s="1032">
        <f>IF('DATOS PARA DEPURAR'!E20&gt;0,'DATOS PARA DEPURAR'!E20*10%,0)</f>
        <v>10000000</v>
      </c>
      <c r="D12" s="1032"/>
      <c r="E12" s="1033"/>
      <c r="F12" s="578">
        <f>+C12</f>
        <v>10000000</v>
      </c>
      <c r="G12" s="578"/>
      <c r="H12" s="1043"/>
    </row>
    <row r="13" spans="2:8" ht="22.5" customHeight="1" x14ac:dyDescent="0.2">
      <c r="B13" s="1027" t="s">
        <v>400</v>
      </c>
      <c r="C13" s="1032">
        <f>IF('FORMULARIO 2023 RENTA'!S37=0,('FORMULARIO 2023 RENTA'!S38+'FORMULARIO 2023 RENTA'!S39+'FORMULARIO 2023 RENTA'!S41-'FORMULARIO 2023 RENTA'!S37-'FORMULARIO 2023 RENTA'!S41)*2,0)</f>
        <v>0</v>
      </c>
      <c r="D13" s="1032"/>
      <c r="E13" s="1033"/>
      <c r="F13" s="578">
        <f>+C13</f>
        <v>0</v>
      </c>
      <c r="G13" s="578"/>
      <c r="H13" s="1043"/>
    </row>
    <row r="14" spans="2:8" ht="22.5" customHeight="1" thickBot="1" x14ac:dyDescent="0.25">
      <c r="B14" s="1028" t="s">
        <v>401</v>
      </c>
      <c r="C14" s="1034">
        <f>2500*'DATOS PARA DEPURAR'!C24</f>
        <v>106030000</v>
      </c>
      <c r="D14" s="1034"/>
      <c r="E14" s="1035"/>
      <c r="F14" s="578">
        <f>+C14</f>
        <v>106030000</v>
      </c>
      <c r="G14" s="578"/>
      <c r="H14" s="1043"/>
    </row>
    <row r="15" spans="2:8" ht="18.75" customHeight="1" thickBot="1" x14ac:dyDescent="0.25">
      <c r="F15" s="579" t="s">
        <v>409</v>
      </c>
      <c r="G15" s="579">
        <f>10*'DATOS PARA DEPURAR'!E25</f>
        <v>470650</v>
      </c>
      <c r="H15" s="1044">
        <f>+G15</f>
        <v>470650</v>
      </c>
    </row>
    <row r="16" spans="2:8" ht="18.75" customHeight="1" x14ac:dyDescent="0.2">
      <c r="F16" s="1813" t="str">
        <f>+B2</f>
        <v>SANCION DE EXTEMPORANEIDAD</v>
      </c>
      <c r="G16" s="1813"/>
      <c r="H16" s="1038">
        <f>IF(SUM(H3:H14)&gt;0,(MAX(H3:H15)),0)</f>
        <v>0</v>
      </c>
    </row>
    <row r="17" spans="2:11" ht="18.75" customHeight="1" thickBot="1" x14ac:dyDescent="0.25">
      <c r="F17" s="577"/>
      <c r="G17" s="577"/>
      <c r="H17" s="577">
        <f>IF('DATOS PARA DEPURAR'!C11="EXTEMPORANEA",'FORMULARIO 2023 RENTA'!H14,0)</f>
        <v>0</v>
      </c>
    </row>
    <row r="18" spans="2:11" ht="18.75" customHeight="1" thickBot="1" x14ac:dyDescent="0.25">
      <c r="B18" s="1481" t="s">
        <v>415</v>
      </c>
      <c r="C18" s="1482"/>
      <c r="D18" s="1482"/>
      <c r="E18" s="1483"/>
    </row>
    <row r="19" spans="2:11" ht="18.75" customHeight="1" x14ac:dyDescent="0.2">
      <c r="B19" s="247" t="s">
        <v>415</v>
      </c>
      <c r="C19" s="275" t="s">
        <v>441</v>
      </c>
      <c r="D19" s="184"/>
      <c r="E19" s="184">
        <f>IF('FORMULARIO 2023 RENTA'!S38+'FORMULARIO 2023 RENTA'!S39+'FORMULARIO 2023 RENTA'!S40-'FORMULARIO 2023 RENTA'!S37-'FORMULARIO 2023 RENTA'!S41&gt;0,'FORMULARIO 2023 RENTA'!S38+'FORMULARIO 2023 RENTA'!S39+'FORMULARIO 2023 RENTA'!S40-'FORMULARIO 2023 RENTA'!S37-'FORMULARIO 2023 RENTA'!S41,0)</f>
        <v>0</v>
      </c>
      <c r="F19" s="184"/>
      <c r="G19" s="416" t="s">
        <v>440</v>
      </c>
      <c r="H19" s="184"/>
      <c r="I19" s="184"/>
      <c r="J19" s="184"/>
      <c r="K19" s="184"/>
    </row>
    <row r="20" spans="2:11" ht="18.75" customHeight="1" x14ac:dyDescent="0.2">
      <c r="B20" s="184"/>
      <c r="C20" s="247">
        <f>IF(E19&gt;0,E19,0)</f>
        <v>0</v>
      </c>
      <c r="D20" s="184"/>
      <c r="E20" s="184"/>
      <c r="F20" s="184"/>
      <c r="G20" s="248">
        <f>IF('FORMULARIO 2023 RENTA'!S37+'FORMULARIO 2023 RENTA'!S41-'FORMULARIO 2023 RENTA'!S38-'FORMULARIO 2023 RENTA'!S39-'FORMULARIO 2023 RENTA'!S40&gt;0,'FORMULARIO 2023 RENTA'!S37+'FORMULARIO 2023 RENTA'!S41-'FORMULARIO 2023 RENTA'!S38-'FORMULARIO 2023 RENTA'!S39-'FORMULARIO 2023 RENTA'!S40,0)</f>
        <v>248992847.25</v>
      </c>
      <c r="H20" s="184"/>
      <c r="I20" s="184"/>
      <c r="J20" s="184"/>
      <c r="K20" s="184"/>
    </row>
    <row r="21" spans="2:11" ht="18.75" customHeight="1" x14ac:dyDescent="0.2">
      <c r="B21" s="275" t="s">
        <v>416</v>
      </c>
      <c r="C21" s="184">
        <f>IF((('DATOS PARA DEPURAR'!C14)*(-1)-C20)&gt;0,(('DATOS PARA DEPURAR'!C14)*(-1)-C20)*10%,0)</f>
        <v>46500</v>
      </c>
      <c r="D21" s="184"/>
      <c r="E21" s="184"/>
      <c r="F21" s="184"/>
      <c r="G21" s="248">
        <f>IF((G20-'DATOS PARA DEPURAR'!C14)&gt;0,(G20-'DATOS PARA DEPURAR'!C14)*10%,0)</f>
        <v>24945784.725000001</v>
      </c>
      <c r="H21" s="184"/>
      <c r="I21" s="184"/>
      <c r="J21" s="184"/>
      <c r="K21" s="184"/>
    </row>
    <row r="22" spans="2:11" ht="18.75" customHeight="1" x14ac:dyDescent="0.2">
      <c r="B22" s="184"/>
      <c r="C22" s="299">
        <f>+G15</f>
        <v>470650</v>
      </c>
      <c r="D22" s="184"/>
      <c r="E22" s="184"/>
      <c r="F22" s="184"/>
      <c r="G22" s="299">
        <f>+G15</f>
        <v>470650</v>
      </c>
      <c r="H22" s="184"/>
      <c r="I22" s="184"/>
      <c r="J22" s="184"/>
      <c r="K22" s="184"/>
    </row>
    <row r="23" spans="2:11" ht="18.75" customHeight="1" x14ac:dyDescent="0.2">
      <c r="B23" s="184"/>
      <c r="C23" s="184">
        <f>MAX(C21:C22)</f>
        <v>470650</v>
      </c>
      <c r="D23" s="184"/>
      <c r="E23" s="184"/>
      <c r="F23" s="184"/>
      <c r="G23" s="363">
        <f>MAX(G21:G22)</f>
        <v>24945784.725000001</v>
      </c>
      <c r="I23" s="184"/>
      <c r="J23" s="184"/>
      <c r="K23" s="184"/>
    </row>
    <row r="24" spans="2:11" ht="18.75" customHeight="1" x14ac:dyDescent="0.2">
      <c r="B24" s="275" t="s">
        <v>417</v>
      </c>
      <c r="C24" s="184">
        <f>IF('DATOS PARA DEPURAR'!E14="S",C21*2,0)</f>
        <v>0</v>
      </c>
      <c r="D24" s="184"/>
      <c r="E24" s="184"/>
      <c r="F24" s="184"/>
      <c r="G24" s="184">
        <f>IF('DATOS PARA DEPURAR'!E14="S",G21*2,0)</f>
        <v>0</v>
      </c>
      <c r="H24" s="184"/>
      <c r="I24" s="184"/>
      <c r="J24" s="184"/>
      <c r="K24" s="184"/>
    </row>
    <row r="25" spans="2:11" x14ac:dyDescent="0.2">
      <c r="B25" s="184"/>
      <c r="C25" s="299">
        <f>+G15</f>
        <v>470650</v>
      </c>
      <c r="D25" s="184"/>
      <c r="E25" s="184"/>
      <c r="F25" s="184"/>
      <c r="G25" s="377">
        <f>+G15</f>
        <v>470650</v>
      </c>
      <c r="H25" s="184"/>
      <c r="I25" s="184"/>
      <c r="J25" s="184"/>
      <c r="K25" s="184"/>
    </row>
    <row r="26" spans="2:11" x14ac:dyDescent="0.2">
      <c r="B26" s="184"/>
      <c r="C26" s="184">
        <f>MAX(C24:C25)</f>
        <v>470650</v>
      </c>
      <c r="D26" s="184"/>
      <c r="E26" s="184"/>
      <c r="F26" s="184"/>
      <c r="G26" s="184">
        <f>MAX(G24:G25)</f>
        <v>470650</v>
      </c>
      <c r="H26" s="184"/>
      <c r="I26" s="184"/>
      <c r="J26" s="184"/>
      <c r="K26" s="184"/>
    </row>
    <row r="27" spans="2:11" x14ac:dyDescent="0.2">
      <c r="B27" s="184"/>
      <c r="C27" s="184"/>
      <c r="D27" s="184"/>
      <c r="E27" s="184">
        <f>IF(C24&gt;0,C26,C23)</f>
        <v>470650</v>
      </c>
      <c r="F27" s="184"/>
      <c r="G27" s="184"/>
      <c r="H27" s="184">
        <f>IF(G24&gt;0,G26,G23)</f>
        <v>24945784.725000001</v>
      </c>
      <c r="I27" s="184"/>
      <c r="J27" s="184"/>
      <c r="K27" s="184"/>
    </row>
    <row r="29" spans="2:11" ht="15.75" x14ac:dyDescent="0.25">
      <c r="F29" s="1813" t="str">
        <f>+B18</f>
        <v>SANCION DE CORRECCION</v>
      </c>
      <c r="G29" s="1813"/>
      <c r="H29" s="1045">
        <f>IF('DATOS PARA DEPURAR'!C13="S",H27,0)</f>
        <v>0</v>
      </c>
    </row>
    <row r="30" spans="2:11" ht="13.5" thickBot="1" x14ac:dyDescent="0.25"/>
    <row r="31" spans="2:11" ht="13.5" thickBot="1" x14ac:dyDescent="0.25">
      <c r="B31" s="1815" t="s">
        <v>428</v>
      </c>
      <c r="C31" s="1816"/>
      <c r="D31" s="1816"/>
      <c r="E31" s="1817"/>
      <c r="F31" s="248">
        <f>IF(E19&gt;0,E27,H27)</f>
        <v>24945784.725000001</v>
      </c>
      <c r="G31" s="184"/>
      <c r="H31" s="184"/>
      <c r="I31" s="184"/>
      <c r="J31" s="184"/>
      <c r="K31" s="184"/>
    </row>
    <row r="32" spans="2:11" x14ac:dyDescent="0.2">
      <c r="B32" s="184">
        <f>+'DATOS PARA DEPURAR'!E17</f>
        <v>44301</v>
      </c>
      <c r="C32" s="184"/>
      <c r="D32" s="184"/>
      <c r="E32" s="184"/>
      <c r="F32" s="184"/>
      <c r="G32" s="248">
        <f>+F31/0.1</f>
        <v>249457847.25</v>
      </c>
      <c r="H32" s="184"/>
      <c r="I32" s="184"/>
      <c r="J32" s="184"/>
      <c r="K32" s="184"/>
    </row>
    <row r="33" spans="2:11" x14ac:dyDescent="0.2">
      <c r="B33" s="184">
        <f>+'DATOS PARA DEPURAR'!C17</f>
        <v>45568</v>
      </c>
      <c r="C33" s="184"/>
      <c r="D33" s="184"/>
      <c r="E33" s="184"/>
      <c r="F33" s="184"/>
      <c r="G33" s="298">
        <f>+G32*B35*5%</f>
        <v>0</v>
      </c>
      <c r="H33" s="184"/>
      <c r="I33" s="184"/>
      <c r="J33" s="184"/>
      <c r="K33" s="184"/>
    </row>
    <row r="34" spans="2:11" x14ac:dyDescent="0.2">
      <c r="B34" s="184">
        <f>IF((B32-B33)&gt;0,B32-B33,0)</f>
        <v>0</v>
      </c>
      <c r="C34" s="184"/>
      <c r="D34" s="184"/>
      <c r="E34" s="184"/>
      <c r="F34" s="184"/>
      <c r="G34" s="390">
        <f>IF(G33&gt;G32,G32,G33)</f>
        <v>0</v>
      </c>
      <c r="H34" s="184"/>
      <c r="I34" s="184"/>
      <c r="J34" s="184"/>
      <c r="K34" s="184"/>
    </row>
    <row r="35" spans="2:11" x14ac:dyDescent="0.2">
      <c r="B35" s="184">
        <f>_xlfn.CEILING.PRECISE(B34/30,1)</f>
        <v>0</v>
      </c>
      <c r="C35" s="184"/>
      <c r="D35" s="184"/>
      <c r="E35" s="184"/>
      <c r="F35" s="184"/>
      <c r="G35" s="184"/>
      <c r="H35" s="184"/>
      <c r="I35" s="184"/>
      <c r="J35" s="184"/>
      <c r="K35" s="184"/>
    </row>
    <row r="36" spans="2:11" x14ac:dyDescent="0.2">
      <c r="B36" s="184"/>
      <c r="C36" s="184"/>
      <c r="D36" s="184"/>
      <c r="E36" s="184"/>
      <c r="F36" s="184"/>
      <c r="G36" s="184"/>
      <c r="H36" s="184"/>
      <c r="I36" s="184"/>
      <c r="J36" s="184"/>
      <c r="K36" s="184"/>
    </row>
    <row r="37" spans="2:11" ht="26.25" customHeight="1" x14ac:dyDescent="0.25">
      <c r="B37" s="184"/>
      <c r="C37" s="184"/>
      <c r="D37" s="184"/>
      <c r="E37" s="184"/>
      <c r="F37" s="1814" t="str">
        <f>+B31</f>
        <v>SANCION DE CORRECCION CUANDO LA INICIAL ES EXTEMPORANEA</v>
      </c>
      <c r="G37" s="1814"/>
      <c r="H37" s="1045">
        <f>IF('DATOS PARA DEPURAR'!C22="S",G34,0)</f>
        <v>0</v>
      </c>
      <c r="I37" s="184"/>
      <c r="J37" s="184"/>
      <c r="K37" s="184"/>
    </row>
    <row r="38" spans="2:11" ht="13.5" thickBot="1" x14ac:dyDescent="0.25">
      <c r="B38" s="184"/>
      <c r="C38" s="184"/>
      <c r="D38" s="184"/>
      <c r="E38" s="184"/>
      <c r="F38" s="184"/>
      <c r="G38" s="184"/>
      <c r="H38" s="184"/>
      <c r="I38" s="184"/>
      <c r="J38" s="184"/>
      <c r="K38" s="184"/>
    </row>
    <row r="39" spans="2:11" x14ac:dyDescent="0.2">
      <c r="B39" s="1049" t="s">
        <v>932</v>
      </c>
      <c r="C39" s="1050">
        <f>+H16</f>
        <v>0</v>
      </c>
      <c r="D39" s="184"/>
      <c r="E39" s="184"/>
      <c r="F39" s="184"/>
      <c r="G39" s="184"/>
      <c r="H39" s="184"/>
      <c r="I39" s="184"/>
      <c r="J39" s="184"/>
      <c r="K39" s="184"/>
    </row>
    <row r="40" spans="2:11" x14ac:dyDescent="0.2">
      <c r="B40" s="1051" t="s">
        <v>415</v>
      </c>
      <c r="C40" s="1052">
        <f>+H29</f>
        <v>0</v>
      </c>
      <c r="D40" s="184"/>
      <c r="E40" s="184"/>
      <c r="F40" s="184"/>
      <c r="G40" s="184"/>
      <c r="H40" s="184"/>
      <c r="I40" s="184"/>
      <c r="J40" s="184"/>
      <c r="K40" s="184"/>
    </row>
    <row r="41" spans="2:11" ht="13.5" thickBot="1" x14ac:dyDescent="0.25">
      <c r="B41" s="1053" t="s">
        <v>431</v>
      </c>
      <c r="C41" s="1054">
        <f>IF('DATOS PARA DEPURAR'!C15="S",G34,0)</f>
        <v>0</v>
      </c>
      <c r="D41" s="184"/>
      <c r="E41" s="184"/>
      <c r="F41" s="184"/>
      <c r="G41" s="184"/>
      <c r="H41" s="184"/>
      <c r="I41" s="184"/>
      <c r="J41" s="184"/>
      <c r="K41" s="184"/>
    </row>
    <row r="42" spans="2:11" x14ac:dyDescent="0.2">
      <c r="B42" s="1165" t="s">
        <v>931</v>
      </c>
      <c r="C42" s="1166">
        <f>IF((C39&lt;=0),C40+C41,IF(C40&lt;=0,C39,IF(SUM(C39:C40)&lt;=0,0,0)))</f>
        <v>0</v>
      </c>
      <c r="D42" s="184"/>
      <c r="E42" s="184"/>
      <c r="F42" s="184"/>
      <c r="G42" s="184"/>
      <c r="H42" s="184"/>
      <c r="I42" s="184"/>
      <c r="J42" s="184"/>
      <c r="K42" s="184"/>
    </row>
    <row r="43" spans="2:11" x14ac:dyDescent="0.2">
      <c r="B43" s="1811" t="s">
        <v>987</v>
      </c>
      <c r="C43" s="1812"/>
    </row>
    <row r="44" spans="2:11" ht="20.25" customHeight="1" x14ac:dyDescent="0.2">
      <c r="B44" s="4" t="str">
        <f>+'DATOS PARA DEPURAR'!B16</f>
        <v>APLICA NUM 1 ART 640 E.T.</v>
      </c>
      <c r="C44" s="1169">
        <f>IF('DATOS PARA DEPURAR'!C16="S",SANCIONES!C42*50%,0)</f>
        <v>0</v>
      </c>
    </row>
    <row r="45" spans="2:11" ht="20.25" customHeight="1" x14ac:dyDescent="0.2">
      <c r="B45" s="4" t="str">
        <f>+'DATOS PARA DEPURAR'!D16</f>
        <v>APLICA NUM 2 ART 640 E.T.</v>
      </c>
      <c r="C45" s="1169">
        <f>IF('DATOS PARA DEPURAR'!E16="S",SANCIONES!C42*75%,0)</f>
        <v>0</v>
      </c>
    </row>
    <row r="46" spans="2:11" ht="16.5" customHeight="1" x14ac:dyDescent="0.2">
      <c r="B46" s="1168" t="s">
        <v>988</v>
      </c>
      <c r="C46" s="1170">
        <f>IF(C44&gt;0,C44,C45)</f>
        <v>0</v>
      </c>
    </row>
    <row r="47" spans="2:11" ht="15.75" customHeight="1" x14ac:dyDescent="0.2">
      <c r="B47" s="513" t="s">
        <v>990</v>
      </c>
      <c r="C47" s="1171">
        <f>IF(C46&gt;0,C46,C42)</f>
        <v>0</v>
      </c>
    </row>
    <row r="48" spans="2:11" x14ac:dyDescent="0.2">
      <c r="B48" s="1167" t="s">
        <v>409</v>
      </c>
      <c r="C48" s="1172">
        <f>+G15</f>
        <v>470650</v>
      </c>
    </row>
    <row r="49" spans="2:3" x14ac:dyDescent="0.2">
      <c r="B49" s="1167" t="s">
        <v>989</v>
      </c>
      <c r="C49" s="1169">
        <f>IF(C42&gt;0,MAX(C47:C48),0)</f>
        <v>0</v>
      </c>
    </row>
  </sheetData>
  <sheetProtection algorithmName="SHA-512" hashValue="B9iyn/aUqi7YhxM9A1nY2G18hT5rjIs8EeUm3klTEmBzZhUl5x6/a6ziwN0rRjQp2Y+sBxEULs+S2B4Y9XbrFA==" saltValue="FOouAVCZHu1MbDSSj9MkVA==" spinCount="100000" sheet="1" objects="1" scenarios="1"/>
  <mergeCells count="9">
    <mergeCell ref="B43:C43"/>
    <mergeCell ref="F29:G29"/>
    <mergeCell ref="F37:G37"/>
    <mergeCell ref="B31:E31"/>
    <mergeCell ref="B2:E2"/>
    <mergeCell ref="C5:D5"/>
    <mergeCell ref="C10:D10"/>
    <mergeCell ref="F16:G16"/>
    <mergeCell ref="B18:E18"/>
  </mergeCell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BB66-A5B7-4F26-942B-7FAAE506B9E2}">
  <dimension ref="A1:J18"/>
  <sheetViews>
    <sheetView view="pageBreakPreview" topLeftCell="A2" zoomScale="160" zoomScaleNormal="100" zoomScaleSheetLayoutView="160" workbookViewId="0">
      <selection activeCell="D29" sqref="D29"/>
    </sheetView>
  </sheetViews>
  <sheetFormatPr baseColWidth="10" defaultRowHeight="12.75" x14ac:dyDescent="0.2"/>
  <cols>
    <col min="3" max="3" width="33.5703125" customWidth="1"/>
    <col min="4" max="4" width="18.28515625" customWidth="1"/>
    <col min="5" max="5" width="7.85546875" customWidth="1"/>
    <col min="6" max="6" width="13.28515625" customWidth="1"/>
    <col min="7" max="7" width="0.140625" hidden="1" customWidth="1"/>
    <col min="8" max="8" width="11.42578125" hidden="1" customWidth="1"/>
    <col min="9" max="9" width="0" hidden="1" customWidth="1"/>
    <col min="10" max="10" width="11.42578125" hidden="1" customWidth="1"/>
  </cols>
  <sheetData>
    <row r="1" spans="1:7" ht="26.25" customHeight="1" x14ac:dyDescent="0.2">
      <c r="A1" s="1348" t="s">
        <v>924</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4" customHeight="1" x14ac:dyDescent="0.2">
      <c r="A3" s="1352" t="str">
        <f>+'RENTA CEDULAR DIVIDENDOS'!B10</f>
        <v xml:space="preserve">Renta líquida ordinaria año 2016 y anteriores (104 - 105) </v>
      </c>
      <c r="B3" s="1344"/>
      <c r="C3" s="1344"/>
      <c r="D3" s="1344"/>
      <c r="E3" s="1347">
        <f>+'RENTA CEDULAR DIVIDENDOS'!F10</f>
        <v>100000000</v>
      </c>
      <c r="F3" s="1347"/>
    </row>
    <row r="4" spans="1:7" ht="24" customHeight="1" x14ac:dyDescent="0.2">
      <c r="A4" s="1352" t="str">
        <f>+'RENTA CEDULAR DIVIDENDOS'!B11</f>
        <v>1a. Subcédula año 2017 y siguientes numeral 3 art. 49 del E.T.</v>
      </c>
      <c r="B4" s="1344"/>
      <c r="C4" s="1344"/>
      <c r="D4" s="1344"/>
      <c r="E4" s="1347">
        <f>+'RENTA CEDULAR DIVIDENDOS'!F11</f>
        <v>0</v>
      </c>
      <c r="F4" s="1347"/>
    </row>
    <row r="5" spans="1:7" ht="22.5" customHeight="1" x14ac:dyDescent="0.2">
      <c r="A5" s="1340" t="s">
        <v>550</v>
      </c>
      <c r="B5" s="1341"/>
      <c r="C5" s="1341"/>
      <c r="D5" s="1341"/>
      <c r="E5" s="1347">
        <f>SUM(E3:F4)</f>
        <v>100000000</v>
      </c>
      <c r="F5" s="1347"/>
    </row>
    <row r="6" spans="1:7" ht="18.75" customHeight="1" x14ac:dyDescent="0.2">
      <c r="A6" s="1340" t="s">
        <v>750</v>
      </c>
      <c r="B6" s="1341"/>
      <c r="C6" s="1341"/>
      <c r="D6" s="1341"/>
      <c r="E6" s="1342">
        <f>+C17</f>
        <v>10216475</v>
      </c>
      <c r="F6" s="1341"/>
    </row>
    <row r="7" spans="1:7" hidden="1" x14ac:dyDescent="0.2">
      <c r="A7" s="1343"/>
      <c r="B7" s="1343"/>
      <c r="C7" s="1343"/>
      <c r="D7" s="1343"/>
      <c r="E7" s="1343"/>
      <c r="F7" s="1343"/>
    </row>
    <row r="8" spans="1:7" hidden="1" x14ac:dyDescent="0.2"/>
    <row r="9" spans="1:7" ht="13.5" hidden="1" thickBot="1" x14ac:dyDescent="0.25"/>
    <row r="10" spans="1:7" hidden="1" x14ac:dyDescent="0.2">
      <c r="C10" s="521" t="s">
        <v>8</v>
      </c>
      <c r="D10" s="522"/>
      <c r="E10" s="138"/>
      <c r="F10" s="523" t="s">
        <v>10</v>
      </c>
      <c r="G10" s="138"/>
    </row>
    <row r="11" spans="1:7" ht="15.75" hidden="1" thickBot="1" x14ac:dyDescent="0.3">
      <c r="C11" s="1333">
        <f>+E5/F11</f>
        <v>2357.8232575686125</v>
      </c>
      <c r="D11" s="1334"/>
      <c r="E11" s="138"/>
      <c r="F11" s="524">
        <v>42412</v>
      </c>
      <c r="G11" s="138"/>
    </row>
    <row r="12" spans="1:7" ht="13.5" hidden="1" thickBot="1" x14ac:dyDescent="0.25">
      <c r="C12" s="138"/>
      <c r="D12" s="138"/>
      <c r="E12" s="138"/>
      <c r="F12" s="138"/>
      <c r="G12" s="138"/>
    </row>
    <row r="13" spans="1:7" hidden="1" x14ac:dyDescent="0.2">
      <c r="C13" s="525">
        <v>0</v>
      </c>
      <c r="D13" s="526">
        <v>1090</v>
      </c>
      <c r="E13" s="138"/>
      <c r="F13" s="527" t="b">
        <f>IF(C11&lt;=1090,0)</f>
        <v>0</v>
      </c>
      <c r="G13" s="138" t="s">
        <v>553</v>
      </c>
    </row>
    <row r="14" spans="1:7" ht="15.75" hidden="1" thickBot="1" x14ac:dyDescent="0.3">
      <c r="C14" s="531" t="s">
        <v>169</v>
      </c>
      <c r="D14" s="532"/>
      <c r="E14" s="138"/>
      <c r="F14" s="533">
        <f>IF(C11&gt;1090,ROUND((((+C11-1090)*19%)*F11),0))</f>
        <v>10216475</v>
      </c>
      <c r="G14" s="594" t="s">
        <v>554</v>
      </c>
    </row>
    <row r="15" spans="1:7" ht="13.5" hidden="1" thickBot="1" x14ac:dyDescent="0.25">
      <c r="C15" s="138"/>
      <c r="D15" s="138"/>
      <c r="E15" s="138"/>
      <c r="F15" s="138"/>
      <c r="G15" s="138"/>
    </row>
    <row r="16" spans="1:7" hidden="1" x14ac:dyDescent="0.2">
      <c r="C16" s="1329" t="s">
        <v>172</v>
      </c>
      <c r="D16" s="1330"/>
      <c r="E16" s="138"/>
      <c r="F16" s="138"/>
      <c r="G16" s="138"/>
    </row>
    <row r="17" spans="1:7" ht="15.75" hidden="1" thickBot="1" x14ac:dyDescent="0.3">
      <c r="C17" s="1331">
        <f>IF(F13=0,F13,IF(F14&gt;0,F14))</f>
        <v>10216475</v>
      </c>
      <c r="D17" s="1332"/>
      <c r="E17" s="138"/>
      <c r="F17" s="138"/>
      <c r="G17" s="138"/>
    </row>
    <row r="18" spans="1:7" hidden="1" x14ac:dyDescent="0.2">
      <c r="A18" s="1335"/>
      <c r="B18" s="1336"/>
      <c r="C18" s="1336"/>
      <c r="D18" s="1336"/>
      <c r="E18" s="1337"/>
      <c r="F18" s="1337"/>
    </row>
  </sheetData>
  <mergeCells count="17">
    <mergeCell ref="A1:F1"/>
    <mergeCell ref="A2:B2"/>
    <mergeCell ref="E2:F2"/>
    <mergeCell ref="A3:D3"/>
    <mergeCell ref="E3:F3"/>
    <mergeCell ref="A18:D18"/>
    <mergeCell ref="E18:F18"/>
    <mergeCell ref="A4:D4"/>
    <mergeCell ref="E4:F4"/>
    <mergeCell ref="A6:D6"/>
    <mergeCell ref="E6:F6"/>
    <mergeCell ref="A7:F7"/>
    <mergeCell ref="C11:D11"/>
    <mergeCell ref="C16:D16"/>
    <mergeCell ref="C17:D17"/>
    <mergeCell ref="A5:D5"/>
    <mergeCell ref="E5:F5"/>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
    <tabColor rgb="FFFF0000"/>
  </sheetPr>
  <dimension ref="A1:J144"/>
  <sheetViews>
    <sheetView showGridLines="0" view="pageBreakPreview" topLeftCell="A76" zoomScale="115" zoomScaleNormal="100" zoomScaleSheetLayoutView="115" workbookViewId="0">
      <selection activeCell="F96" sqref="F96"/>
    </sheetView>
  </sheetViews>
  <sheetFormatPr baseColWidth="10" defaultRowHeight="12.75" x14ac:dyDescent="0.2"/>
  <cols>
    <col min="1" max="1" width="2.7109375" style="138" customWidth="1"/>
    <col min="2" max="2" width="35.140625" style="138" customWidth="1"/>
    <col min="3" max="3" width="17.5703125" style="138" customWidth="1"/>
    <col min="4" max="4" width="15.85546875" style="138" customWidth="1"/>
    <col min="5" max="5" width="16.5703125" style="138" customWidth="1"/>
    <col min="6" max="6" width="18" style="138" customWidth="1"/>
    <col min="7" max="9" width="0.140625" style="138" hidden="1" customWidth="1"/>
    <col min="10" max="10" width="11.42578125" style="138" hidden="1" customWidth="1"/>
    <col min="11" max="16384" width="11.42578125" style="138"/>
  </cols>
  <sheetData>
    <row r="1" spans="1:7" x14ac:dyDescent="0.2">
      <c r="A1" s="1836" t="s">
        <v>326</v>
      </c>
      <c r="B1" s="1836"/>
      <c r="C1" s="1836"/>
      <c r="D1" s="1836"/>
      <c r="E1" s="1836"/>
      <c r="F1" s="1836"/>
    </row>
    <row r="2" spans="1:7" ht="13.5" thickBot="1" x14ac:dyDescent="0.25">
      <c r="A2" s="1836"/>
      <c r="B2" s="1836"/>
      <c r="C2" s="1836"/>
      <c r="D2" s="1836"/>
      <c r="E2" s="1836"/>
      <c r="F2" s="1836"/>
    </row>
    <row r="3" spans="1:7" ht="16.5" customHeight="1" x14ac:dyDescent="0.2">
      <c r="A3" s="1878" t="s">
        <v>702</v>
      </c>
      <c r="B3" s="1879"/>
      <c r="C3" s="1879"/>
      <c r="D3" s="1879"/>
      <c r="E3" s="1879"/>
      <c r="F3" s="167">
        <f>+E4+E5+E12</f>
        <v>4100000000</v>
      </c>
    </row>
    <row r="4" spans="1:7" ht="19.5" customHeight="1" x14ac:dyDescent="0.2">
      <c r="A4" s="1901"/>
      <c r="B4" s="1880" t="s">
        <v>218</v>
      </c>
      <c r="C4" s="1881"/>
      <c r="D4" s="1882"/>
      <c r="E4" s="139">
        <v>4100000000</v>
      </c>
      <c r="F4" s="1877"/>
    </row>
    <row r="5" spans="1:7" ht="19.5" customHeight="1" x14ac:dyDescent="0.2">
      <c r="A5" s="1901"/>
      <c r="B5" s="1869" t="s">
        <v>219</v>
      </c>
      <c r="C5" s="1869"/>
      <c r="D5" s="1869"/>
      <c r="E5" s="168">
        <f>SUM(D7:D11)</f>
        <v>0</v>
      </c>
      <c r="F5" s="1877"/>
    </row>
    <row r="6" spans="1:7" ht="16.5" customHeight="1" x14ac:dyDescent="0.2">
      <c r="A6" s="1901"/>
      <c r="B6" s="169" t="s">
        <v>222</v>
      </c>
      <c r="C6" s="170" t="s">
        <v>223</v>
      </c>
      <c r="D6" s="170" t="s">
        <v>35</v>
      </c>
      <c r="E6" s="1902"/>
      <c r="F6" s="1877"/>
    </row>
    <row r="7" spans="1:7" ht="16.5" customHeight="1" x14ac:dyDescent="0.2">
      <c r="A7" s="1901"/>
      <c r="B7" s="140"/>
      <c r="C7" s="140"/>
      <c r="D7" s="146"/>
      <c r="E7" s="1902"/>
      <c r="F7" s="1877"/>
    </row>
    <row r="8" spans="1:7" ht="15" customHeight="1" x14ac:dyDescent="0.2">
      <c r="A8" s="1901"/>
      <c r="B8" s="140"/>
      <c r="C8" s="140"/>
      <c r="D8" s="146"/>
      <c r="E8" s="1902"/>
      <c r="F8" s="1877"/>
    </row>
    <row r="9" spans="1:7" ht="15" customHeight="1" x14ac:dyDescent="0.2">
      <c r="A9" s="1901"/>
      <c r="B9" s="140"/>
      <c r="C9" s="140"/>
      <c r="D9" s="146"/>
      <c r="E9" s="1902"/>
      <c r="F9" s="1877"/>
    </row>
    <row r="10" spans="1:7" ht="15" customHeight="1" x14ac:dyDescent="0.2">
      <c r="A10" s="1901"/>
      <c r="B10" s="140"/>
      <c r="C10" s="140"/>
      <c r="D10" s="146"/>
      <c r="E10" s="1902"/>
      <c r="F10" s="1877"/>
    </row>
    <row r="11" spans="1:7" ht="15" customHeight="1" x14ac:dyDescent="0.2">
      <c r="A11" s="1901"/>
      <c r="B11" s="140"/>
      <c r="C11" s="140"/>
      <c r="D11" s="141"/>
      <c r="E11" s="1902"/>
      <c r="F11" s="1877"/>
      <c r="G11" s="142" t="s">
        <v>258</v>
      </c>
    </row>
    <row r="12" spans="1:7" ht="24" customHeight="1" x14ac:dyDescent="0.2">
      <c r="A12" s="1901"/>
      <c r="B12" s="1869" t="s">
        <v>259</v>
      </c>
      <c r="C12" s="1869"/>
      <c r="D12" s="1869"/>
      <c r="E12" s="172">
        <f>SUM(D14:D18)</f>
        <v>0</v>
      </c>
      <c r="F12" s="1877"/>
      <c r="G12" s="142" t="s">
        <v>257</v>
      </c>
    </row>
    <row r="13" spans="1:7" ht="21" customHeight="1" x14ac:dyDescent="0.2">
      <c r="A13" s="1901"/>
      <c r="B13" s="169" t="s">
        <v>222</v>
      </c>
      <c r="C13" s="170" t="s">
        <v>223</v>
      </c>
      <c r="D13" s="170" t="s">
        <v>35</v>
      </c>
      <c r="E13" s="1902"/>
      <c r="F13" s="1877"/>
      <c r="G13" s="142" t="s">
        <v>256</v>
      </c>
    </row>
    <row r="14" spans="1:7" ht="16.5" customHeight="1" x14ac:dyDescent="0.2">
      <c r="A14" s="1901"/>
      <c r="B14" s="140"/>
      <c r="C14" s="140"/>
      <c r="D14" s="141"/>
      <c r="E14" s="1902"/>
      <c r="F14" s="1877"/>
      <c r="G14" s="143" t="s">
        <v>220</v>
      </c>
    </row>
    <row r="15" spans="1:7" ht="16.5" customHeight="1" x14ac:dyDescent="0.2">
      <c r="A15" s="1901"/>
      <c r="B15" s="140"/>
      <c r="C15" s="140"/>
      <c r="D15" s="141"/>
      <c r="E15" s="1902"/>
      <c r="F15" s="1877"/>
      <c r="G15" s="144" t="s">
        <v>224</v>
      </c>
    </row>
    <row r="16" spans="1:7" ht="16.5" customHeight="1" x14ac:dyDescent="0.2">
      <c r="A16" s="1901"/>
      <c r="B16" s="140"/>
      <c r="C16" s="140"/>
      <c r="D16" s="141"/>
      <c r="E16" s="1902"/>
      <c r="F16" s="1877"/>
      <c r="G16" s="144" t="s">
        <v>225</v>
      </c>
    </row>
    <row r="17" spans="1:7" ht="16.5" customHeight="1" x14ac:dyDescent="0.2">
      <c r="A17" s="1901"/>
      <c r="B17" s="140"/>
      <c r="C17" s="140"/>
      <c r="D17" s="141"/>
      <c r="E17" s="1902"/>
      <c r="F17" s="1877"/>
      <c r="G17" s="144"/>
    </row>
    <row r="18" spans="1:7" ht="16.5" customHeight="1" x14ac:dyDescent="0.2">
      <c r="A18" s="1901"/>
      <c r="B18" s="140"/>
      <c r="C18" s="140"/>
      <c r="D18" s="141"/>
      <c r="E18" s="1902"/>
      <c r="F18" s="1877"/>
      <c r="G18" s="145" t="s">
        <v>226</v>
      </c>
    </row>
    <row r="19" spans="1:7" ht="19.5" customHeight="1" x14ac:dyDescent="0.2">
      <c r="A19" s="1883"/>
      <c r="B19" s="1884"/>
      <c r="C19" s="1884"/>
      <c r="D19" s="1884"/>
      <c r="E19" s="1884"/>
      <c r="F19" s="1885"/>
      <c r="G19" s="144" t="s">
        <v>227</v>
      </c>
    </row>
    <row r="20" spans="1:7" ht="20.25" customHeight="1" x14ac:dyDescent="0.2">
      <c r="A20" s="1891" t="s">
        <v>260</v>
      </c>
      <c r="B20" s="1838"/>
      <c r="C20" s="1838"/>
      <c r="D20" s="1838"/>
      <c r="E20" s="1838"/>
      <c r="F20" s="173">
        <f>SUM(E21:E25)</f>
        <v>26685572.25</v>
      </c>
      <c r="G20" s="143" t="s">
        <v>228</v>
      </c>
    </row>
    <row r="21" spans="1:7" ht="16.5" customHeight="1" x14ac:dyDescent="0.2">
      <c r="A21" s="1901"/>
      <c r="B21" s="1869" t="s">
        <v>980</v>
      </c>
      <c r="C21" s="1869"/>
      <c r="D21" s="1869"/>
      <c r="E21" s="146">
        <f>IF('FORMULARIO 2023 RENTA'!S41&gt;0,'FORMULARIO 2023 RENTA'!S41,0)</f>
        <v>26685572.25</v>
      </c>
      <c r="F21" s="1877"/>
      <c r="G21" s="145" t="s">
        <v>229</v>
      </c>
    </row>
    <row r="22" spans="1:7" ht="16.5" customHeight="1" x14ac:dyDescent="0.2">
      <c r="A22" s="1901"/>
      <c r="B22" s="1869" t="s">
        <v>981</v>
      </c>
      <c r="C22" s="1869"/>
      <c r="D22" s="1869"/>
      <c r="E22" s="146">
        <f>IF('FORMULARIO 2023 RENTA'!S43&gt;0,'FORMULARIO 2023 RENTA'!S43,0)</f>
        <v>0</v>
      </c>
      <c r="F22" s="1877"/>
      <c r="G22" s="145" t="s">
        <v>230</v>
      </c>
    </row>
    <row r="23" spans="1:7" ht="16.5" customHeight="1" x14ac:dyDescent="0.2">
      <c r="A23" s="1901"/>
      <c r="B23" s="1869" t="s">
        <v>982</v>
      </c>
      <c r="C23" s="1869"/>
      <c r="D23" s="1869"/>
      <c r="E23" s="146"/>
      <c r="F23" s="1877"/>
      <c r="G23" s="145"/>
    </row>
    <row r="24" spans="1:7" ht="16.5" customHeight="1" x14ac:dyDescent="0.2">
      <c r="A24" s="1901"/>
      <c r="B24" s="1869" t="s">
        <v>261</v>
      </c>
      <c r="C24" s="1869"/>
      <c r="D24" s="1869"/>
      <c r="E24" s="146"/>
      <c r="F24" s="1877"/>
      <c r="G24" s="144" t="s">
        <v>231</v>
      </c>
    </row>
    <row r="25" spans="1:7" ht="16.5" customHeight="1" x14ac:dyDescent="0.2">
      <c r="A25" s="1901"/>
      <c r="B25" s="1869" t="s">
        <v>262</v>
      </c>
      <c r="C25" s="1869"/>
      <c r="D25" s="1869"/>
      <c r="E25" s="146"/>
      <c r="F25" s="1877"/>
      <c r="G25" s="145" t="s">
        <v>232</v>
      </c>
    </row>
    <row r="26" spans="1:7" ht="20.25" customHeight="1" x14ac:dyDescent="0.2">
      <c r="A26" s="1894"/>
      <c r="B26" s="1895"/>
      <c r="C26" s="1895"/>
      <c r="D26" s="1895"/>
      <c r="E26" s="1895"/>
      <c r="F26" s="1896"/>
      <c r="G26" s="144" t="s">
        <v>233</v>
      </c>
    </row>
    <row r="27" spans="1:7" ht="17.25" customHeight="1" x14ac:dyDescent="0.2">
      <c r="A27" s="1891" t="s">
        <v>263</v>
      </c>
      <c r="B27" s="1838"/>
      <c r="C27" s="1838"/>
      <c r="D27" s="1838"/>
      <c r="E27" s="1838"/>
      <c r="F27" s="173">
        <f>SUM(E28:E33)</f>
        <v>26733343</v>
      </c>
      <c r="G27" s="144" t="s">
        <v>234</v>
      </c>
    </row>
    <row r="28" spans="1:7" ht="19.5" customHeight="1" x14ac:dyDescent="0.2">
      <c r="A28" s="1901"/>
      <c r="B28" s="1892" t="s">
        <v>264</v>
      </c>
      <c r="C28" s="1892"/>
      <c r="D28" s="147" t="s">
        <v>45</v>
      </c>
      <c r="E28" s="146">
        <v>3288899</v>
      </c>
      <c r="F28" s="1877"/>
      <c r="G28" s="144" t="s">
        <v>235</v>
      </c>
    </row>
    <row r="29" spans="1:7" ht="19.5" customHeight="1" x14ac:dyDescent="0.2">
      <c r="A29" s="1901"/>
      <c r="B29" s="1892" t="s">
        <v>265</v>
      </c>
      <c r="C29" s="1892"/>
      <c r="D29" s="1892"/>
      <c r="E29" s="146"/>
      <c r="F29" s="1877"/>
      <c r="G29" s="144" t="s">
        <v>236</v>
      </c>
    </row>
    <row r="30" spans="1:7" ht="19.5" customHeight="1" x14ac:dyDescent="0.2">
      <c r="A30" s="1901"/>
      <c r="B30" s="1900" t="s">
        <v>266</v>
      </c>
      <c r="C30" s="1900"/>
      <c r="D30" s="147" t="s">
        <v>45</v>
      </c>
      <c r="E30" s="146">
        <v>23444444</v>
      </c>
      <c r="F30" s="1877"/>
      <c r="G30" s="144" t="s">
        <v>237</v>
      </c>
    </row>
    <row r="31" spans="1:7" ht="19.5" customHeight="1" x14ac:dyDescent="0.2">
      <c r="A31" s="1901"/>
      <c r="B31" s="1869" t="s">
        <v>267</v>
      </c>
      <c r="C31" s="1869"/>
      <c r="D31" s="1869"/>
      <c r="E31" s="146"/>
      <c r="F31" s="1877"/>
      <c r="G31" s="144" t="s">
        <v>238</v>
      </c>
    </row>
    <row r="32" spans="1:7" ht="19.5" customHeight="1" x14ac:dyDescent="0.2">
      <c r="A32" s="1901"/>
      <c r="B32" s="1869" t="s">
        <v>619</v>
      </c>
      <c r="C32" s="1869"/>
      <c r="D32" s="1869"/>
      <c r="E32" s="146"/>
      <c r="F32" s="1877"/>
      <c r="G32" s="148"/>
    </row>
    <row r="33" spans="1:7" ht="19.5" customHeight="1" x14ac:dyDescent="0.2">
      <c r="A33" s="1901"/>
      <c r="B33" s="1892" t="s">
        <v>268</v>
      </c>
      <c r="C33" s="1893"/>
      <c r="D33" s="1893"/>
      <c r="E33" s="146"/>
      <c r="F33" s="1877"/>
      <c r="G33" s="148" t="s">
        <v>239</v>
      </c>
    </row>
    <row r="34" spans="1:7" ht="19.5" customHeight="1" x14ac:dyDescent="0.2">
      <c r="A34" s="1897"/>
      <c r="B34" s="1898"/>
      <c r="C34" s="1898"/>
      <c r="D34" s="1898"/>
      <c r="E34" s="1898"/>
      <c r="F34" s="1899"/>
      <c r="G34" s="149" t="s">
        <v>240</v>
      </c>
    </row>
    <row r="35" spans="1:7" ht="17.25" customHeight="1" x14ac:dyDescent="0.2">
      <c r="A35" s="1891" t="s">
        <v>269</v>
      </c>
      <c r="B35" s="1838"/>
      <c r="C35" s="1838"/>
      <c r="D35" s="1838"/>
      <c r="E35" s="1838"/>
      <c r="F35" s="173">
        <f>SUM(E36:E46)</f>
        <v>0</v>
      </c>
      <c r="G35" s="150" t="s">
        <v>241</v>
      </c>
    </row>
    <row r="36" spans="1:7" ht="16.5" customHeight="1" x14ac:dyDescent="0.2">
      <c r="A36" s="1889"/>
      <c r="B36" s="1892" t="s">
        <v>270</v>
      </c>
      <c r="C36" s="1893"/>
      <c r="D36" s="1893"/>
      <c r="E36" s="174">
        <f>SUM(D37:D41)</f>
        <v>0</v>
      </c>
      <c r="F36" s="1890"/>
      <c r="G36" s="149" t="s">
        <v>242</v>
      </c>
    </row>
    <row r="37" spans="1:7" ht="14.25" customHeight="1" x14ac:dyDescent="0.2">
      <c r="A37" s="1868"/>
      <c r="B37" s="1875" t="s">
        <v>271</v>
      </c>
      <c r="C37" s="1875"/>
      <c r="D37" s="146"/>
      <c r="E37" s="1840"/>
      <c r="F37" s="1867"/>
      <c r="G37" s="150" t="s">
        <v>243</v>
      </c>
    </row>
    <row r="38" spans="1:7" ht="14.25" customHeight="1" x14ac:dyDescent="0.2">
      <c r="A38" s="1868"/>
      <c r="B38" s="1875" t="s">
        <v>272</v>
      </c>
      <c r="C38" s="1875"/>
      <c r="D38" s="146"/>
      <c r="E38" s="1828"/>
      <c r="F38" s="1867"/>
      <c r="G38" s="151" t="s">
        <v>244</v>
      </c>
    </row>
    <row r="39" spans="1:7" ht="14.25" customHeight="1" x14ac:dyDescent="0.2">
      <c r="A39" s="1868"/>
      <c r="B39" s="1875" t="s">
        <v>273</v>
      </c>
      <c r="C39" s="1875"/>
      <c r="D39" s="146"/>
      <c r="E39" s="1828"/>
      <c r="F39" s="1867"/>
      <c r="G39" s="152" t="s">
        <v>221</v>
      </c>
    </row>
    <row r="40" spans="1:7" ht="14.25" customHeight="1" x14ac:dyDescent="0.2">
      <c r="A40" s="1868"/>
      <c r="B40" s="1875" t="s">
        <v>274</v>
      </c>
      <c r="C40" s="1875"/>
      <c r="D40" s="146"/>
      <c r="E40" s="1828"/>
      <c r="F40" s="1867"/>
      <c r="G40" s="145" t="s">
        <v>245</v>
      </c>
    </row>
    <row r="41" spans="1:7" ht="15.75" customHeight="1" x14ac:dyDescent="0.2">
      <c r="A41" s="1868"/>
      <c r="B41" s="1876" t="s">
        <v>983</v>
      </c>
      <c r="C41" s="1876"/>
      <c r="D41" s="153"/>
      <c r="E41" s="1828"/>
      <c r="F41" s="1867"/>
      <c r="G41" s="144" t="s">
        <v>246</v>
      </c>
    </row>
    <row r="42" spans="1:7" ht="16.5" customHeight="1" x14ac:dyDescent="0.2">
      <c r="A42" s="1868"/>
      <c r="B42" s="1869" t="s">
        <v>275</v>
      </c>
      <c r="C42" s="1869"/>
      <c r="D42" s="1869"/>
      <c r="E42" s="140"/>
      <c r="F42" s="1867"/>
      <c r="G42" s="149" t="s">
        <v>247</v>
      </c>
    </row>
    <row r="43" spans="1:7" ht="16.5" customHeight="1" x14ac:dyDescent="0.2">
      <c r="A43" s="1868"/>
      <c r="B43" s="1869" t="s">
        <v>276</v>
      </c>
      <c r="C43" s="1869"/>
      <c r="D43" s="1869"/>
      <c r="E43" s="140"/>
      <c r="F43" s="1867"/>
      <c r="G43" s="149" t="s">
        <v>248</v>
      </c>
    </row>
    <row r="44" spans="1:7" ht="16.5" customHeight="1" x14ac:dyDescent="0.2">
      <c r="A44" s="1868"/>
      <c r="B44" s="1869" t="s">
        <v>277</v>
      </c>
      <c r="C44" s="1869"/>
      <c r="D44" s="1869"/>
      <c r="E44" s="140"/>
      <c r="F44" s="1867"/>
      <c r="G44" s="154" t="s">
        <v>249</v>
      </c>
    </row>
    <row r="45" spans="1:7" ht="16.5" customHeight="1" x14ac:dyDescent="0.2">
      <c r="A45" s="1868"/>
      <c r="B45" s="1869" t="s">
        <v>278</v>
      </c>
      <c r="C45" s="1869"/>
      <c r="D45" s="1869"/>
      <c r="E45" s="140"/>
      <c r="F45" s="1867"/>
      <c r="G45" s="155" t="s">
        <v>250</v>
      </c>
    </row>
    <row r="46" spans="1:7" ht="16.5" customHeight="1" x14ac:dyDescent="0.2">
      <c r="A46" s="1868"/>
      <c r="B46" s="1869" t="s">
        <v>279</v>
      </c>
      <c r="C46" s="1869"/>
      <c r="D46" s="1869"/>
      <c r="E46" s="140"/>
      <c r="F46" s="1867"/>
      <c r="G46" s="156" t="s">
        <v>251</v>
      </c>
    </row>
    <row r="47" spans="1:7" ht="20.25" customHeight="1" thickBot="1" x14ac:dyDescent="0.25">
      <c r="A47" s="1886"/>
      <c r="B47" s="1887"/>
      <c r="C47" s="1887"/>
      <c r="D47" s="1887"/>
      <c r="E47" s="1887"/>
      <c r="F47" s="1888"/>
      <c r="G47" s="156" t="s">
        <v>252</v>
      </c>
    </row>
    <row r="48" spans="1:7" ht="21.75" customHeight="1" x14ac:dyDescent="0.2">
      <c r="A48" s="1865" t="s">
        <v>280</v>
      </c>
      <c r="B48" s="1866"/>
      <c r="C48" s="1866"/>
      <c r="D48" s="1866"/>
      <c r="E48" s="1866"/>
      <c r="F48" s="175">
        <f>+F49+F58+F67+F76</f>
        <v>0</v>
      </c>
      <c r="G48" s="156" t="s">
        <v>253</v>
      </c>
    </row>
    <row r="49" spans="1:7" ht="20.25" customHeight="1" x14ac:dyDescent="0.2">
      <c r="A49" s="1868"/>
      <c r="B49" s="177" t="s">
        <v>286</v>
      </c>
      <c r="C49" s="1870"/>
      <c r="D49" s="1871"/>
      <c r="E49" s="1872"/>
      <c r="F49" s="176">
        <f>SUM(E51:E56)</f>
        <v>0</v>
      </c>
      <c r="G49" s="157" t="s">
        <v>254</v>
      </c>
    </row>
    <row r="50" spans="1:7" ht="21" customHeight="1" x14ac:dyDescent="0.2">
      <c r="A50" s="1868"/>
      <c r="B50" s="178" t="s">
        <v>291</v>
      </c>
      <c r="C50" s="180" t="s">
        <v>288</v>
      </c>
      <c r="D50" s="178" t="s">
        <v>289</v>
      </c>
      <c r="E50" s="178" t="s">
        <v>290</v>
      </c>
      <c r="F50" s="1843"/>
      <c r="G50" s="157" t="s">
        <v>255</v>
      </c>
    </row>
    <row r="51" spans="1:7" s="159" customFormat="1" ht="15.75" customHeight="1" x14ac:dyDescent="0.2">
      <c r="A51" s="1868"/>
      <c r="B51" s="179" t="s">
        <v>292</v>
      </c>
      <c r="C51" s="158"/>
      <c r="D51" s="604"/>
      <c r="E51" s="160"/>
      <c r="F51" s="1843"/>
    </row>
    <row r="52" spans="1:7" s="159" customFormat="1" ht="15.75" customHeight="1" x14ac:dyDescent="0.2">
      <c r="A52" s="1868"/>
      <c r="B52" s="158" t="s">
        <v>281</v>
      </c>
      <c r="C52" s="158"/>
      <c r="D52" s="604"/>
      <c r="E52" s="160"/>
      <c r="F52" s="1843"/>
      <c r="G52" s="159" t="s">
        <v>281</v>
      </c>
    </row>
    <row r="53" spans="1:7" s="159" customFormat="1" ht="15.75" customHeight="1" x14ac:dyDescent="0.2">
      <c r="A53" s="1868"/>
      <c r="B53" s="158" t="s">
        <v>281</v>
      </c>
      <c r="C53" s="158"/>
      <c r="D53" s="158"/>
      <c r="E53" s="158"/>
      <c r="F53" s="1843"/>
      <c r="G53" s="159" t="s">
        <v>282</v>
      </c>
    </row>
    <row r="54" spans="1:7" s="159" customFormat="1" ht="15.75" customHeight="1" x14ac:dyDescent="0.2">
      <c r="A54" s="1868"/>
      <c r="B54" s="158"/>
      <c r="C54" s="158"/>
      <c r="D54" s="158"/>
      <c r="E54" s="158"/>
      <c r="F54" s="1843"/>
      <c r="G54" s="159" t="s">
        <v>283</v>
      </c>
    </row>
    <row r="55" spans="1:7" s="159" customFormat="1" ht="15.75" customHeight="1" x14ac:dyDescent="0.2">
      <c r="A55" s="1868"/>
      <c r="B55" s="158"/>
      <c r="C55" s="158"/>
      <c r="D55" s="158"/>
      <c r="E55" s="158"/>
      <c r="F55" s="1843"/>
      <c r="G55" s="159" t="s">
        <v>284</v>
      </c>
    </row>
    <row r="56" spans="1:7" s="159" customFormat="1" ht="15.75" customHeight="1" x14ac:dyDescent="0.2">
      <c r="A56" s="1868"/>
      <c r="B56" s="158" t="s">
        <v>304</v>
      </c>
      <c r="C56" s="158"/>
      <c r="D56" s="158"/>
      <c r="E56" s="158"/>
      <c r="F56" s="1843"/>
      <c r="G56" s="159" t="s">
        <v>285</v>
      </c>
    </row>
    <row r="57" spans="1:7" ht="17.25" customHeight="1" x14ac:dyDescent="0.2">
      <c r="A57" s="1841"/>
      <c r="B57" s="1355"/>
      <c r="C57" s="1355"/>
      <c r="D57" s="1355"/>
      <c r="E57" s="1355"/>
      <c r="F57" s="1867"/>
      <c r="G57" s="142" t="s">
        <v>287</v>
      </c>
    </row>
    <row r="58" spans="1:7" ht="18.75" customHeight="1" x14ac:dyDescent="0.2">
      <c r="A58" s="1868"/>
      <c r="B58" s="177" t="s">
        <v>293</v>
      </c>
      <c r="C58" s="1870"/>
      <c r="D58" s="1871"/>
      <c r="E58" s="1872"/>
      <c r="F58" s="176">
        <f>SUM(E60:E65)</f>
        <v>0</v>
      </c>
    </row>
    <row r="59" spans="1:7" ht="22.5" x14ac:dyDescent="0.2">
      <c r="A59" s="1868"/>
      <c r="B59" s="178" t="s">
        <v>291</v>
      </c>
      <c r="C59" s="180" t="s">
        <v>288</v>
      </c>
      <c r="D59" s="178" t="s">
        <v>289</v>
      </c>
      <c r="E59" s="178" t="s">
        <v>290</v>
      </c>
      <c r="F59" s="1843"/>
    </row>
    <row r="60" spans="1:7" s="159" customFormat="1" ht="15" customHeight="1" x14ac:dyDescent="0.2">
      <c r="A60" s="1868"/>
      <c r="B60" s="179" t="s">
        <v>294</v>
      </c>
      <c r="C60" s="158"/>
      <c r="D60" s="158"/>
      <c r="E60" s="160"/>
      <c r="F60" s="1843"/>
    </row>
    <row r="61" spans="1:7" s="159" customFormat="1" ht="15" customHeight="1" x14ac:dyDescent="0.2">
      <c r="A61" s="1868"/>
      <c r="B61" s="179" t="s">
        <v>294</v>
      </c>
      <c r="C61" s="158"/>
      <c r="D61" s="158"/>
      <c r="E61" s="160"/>
      <c r="F61" s="1843"/>
    </row>
    <row r="62" spans="1:7" s="159" customFormat="1" ht="15" customHeight="1" x14ac:dyDescent="0.2">
      <c r="A62" s="1868"/>
      <c r="B62" s="158" t="s">
        <v>285</v>
      </c>
      <c r="C62" s="158"/>
      <c r="D62" s="158"/>
      <c r="E62" s="160"/>
      <c r="F62" s="1843"/>
    </row>
    <row r="63" spans="1:7" s="159" customFormat="1" ht="15" customHeight="1" x14ac:dyDescent="0.2">
      <c r="A63" s="1868"/>
      <c r="B63" s="158" t="s">
        <v>282</v>
      </c>
      <c r="C63" s="158"/>
      <c r="D63" s="158"/>
      <c r="E63" s="160"/>
      <c r="F63" s="1843"/>
    </row>
    <row r="64" spans="1:7" s="159" customFormat="1" ht="15" customHeight="1" x14ac:dyDescent="0.2">
      <c r="A64" s="1868"/>
      <c r="B64" s="158" t="s">
        <v>284</v>
      </c>
      <c r="C64" s="158"/>
      <c r="D64" s="158"/>
      <c r="E64" s="160"/>
      <c r="F64" s="1843"/>
    </row>
    <row r="65" spans="1:7" s="159" customFormat="1" ht="15" customHeight="1" x14ac:dyDescent="0.2">
      <c r="A65" s="1868"/>
      <c r="B65" s="158" t="s">
        <v>390</v>
      </c>
      <c r="C65" s="158"/>
      <c r="D65" s="158"/>
      <c r="E65" s="160"/>
      <c r="F65" s="1843"/>
    </row>
    <row r="66" spans="1:7" ht="18.75" customHeight="1" x14ac:dyDescent="0.2">
      <c r="A66" s="1841"/>
      <c r="B66" s="1355"/>
      <c r="C66" s="1355"/>
      <c r="D66" s="1355"/>
      <c r="E66" s="1355"/>
      <c r="F66" s="1867"/>
    </row>
    <row r="67" spans="1:7" ht="18" customHeight="1" x14ac:dyDescent="0.2">
      <c r="A67" s="1868"/>
      <c r="B67" s="177" t="s">
        <v>305</v>
      </c>
      <c r="C67" s="1870"/>
      <c r="D67" s="1871"/>
      <c r="E67" s="1872"/>
      <c r="F67" s="176">
        <f>SUM(E69:E74)</f>
        <v>0</v>
      </c>
      <c r="G67" s="142" t="s">
        <v>295</v>
      </c>
    </row>
    <row r="68" spans="1:7" ht="17.25" customHeight="1" x14ac:dyDescent="0.2">
      <c r="A68" s="1868"/>
      <c r="B68" s="1825" t="s">
        <v>291</v>
      </c>
      <c r="C68" s="1827"/>
      <c r="D68" s="178" t="s">
        <v>302</v>
      </c>
      <c r="E68" s="178" t="s">
        <v>290</v>
      </c>
      <c r="F68" s="1843"/>
      <c r="G68" s="161" t="s">
        <v>296</v>
      </c>
    </row>
    <row r="69" spans="1:7" ht="16.5" customHeight="1" x14ac:dyDescent="0.2">
      <c r="A69" s="1868"/>
      <c r="B69" s="1847" t="s">
        <v>299</v>
      </c>
      <c r="C69" s="1849"/>
      <c r="D69" s="140">
        <v>0</v>
      </c>
      <c r="E69" s="162"/>
      <c r="F69" s="1843"/>
      <c r="G69" s="142" t="s">
        <v>297</v>
      </c>
    </row>
    <row r="70" spans="1:7" ht="16.5" customHeight="1" x14ac:dyDescent="0.2">
      <c r="A70" s="1868"/>
      <c r="B70" s="1847"/>
      <c r="C70" s="1849"/>
      <c r="D70" s="140">
        <v>0</v>
      </c>
      <c r="E70" s="162"/>
      <c r="F70" s="1843"/>
      <c r="G70" s="142" t="s">
        <v>298</v>
      </c>
    </row>
    <row r="71" spans="1:7" ht="16.5" customHeight="1" x14ac:dyDescent="0.2">
      <c r="A71" s="1868"/>
      <c r="B71" s="1847"/>
      <c r="C71" s="1849"/>
      <c r="D71" s="140"/>
      <c r="E71" s="162"/>
      <c r="F71" s="1843"/>
      <c r="G71" s="142" t="s">
        <v>299</v>
      </c>
    </row>
    <row r="72" spans="1:7" ht="16.5" customHeight="1" x14ac:dyDescent="0.2">
      <c r="A72" s="1868"/>
      <c r="B72" s="1847"/>
      <c r="C72" s="1849"/>
      <c r="D72" s="140"/>
      <c r="E72" s="162"/>
      <c r="F72" s="1843"/>
      <c r="G72" s="142" t="s">
        <v>300</v>
      </c>
    </row>
    <row r="73" spans="1:7" ht="18" customHeight="1" x14ac:dyDescent="0.2">
      <c r="A73" s="1868"/>
      <c r="B73" s="1873" t="s">
        <v>304</v>
      </c>
      <c r="C73" s="1874"/>
      <c r="D73" s="140"/>
      <c r="E73" s="162"/>
      <c r="F73" s="1843"/>
      <c r="G73" s="142" t="s">
        <v>301</v>
      </c>
    </row>
    <row r="74" spans="1:7" ht="18" customHeight="1" x14ac:dyDescent="0.2">
      <c r="A74" s="1868"/>
      <c r="B74" s="1863"/>
      <c r="C74" s="1864"/>
      <c r="D74" s="140"/>
      <c r="E74" s="162"/>
      <c r="F74" s="1843"/>
      <c r="G74" s="142" t="s">
        <v>303</v>
      </c>
    </row>
    <row r="75" spans="1:7" x14ac:dyDescent="0.2">
      <c r="A75" s="1841"/>
      <c r="B75" s="1355"/>
      <c r="C75" s="1355"/>
      <c r="D75" s="1355"/>
      <c r="E75" s="1355"/>
      <c r="F75" s="1867"/>
    </row>
    <row r="76" spans="1:7" ht="18" customHeight="1" x14ac:dyDescent="0.2">
      <c r="A76" s="1868"/>
      <c r="B76" s="1822" t="s">
        <v>306</v>
      </c>
      <c r="C76" s="1823"/>
      <c r="D76" s="1823"/>
      <c r="E76" s="1824"/>
      <c r="F76" s="176">
        <f>SUM(E78:E82)</f>
        <v>0</v>
      </c>
    </row>
    <row r="77" spans="1:7" ht="18" customHeight="1" x14ac:dyDescent="0.2">
      <c r="A77" s="1868"/>
      <c r="B77" s="1825" t="s">
        <v>307</v>
      </c>
      <c r="C77" s="1826"/>
      <c r="D77" s="1827"/>
      <c r="E77" s="178" t="s">
        <v>290</v>
      </c>
      <c r="F77" s="1843"/>
    </row>
    <row r="78" spans="1:7" s="163" customFormat="1" ht="15" customHeight="1" x14ac:dyDescent="0.2">
      <c r="A78" s="1868"/>
      <c r="B78" s="1829" t="s">
        <v>617</v>
      </c>
      <c r="C78" s="1830"/>
      <c r="D78" s="1831"/>
      <c r="E78" s="146"/>
      <c r="F78" s="1843"/>
    </row>
    <row r="79" spans="1:7" s="163" customFormat="1" ht="15" customHeight="1" x14ac:dyDescent="0.2">
      <c r="A79" s="1868"/>
      <c r="B79" s="1829" t="s">
        <v>618</v>
      </c>
      <c r="C79" s="1830"/>
      <c r="D79" s="1831"/>
      <c r="E79" s="146"/>
      <c r="F79" s="1843"/>
    </row>
    <row r="80" spans="1:7" s="163" customFormat="1" ht="15" customHeight="1" x14ac:dyDescent="0.2">
      <c r="A80" s="1868"/>
      <c r="B80" s="1829"/>
      <c r="C80" s="1830"/>
      <c r="D80" s="1831"/>
      <c r="E80" s="146"/>
      <c r="F80" s="1843"/>
    </row>
    <row r="81" spans="1:6" s="163" customFormat="1" ht="15" customHeight="1" x14ac:dyDescent="0.2">
      <c r="A81" s="1868"/>
      <c r="B81" s="1829"/>
      <c r="C81" s="1830"/>
      <c r="D81" s="1831"/>
      <c r="E81" s="146"/>
      <c r="F81" s="1843"/>
    </row>
    <row r="82" spans="1:6" s="163" customFormat="1" ht="15" customHeight="1" x14ac:dyDescent="0.2">
      <c r="A82" s="1868"/>
      <c r="B82" s="1829"/>
      <c r="C82" s="1830"/>
      <c r="D82" s="1831"/>
      <c r="E82" s="146"/>
      <c r="F82" s="1843"/>
    </row>
    <row r="83" spans="1:6" ht="12" customHeight="1" x14ac:dyDescent="0.2">
      <c r="A83" s="1857"/>
      <c r="B83" s="1858"/>
      <c r="C83" s="1858"/>
      <c r="D83" s="1858"/>
      <c r="E83" s="1858"/>
      <c r="F83" s="1859"/>
    </row>
    <row r="84" spans="1:6" ht="16.5" customHeight="1" x14ac:dyDescent="0.2">
      <c r="A84" s="1855" t="s">
        <v>308</v>
      </c>
      <c r="B84" s="1856"/>
      <c r="C84" s="1856"/>
      <c r="D84" s="1856"/>
      <c r="E84" s="1856"/>
      <c r="F84" s="176">
        <f>SUM(E86:E90)</f>
        <v>0</v>
      </c>
    </row>
    <row r="85" spans="1:6" ht="17.25" customHeight="1" x14ac:dyDescent="0.2">
      <c r="A85" s="1841"/>
      <c r="B85" s="1825" t="s">
        <v>307</v>
      </c>
      <c r="C85" s="1826"/>
      <c r="D85" s="1827"/>
      <c r="E85" s="178" t="s">
        <v>290</v>
      </c>
      <c r="F85" s="1843"/>
    </row>
    <row r="86" spans="1:6" ht="17.25" customHeight="1" x14ac:dyDescent="0.2">
      <c r="A86" s="1841"/>
      <c r="B86" s="1860" t="s">
        <v>335</v>
      </c>
      <c r="C86" s="1861"/>
      <c r="D86" s="1862"/>
      <c r="E86" s="162"/>
      <c r="F86" s="1843"/>
    </row>
    <row r="87" spans="1:6" ht="17.25" customHeight="1" x14ac:dyDescent="0.2">
      <c r="A87" s="1841"/>
      <c r="B87" s="1847"/>
      <c r="C87" s="1848"/>
      <c r="D87" s="1849"/>
      <c r="E87" s="162"/>
      <c r="F87" s="1843"/>
    </row>
    <row r="88" spans="1:6" ht="17.25" customHeight="1" x14ac:dyDescent="0.2">
      <c r="A88" s="1841"/>
      <c r="B88" s="1847"/>
      <c r="C88" s="1848"/>
      <c r="D88" s="1849"/>
      <c r="E88" s="162"/>
      <c r="F88" s="1843"/>
    </row>
    <row r="89" spans="1:6" ht="17.25" customHeight="1" x14ac:dyDescent="0.2">
      <c r="A89" s="1841"/>
      <c r="B89" s="1847"/>
      <c r="C89" s="1848"/>
      <c r="D89" s="1849"/>
      <c r="E89" s="162"/>
      <c r="F89" s="1843"/>
    </row>
    <row r="90" spans="1:6" ht="17.25" customHeight="1" thickBot="1" x14ac:dyDescent="0.25">
      <c r="A90" s="1841"/>
      <c r="B90" s="1850"/>
      <c r="C90" s="1851"/>
      <c r="D90" s="1852"/>
      <c r="E90" s="164"/>
      <c r="F90" s="1843"/>
    </row>
    <row r="91" spans="1:6" ht="21" customHeight="1" thickBot="1" x14ac:dyDescent="0.3">
      <c r="A91" s="1842"/>
      <c r="B91" s="1853" t="s">
        <v>309</v>
      </c>
      <c r="C91" s="1854"/>
      <c r="D91" s="1854"/>
      <c r="E91" s="1854"/>
      <c r="F91" s="182">
        <f>+F84+F48+F35+F27+F20+F3</f>
        <v>4153418915.25</v>
      </c>
    </row>
    <row r="92" spans="1:6" ht="21" customHeight="1" x14ac:dyDescent="0.25">
      <c r="A92" s="181"/>
      <c r="B92" s="611"/>
      <c r="C92" s="611"/>
      <c r="D92" s="611"/>
      <c r="E92" s="611"/>
      <c r="F92" s="612"/>
    </row>
    <row r="93" spans="1:6" ht="24.75" customHeight="1" x14ac:dyDescent="0.25">
      <c r="A93" s="181"/>
      <c r="B93" s="611"/>
      <c r="C93" s="611"/>
      <c r="D93" s="611"/>
      <c r="E93" s="611"/>
      <c r="F93" s="612"/>
    </row>
    <row r="94" spans="1:6" ht="27" customHeight="1" x14ac:dyDescent="0.25">
      <c r="A94" s="181"/>
      <c r="B94" s="611"/>
      <c r="C94" s="611"/>
      <c r="D94" s="611"/>
      <c r="E94" s="611"/>
      <c r="F94" s="612"/>
    </row>
    <row r="95" spans="1:6" ht="27" customHeight="1" x14ac:dyDescent="0.25">
      <c r="A95" s="181"/>
      <c r="B95" s="611"/>
      <c r="C95" s="611"/>
      <c r="D95" s="611"/>
      <c r="E95" s="611"/>
      <c r="F95" s="612"/>
    </row>
    <row r="96" spans="1:6" ht="27" customHeight="1" x14ac:dyDescent="0.25">
      <c r="A96" s="181"/>
      <c r="B96" s="611"/>
      <c r="C96" s="611"/>
      <c r="D96" s="611"/>
      <c r="E96" s="611"/>
      <c r="F96" s="612"/>
    </row>
    <row r="97" spans="1:6" x14ac:dyDescent="0.2">
      <c r="A97" s="1836" t="s">
        <v>327</v>
      </c>
      <c r="B97" s="1836"/>
      <c r="C97" s="1836"/>
      <c r="D97" s="1836"/>
      <c r="E97" s="1836"/>
      <c r="F97" s="1836"/>
    </row>
    <row r="98" spans="1:6" ht="8.25" customHeight="1" x14ac:dyDescent="0.2">
      <c r="A98" s="1837"/>
      <c r="B98" s="1837"/>
      <c r="C98" s="1837"/>
      <c r="D98" s="1837"/>
      <c r="E98" s="1837"/>
      <c r="F98" s="1837"/>
    </row>
    <row r="99" spans="1:6" ht="16.5" customHeight="1" x14ac:dyDescent="0.2">
      <c r="A99" s="1838" t="s">
        <v>328</v>
      </c>
      <c r="B99" s="1838"/>
      <c r="C99" s="1838"/>
      <c r="D99" s="1838"/>
      <c r="E99" s="1838"/>
      <c r="F99" s="168">
        <f>+E100+E106+E110+E116</f>
        <v>0</v>
      </c>
    </row>
    <row r="100" spans="1:6" ht="19.5" customHeight="1" x14ac:dyDescent="0.2">
      <c r="A100" s="1845"/>
      <c r="B100" s="1839" t="s">
        <v>329</v>
      </c>
      <c r="C100" s="1839"/>
      <c r="D100" s="1839"/>
      <c r="E100" s="168">
        <f>SUM(D102:D105)</f>
        <v>0</v>
      </c>
      <c r="F100" s="1844"/>
    </row>
    <row r="101" spans="1:6" ht="16.5" customHeight="1" x14ac:dyDescent="0.2">
      <c r="A101" s="1846"/>
      <c r="B101" s="169" t="s">
        <v>222</v>
      </c>
      <c r="C101" s="170" t="s">
        <v>331</v>
      </c>
      <c r="D101" s="170" t="s">
        <v>35</v>
      </c>
      <c r="E101" s="1840"/>
      <c r="F101" s="1355"/>
    </row>
    <row r="102" spans="1:6" ht="13.5" customHeight="1" x14ac:dyDescent="0.2">
      <c r="A102" s="1846"/>
      <c r="B102" s="140" t="s">
        <v>258</v>
      </c>
      <c r="C102" s="605"/>
      <c r="D102" s="146"/>
      <c r="E102" s="1828"/>
      <c r="F102" s="1355"/>
    </row>
    <row r="103" spans="1:6" ht="13.5" customHeight="1" x14ac:dyDescent="0.2">
      <c r="A103" s="1846"/>
      <c r="B103" s="140" t="s">
        <v>226</v>
      </c>
      <c r="C103" s="140"/>
      <c r="D103" s="146"/>
      <c r="E103" s="1828"/>
      <c r="F103" s="1355"/>
    </row>
    <row r="104" spans="1:6" ht="13.5" customHeight="1" x14ac:dyDescent="0.2">
      <c r="A104" s="1846"/>
      <c r="B104" s="140"/>
      <c r="C104" s="140"/>
      <c r="D104" s="146"/>
      <c r="E104" s="1828"/>
      <c r="F104" s="1355"/>
    </row>
    <row r="105" spans="1:6" ht="18" customHeight="1" x14ac:dyDescent="0.2">
      <c r="A105" s="1846"/>
      <c r="B105" s="165" t="s">
        <v>330</v>
      </c>
      <c r="C105" s="140"/>
      <c r="D105" s="139"/>
      <c r="E105" s="1828"/>
      <c r="F105" s="1355"/>
    </row>
    <row r="106" spans="1:6" ht="17.25" customHeight="1" x14ac:dyDescent="0.2">
      <c r="A106" s="1846"/>
      <c r="B106" s="1839" t="s">
        <v>332</v>
      </c>
      <c r="C106" s="1839"/>
      <c r="D106" s="1839"/>
      <c r="E106" s="168">
        <f>SUM(D108:D109)</f>
        <v>0</v>
      </c>
      <c r="F106" s="1355"/>
    </row>
    <row r="107" spans="1:6" ht="16.5" customHeight="1" x14ac:dyDescent="0.2">
      <c r="A107" s="1846"/>
      <c r="B107" s="169" t="s">
        <v>222</v>
      </c>
      <c r="C107" s="170" t="s">
        <v>331</v>
      </c>
      <c r="D107" s="170" t="s">
        <v>35</v>
      </c>
      <c r="E107" s="1840"/>
      <c r="F107" s="1355"/>
    </row>
    <row r="108" spans="1:6" ht="16.5" customHeight="1" x14ac:dyDescent="0.2">
      <c r="A108" s="1846"/>
      <c r="B108" s="140" t="s">
        <v>226</v>
      </c>
      <c r="C108" s="200"/>
      <c r="D108" s="146"/>
      <c r="E108" s="1828"/>
      <c r="F108" s="1355"/>
    </row>
    <row r="109" spans="1:6" ht="16.5" customHeight="1" x14ac:dyDescent="0.2">
      <c r="A109" s="1846"/>
      <c r="B109" s="165" t="s">
        <v>330</v>
      </c>
      <c r="C109" s="140"/>
      <c r="D109" s="139"/>
      <c r="E109" s="1828"/>
      <c r="F109" s="1355"/>
    </row>
    <row r="110" spans="1:6" ht="16.5" customHeight="1" x14ac:dyDescent="0.2">
      <c r="A110" s="1846"/>
      <c r="B110" s="1839" t="s">
        <v>333</v>
      </c>
      <c r="C110" s="1839"/>
      <c r="D110" s="1839"/>
      <c r="E110" s="168">
        <f>SUM(D112:D115)</f>
        <v>0</v>
      </c>
      <c r="F110" s="1355"/>
    </row>
    <row r="111" spans="1:6" ht="16.5" customHeight="1" x14ac:dyDescent="0.2">
      <c r="A111" s="1846"/>
      <c r="B111" s="169" t="s">
        <v>222</v>
      </c>
      <c r="C111" s="170" t="s">
        <v>331</v>
      </c>
      <c r="D111" s="170" t="s">
        <v>35</v>
      </c>
      <c r="E111" s="1840"/>
      <c r="F111" s="1355"/>
    </row>
    <row r="112" spans="1:6" ht="15" customHeight="1" x14ac:dyDescent="0.2">
      <c r="A112" s="1846"/>
      <c r="B112" s="140" t="s">
        <v>226</v>
      </c>
      <c r="C112" s="140"/>
      <c r="D112" s="146"/>
      <c r="E112" s="1828"/>
      <c r="F112" s="1355"/>
    </row>
    <row r="113" spans="1:6" ht="15" customHeight="1" x14ac:dyDescent="0.2">
      <c r="A113" s="1846"/>
      <c r="B113" s="140"/>
      <c r="C113" s="140"/>
      <c r="D113" s="146"/>
      <c r="E113" s="1828"/>
      <c r="F113" s="1355"/>
    </row>
    <row r="114" spans="1:6" ht="15" customHeight="1" x14ac:dyDescent="0.2">
      <c r="A114" s="1846"/>
      <c r="B114" s="140"/>
      <c r="C114" s="140"/>
      <c r="D114" s="146"/>
      <c r="E114" s="1828"/>
      <c r="F114" s="1355"/>
    </row>
    <row r="115" spans="1:6" ht="16.5" customHeight="1" x14ac:dyDescent="0.2">
      <c r="A115" s="1846"/>
      <c r="B115" s="165" t="s">
        <v>330</v>
      </c>
      <c r="C115" s="140"/>
      <c r="D115" s="139"/>
      <c r="E115" s="1828"/>
      <c r="F115" s="1355"/>
    </row>
    <row r="116" spans="1:6" ht="16.5" customHeight="1" x14ac:dyDescent="0.2">
      <c r="A116" s="1846"/>
      <c r="B116" s="1839" t="s">
        <v>334</v>
      </c>
      <c r="C116" s="1839"/>
      <c r="D116" s="1839"/>
      <c r="E116" s="168">
        <f>SUM(D118:D119)</f>
        <v>0</v>
      </c>
      <c r="F116" s="1355"/>
    </row>
    <row r="117" spans="1:6" ht="16.5" customHeight="1" x14ac:dyDescent="0.2">
      <c r="A117" s="1846"/>
      <c r="B117" s="169" t="s">
        <v>222</v>
      </c>
      <c r="C117" s="170" t="s">
        <v>331</v>
      </c>
      <c r="D117" s="170" t="s">
        <v>35</v>
      </c>
      <c r="E117" s="1840"/>
      <c r="F117" s="1355"/>
    </row>
    <row r="118" spans="1:6" ht="16.5" customHeight="1" x14ac:dyDescent="0.2">
      <c r="A118" s="1846"/>
      <c r="B118" s="140" t="s">
        <v>256</v>
      </c>
      <c r="C118" s="140"/>
      <c r="D118" s="146"/>
      <c r="E118" s="1828"/>
      <c r="F118" s="1355"/>
    </row>
    <row r="119" spans="1:6" ht="16.5" customHeight="1" x14ac:dyDescent="0.2">
      <c r="A119" s="1846"/>
      <c r="B119" s="165"/>
      <c r="C119" s="140"/>
      <c r="D119" s="139"/>
      <c r="E119" s="1828"/>
      <c r="F119" s="1355"/>
    </row>
    <row r="120" spans="1:6" x14ac:dyDescent="0.2">
      <c r="A120" s="1355"/>
      <c r="B120" s="1355"/>
      <c r="C120" s="1355"/>
      <c r="D120" s="1355"/>
      <c r="E120" s="1355"/>
      <c r="F120" s="1355"/>
    </row>
    <row r="121" spans="1:6" ht="17.25" customHeight="1" x14ac:dyDescent="0.2">
      <c r="A121" s="1846"/>
      <c r="B121" s="1822" t="s">
        <v>336</v>
      </c>
      <c r="C121" s="1823"/>
      <c r="D121" s="1823"/>
      <c r="E121" s="1824"/>
      <c r="F121" s="168">
        <f>SUM(E123:E126)</f>
        <v>0</v>
      </c>
    </row>
    <row r="122" spans="1:6" ht="17.25" customHeight="1" x14ac:dyDescent="0.2">
      <c r="A122" s="1846"/>
      <c r="B122" s="1825" t="s">
        <v>307</v>
      </c>
      <c r="C122" s="1826"/>
      <c r="D122" s="1827"/>
      <c r="E122" s="178" t="s">
        <v>290</v>
      </c>
      <c r="F122" s="1828"/>
    </row>
    <row r="123" spans="1:6" ht="17.25" customHeight="1" x14ac:dyDescent="0.2">
      <c r="A123" s="1846"/>
      <c r="B123" s="1829" t="s">
        <v>448</v>
      </c>
      <c r="C123" s="1830"/>
      <c r="D123" s="1831"/>
      <c r="E123" s="146"/>
      <c r="F123" s="1828"/>
    </row>
    <row r="124" spans="1:6" ht="17.25" customHeight="1" x14ac:dyDescent="0.2">
      <c r="A124" s="1846"/>
      <c r="B124" s="601"/>
      <c r="C124" s="602"/>
      <c r="D124" s="603"/>
      <c r="E124" s="146"/>
      <c r="F124" s="1828"/>
    </row>
    <row r="125" spans="1:6" ht="17.25" customHeight="1" x14ac:dyDescent="0.2">
      <c r="A125" s="1846"/>
      <c r="B125" s="1829"/>
      <c r="C125" s="1830"/>
      <c r="D125" s="1831"/>
      <c r="E125" s="146"/>
      <c r="F125" s="1828"/>
    </row>
    <row r="126" spans="1:6" ht="17.25" customHeight="1" x14ac:dyDescent="0.2">
      <c r="A126" s="1846"/>
      <c r="B126" s="1829"/>
      <c r="C126" s="1830"/>
      <c r="D126" s="1831"/>
      <c r="E126" s="146"/>
      <c r="F126" s="1828"/>
    </row>
    <row r="127" spans="1:6" x14ac:dyDescent="0.2">
      <c r="A127" s="1355"/>
      <c r="B127" s="1355"/>
      <c r="C127" s="1355"/>
      <c r="D127" s="1355"/>
      <c r="E127" s="1355"/>
      <c r="F127" s="1355"/>
    </row>
    <row r="128" spans="1:6" ht="18" customHeight="1" x14ac:dyDescent="0.2">
      <c r="A128" s="1355"/>
      <c r="B128" s="1822" t="s">
        <v>337</v>
      </c>
      <c r="C128" s="1823"/>
      <c r="D128" s="1823"/>
      <c r="E128" s="1824"/>
      <c r="F128" s="168">
        <f>SUM(E130:E134)</f>
        <v>0</v>
      </c>
    </row>
    <row r="129" spans="1:10" ht="18" customHeight="1" x14ac:dyDescent="0.2">
      <c r="A129" s="1355"/>
      <c r="B129" s="1825" t="s">
        <v>307</v>
      </c>
      <c r="C129" s="1826"/>
      <c r="D129" s="1827"/>
      <c r="E129" s="178" t="s">
        <v>290</v>
      </c>
      <c r="F129" s="1828"/>
    </row>
    <row r="130" spans="1:10" ht="18" customHeight="1" x14ac:dyDescent="0.2">
      <c r="A130" s="1355"/>
      <c r="B130" s="1829"/>
      <c r="C130" s="1830"/>
      <c r="D130" s="1831"/>
      <c r="E130" s="146"/>
      <c r="F130" s="1828"/>
    </row>
    <row r="131" spans="1:10" ht="18" customHeight="1" x14ac:dyDescent="0.2">
      <c r="A131" s="1355"/>
      <c r="B131" s="601"/>
      <c r="C131" s="602"/>
      <c r="D131" s="603"/>
      <c r="E131" s="146"/>
      <c r="F131" s="1828"/>
    </row>
    <row r="132" spans="1:10" ht="18" customHeight="1" x14ac:dyDescent="0.2">
      <c r="A132" s="1355"/>
      <c r="B132" s="601"/>
      <c r="C132" s="602"/>
      <c r="D132" s="603"/>
      <c r="E132" s="146"/>
      <c r="F132" s="1828"/>
    </row>
    <row r="133" spans="1:10" ht="18" customHeight="1" x14ac:dyDescent="0.2">
      <c r="A133" s="1355"/>
      <c r="B133" s="1829"/>
      <c r="C133" s="1830"/>
      <c r="D133" s="1831"/>
      <c r="E133" s="146"/>
      <c r="F133" s="1828"/>
    </row>
    <row r="134" spans="1:10" ht="18" customHeight="1" x14ac:dyDescent="0.2">
      <c r="A134" s="1355"/>
      <c r="B134" s="1833"/>
      <c r="C134" s="1834"/>
      <c r="D134" s="1835"/>
      <c r="E134" s="153"/>
      <c r="F134" s="1828"/>
    </row>
    <row r="135" spans="1:10" ht="23.25" customHeight="1" x14ac:dyDescent="0.25">
      <c r="A135" s="1355"/>
      <c r="B135" s="1832" t="s">
        <v>338</v>
      </c>
      <c r="C135" s="1832"/>
      <c r="D135" s="1832"/>
      <c r="E135" s="1832"/>
      <c r="F135" s="183">
        <f>+F99+F121+F128</f>
        <v>0</v>
      </c>
    </row>
    <row r="136" spans="1:10" ht="23.25" customHeight="1" x14ac:dyDescent="0.2">
      <c r="A136" s="1355"/>
      <c r="B136" s="1355"/>
      <c r="C136" s="1355"/>
      <c r="D136" s="1355"/>
      <c r="E136" s="1355"/>
      <c r="F136" s="1355"/>
    </row>
    <row r="137" spans="1:10" ht="37.5" customHeight="1" x14ac:dyDescent="0.2">
      <c r="A137" s="184"/>
      <c r="B137" s="1820" t="s">
        <v>339</v>
      </c>
      <c r="C137" s="1820"/>
      <c r="D137" s="1821" t="str">
        <f>IF((I137&gt;I138),J137,J138)</f>
        <v>APLICA, REVISE</v>
      </c>
      <c r="E137" s="1821"/>
      <c r="F137" s="1821"/>
      <c r="I137" s="166">
        <f>'DEPURACION ORDINARIO 2017'!E6-'DATOS PARA DEPURAR'!E20</f>
        <v>4053418915.25</v>
      </c>
      <c r="J137" s="142" t="s">
        <v>340</v>
      </c>
    </row>
    <row r="138" spans="1:10" ht="18" customHeight="1" x14ac:dyDescent="0.2">
      <c r="A138" s="1355"/>
      <c r="B138" s="1355"/>
      <c r="C138" s="1355"/>
      <c r="D138" s="1355"/>
      <c r="E138" s="1355"/>
      <c r="F138" s="1355"/>
      <c r="I138" s="166">
        <f>+'DEPURACION ORDINARIO 2017'!E41+'DEPURACION ORDINARIO 2017'!E39+'DEPURACION ORDINARIO 2017'!J8+'DEPURACION ORDINARIO 2017'!J7-'DEPURACION ORDINARIO 2017'!J37</f>
        <v>2322539452.125</v>
      </c>
      <c r="J138" s="142" t="s">
        <v>341</v>
      </c>
    </row>
    <row r="139" spans="1:10" ht="18" customHeight="1" x14ac:dyDescent="0.2"/>
    <row r="140" spans="1:10" ht="18" customHeight="1" x14ac:dyDescent="0.2"/>
    <row r="141" spans="1:10" ht="18" customHeight="1" x14ac:dyDescent="0.2"/>
    <row r="142" spans="1:10" ht="18" customHeight="1" x14ac:dyDescent="0.2"/>
    <row r="143" spans="1:10" ht="18" customHeight="1" x14ac:dyDescent="0.2"/>
    <row r="144" spans="1:10" ht="18" customHeight="1" x14ac:dyDescent="0.2"/>
  </sheetData>
  <mergeCells count="118">
    <mergeCell ref="F28:F33"/>
    <mergeCell ref="B33:D33"/>
    <mergeCell ref="A34:F34"/>
    <mergeCell ref="F21:F25"/>
    <mergeCell ref="B30:C30"/>
    <mergeCell ref="A4:A18"/>
    <mergeCell ref="A20:E20"/>
    <mergeCell ref="A21:A25"/>
    <mergeCell ref="B23:D23"/>
    <mergeCell ref="B31:D31"/>
    <mergeCell ref="A28:A33"/>
    <mergeCell ref="E13:E18"/>
    <mergeCell ref="E6:E11"/>
    <mergeCell ref="B21:D21"/>
    <mergeCell ref="B22:D22"/>
    <mergeCell ref="B24:D24"/>
    <mergeCell ref="B25:D25"/>
    <mergeCell ref="A27:E27"/>
    <mergeCell ref="B28:C28"/>
    <mergeCell ref="B29:D29"/>
    <mergeCell ref="B32:D32"/>
    <mergeCell ref="B40:C40"/>
    <mergeCell ref="B41:C41"/>
    <mergeCell ref="E37:E41"/>
    <mergeCell ref="A138:F138"/>
    <mergeCell ref="F4:F18"/>
    <mergeCell ref="A3:E3"/>
    <mergeCell ref="B4:D4"/>
    <mergeCell ref="A19:F19"/>
    <mergeCell ref="B5:D5"/>
    <mergeCell ref="B12:D12"/>
    <mergeCell ref="A47:F47"/>
    <mergeCell ref="A36:A46"/>
    <mergeCell ref="F36:F46"/>
    <mergeCell ref="A35:E35"/>
    <mergeCell ref="B36:D36"/>
    <mergeCell ref="B42:D42"/>
    <mergeCell ref="B43:D43"/>
    <mergeCell ref="B37:C37"/>
    <mergeCell ref="B38:C38"/>
    <mergeCell ref="B39:C39"/>
    <mergeCell ref="F50:F56"/>
    <mergeCell ref="A57:F57"/>
    <mergeCell ref="A49:A56"/>
    <mergeCell ref="A26:F26"/>
    <mergeCell ref="B44:D44"/>
    <mergeCell ref="B45:D45"/>
    <mergeCell ref="B46:D46"/>
    <mergeCell ref="F59:F65"/>
    <mergeCell ref="A66:F66"/>
    <mergeCell ref="A67:A74"/>
    <mergeCell ref="C67:E67"/>
    <mergeCell ref="F68:F74"/>
    <mergeCell ref="B69:C69"/>
    <mergeCell ref="B70:C70"/>
    <mergeCell ref="B71:C71"/>
    <mergeCell ref="B72:C72"/>
    <mergeCell ref="B73:C73"/>
    <mergeCell ref="C49:E49"/>
    <mergeCell ref="A58:A65"/>
    <mergeCell ref="C58:E58"/>
    <mergeCell ref="A75:F75"/>
    <mergeCell ref="A76:A82"/>
    <mergeCell ref="F77:F82"/>
    <mergeCell ref="B77:D77"/>
    <mergeCell ref="B78:D78"/>
    <mergeCell ref="B79:D79"/>
    <mergeCell ref="B80:D80"/>
    <mergeCell ref="B81:D81"/>
    <mergeCell ref="A121:A126"/>
    <mergeCell ref="B121:E121"/>
    <mergeCell ref="B122:D122"/>
    <mergeCell ref="F122:F126"/>
    <mergeCell ref="B123:D123"/>
    <mergeCell ref="B125:D125"/>
    <mergeCell ref="B126:D126"/>
    <mergeCell ref="E107:E109"/>
    <mergeCell ref="B110:D110"/>
    <mergeCell ref="E111:E115"/>
    <mergeCell ref="B116:D116"/>
    <mergeCell ref="E117:E119"/>
    <mergeCell ref="A120:F120"/>
    <mergeCell ref="A1:F2"/>
    <mergeCell ref="A97:F98"/>
    <mergeCell ref="A99:E99"/>
    <mergeCell ref="B100:D100"/>
    <mergeCell ref="E101:E105"/>
    <mergeCell ref="A85:A91"/>
    <mergeCell ref="F85:F90"/>
    <mergeCell ref="B76:E76"/>
    <mergeCell ref="F100:F119"/>
    <mergeCell ref="A100:A119"/>
    <mergeCell ref="B106:D106"/>
    <mergeCell ref="B88:D88"/>
    <mergeCell ref="B89:D89"/>
    <mergeCell ref="B90:D90"/>
    <mergeCell ref="B91:E91"/>
    <mergeCell ref="B82:D82"/>
    <mergeCell ref="A84:E84"/>
    <mergeCell ref="A83:F83"/>
    <mergeCell ref="B85:D85"/>
    <mergeCell ref="B86:D86"/>
    <mergeCell ref="B87:D87"/>
    <mergeCell ref="B74:C74"/>
    <mergeCell ref="B68:C68"/>
    <mergeCell ref="A48:E48"/>
    <mergeCell ref="B137:C137"/>
    <mergeCell ref="D137:F137"/>
    <mergeCell ref="A136:F136"/>
    <mergeCell ref="A127:F127"/>
    <mergeCell ref="B128:E128"/>
    <mergeCell ref="B129:D129"/>
    <mergeCell ref="F129:F134"/>
    <mergeCell ref="B130:D130"/>
    <mergeCell ref="B133:D133"/>
    <mergeCell ref="B135:E135"/>
    <mergeCell ref="B134:D134"/>
    <mergeCell ref="A128:A135"/>
  </mergeCells>
  <dataValidations count="3">
    <dataValidation type="list" allowBlank="1" showInputMessage="1" showErrorMessage="1" sqref="B118 B14:B17 B102:B104 B108 B112:B114 B7:B10" xr:uid="{00000000-0002-0000-0800-000000000000}">
      <formula1>$G$11:$G$50</formula1>
    </dataValidation>
    <dataValidation type="list" allowBlank="1" showInputMessage="1" showErrorMessage="1" sqref="B62:B64 B52:B55" xr:uid="{00000000-0002-0000-0800-000001000000}">
      <formula1>$G$52:$G$57</formula1>
    </dataValidation>
    <dataValidation type="list" allowBlank="1" showInputMessage="1" showErrorMessage="1" sqref="B69:B72" xr:uid="{00000000-0002-0000-0800-000002000000}">
      <formula1>$G$67:$G$74</formula1>
    </dataValidation>
  </dataValidations>
  <pageMargins left="0.11811023622047245" right="0.11811023622047245" top="0.35433070866141736" bottom="0.35433070866141736" header="0.31496062992125984" footer="0.31496062992125984"/>
  <pageSetup scale="90" orientation="portrait" verticalDpi="4294967293"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66"/>
  </sheetPr>
  <dimension ref="A1:AY167"/>
  <sheetViews>
    <sheetView view="pageBreakPreview" topLeftCell="A31" zoomScaleNormal="100" zoomScaleSheetLayoutView="100" workbookViewId="0">
      <selection activeCell="J10" sqref="J10"/>
    </sheetView>
  </sheetViews>
  <sheetFormatPr baseColWidth="10" defaultRowHeight="12.75" x14ac:dyDescent="0.2"/>
  <cols>
    <col min="1" max="1" width="2.7109375" style="184" customWidth="1"/>
    <col min="2" max="2" width="4.42578125" style="184" customWidth="1"/>
    <col min="3" max="3" width="33.140625" style="184" customWidth="1"/>
    <col min="4" max="4" width="3.140625" style="181" customWidth="1"/>
    <col min="5" max="5" width="15.28515625" style="184" customWidth="1"/>
    <col min="6" max="6" width="3.7109375" style="184" customWidth="1"/>
    <col min="7" max="7" width="4.42578125" style="184" customWidth="1"/>
    <col min="8" max="8" width="30.42578125" style="184" customWidth="1"/>
    <col min="9" max="9" width="3.7109375" style="181" customWidth="1"/>
    <col min="10" max="10" width="16.42578125" style="184" customWidth="1"/>
    <col min="11" max="29" width="0.140625" style="184" hidden="1" customWidth="1"/>
    <col min="30" max="33" width="11.42578125" style="184" hidden="1" customWidth="1"/>
    <col min="34" max="34" width="5.140625" style="184" hidden="1" customWidth="1"/>
    <col min="35" max="35" width="11.42578125" style="184" hidden="1" customWidth="1"/>
    <col min="36" max="37" width="0" style="184" hidden="1" customWidth="1"/>
    <col min="38" max="47" width="11.42578125" style="184" hidden="1" customWidth="1"/>
    <col min="48" max="48" width="1.7109375" style="184" hidden="1" customWidth="1"/>
    <col min="49" max="51" width="11.42578125" style="184" hidden="1" customWidth="1"/>
    <col min="52" max="16384" width="11.42578125" style="184"/>
  </cols>
  <sheetData>
    <row r="1" spans="1:29" ht="16.5" customHeight="1" x14ac:dyDescent="0.25">
      <c r="A1" s="1296" t="str">
        <f>+'DATOS PARA DEPURAR'!C7</f>
        <v>RIOJAS QUINTERO MAIRA ALEJANDRA</v>
      </c>
      <c r="B1" s="1296"/>
      <c r="C1" s="1296"/>
      <c r="D1" s="1296"/>
      <c r="E1" s="1296"/>
      <c r="F1" s="1296"/>
      <c r="G1" s="1304" t="s">
        <v>358</v>
      </c>
      <c r="H1" s="1304"/>
      <c r="I1" s="1304"/>
      <c r="J1" s="1304"/>
      <c r="P1" s="570" t="s">
        <v>396</v>
      </c>
      <c r="Q1" s="570"/>
      <c r="R1" s="570"/>
      <c r="S1" s="570"/>
      <c r="T1" s="570"/>
      <c r="U1" s="570"/>
      <c r="V1" s="570"/>
      <c r="W1" s="570"/>
      <c r="X1" s="570"/>
      <c r="Y1" s="570"/>
      <c r="Z1" s="570"/>
      <c r="AA1" s="570"/>
      <c r="AB1" s="570"/>
      <c r="AC1" s="570"/>
    </row>
    <row r="2" spans="1:29" ht="15.75" customHeight="1" x14ac:dyDescent="0.2">
      <c r="A2" s="1297">
        <f>+'DATOS PARA DEPURAR'!E7</f>
        <v>1065263869</v>
      </c>
      <c r="B2" s="1297"/>
      <c r="C2" s="1297"/>
      <c r="D2" s="1297"/>
      <c r="E2" s="1297"/>
      <c r="F2" s="1297"/>
      <c r="G2" s="1304"/>
      <c r="H2" s="1304"/>
      <c r="I2" s="1304"/>
      <c r="J2" s="1304"/>
      <c r="P2" s="570" t="s">
        <v>397</v>
      </c>
      <c r="Q2" s="571">
        <f>+J34</f>
        <v>158357500</v>
      </c>
      <c r="R2" s="570"/>
      <c r="S2" s="572">
        <f>MIN(Q2:Q3)</f>
        <v>158357500</v>
      </c>
      <c r="T2" s="570"/>
      <c r="U2" s="570"/>
      <c r="V2" s="570"/>
      <c r="W2" s="570"/>
      <c r="X2" s="570"/>
      <c r="Y2" s="570"/>
      <c r="Z2" s="570"/>
      <c r="AA2" s="571">
        <f>IF(J34&gt;(0),J34*5%*'DATOS PARA DEPURAR'!E11,0)</f>
        <v>0</v>
      </c>
      <c r="AB2" s="572"/>
      <c r="AC2" s="572">
        <f>MIN(AA2:AA3)</f>
        <v>0</v>
      </c>
    </row>
    <row r="3" spans="1:29" ht="13.5" customHeight="1" thickBot="1" x14ac:dyDescent="0.25">
      <c r="A3" s="1355"/>
      <c r="B3" s="1355"/>
      <c r="C3" s="1355"/>
      <c r="D3" s="1355"/>
      <c r="E3" s="1355"/>
      <c r="F3" s="1355"/>
      <c r="G3" s="1355"/>
      <c r="H3" s="1355"/>
      <c r="I3" s="1355"/>
      <c r="J3" s="1355"/>
      <c r="P3" s="570" t="s">
        <v>24</v>
      </c>
      <c r="Q3" s="573">
        <f>+J34</f>
        <v>158357500</v>
      </c>
      <c r="R3" s="570"/>
      <c r="S3" s="570"/>
      <c r="T3" s="570"/>
      <c r="U3" s="570"/>
      <c r="V3" s="570"/>
      <c r="W3" s="570"/>
      <c r="X3" s="570"/>
      <c r="Y3" s="570"/>
      <c r="Z3" s="570"/>
      <c r="AA3" s="573">
        <f>+J34</f>
        <v>158357500</v>
      </c>
      <c r="AB3" s="570"/>
      <c r="AC3" s="572">
        <f>MIN(AA5:AA7)</f>
        <v>0</v>
      </c>
    </row>
    <row r="4" spans="1:29" ht="21.75" customHeight="1" x14ac:dyDescent="0.2">
      <c r="A4" s="1922" t="s">
        <v>107</v>
      </c>
      <c r="B4" s="1925" t="s">
        <v>104</v>
      </c>
      <c r="C4" s="1925"/>
      <c r="D4" s="548">
        <v>29</v>
      </c>
      <c r="E4" s="549">
        <f>+'PATRIMONIO BRUTO'!F91</f>
        <v>4153418915.25</v>
      </c>
      <c r="F4" s="1929" t="s">
        <v>573</v>
      </c>
      <c r="G4" s="1926" t="s">
        <v>574</v>
      </c>
      <c r="H4" s="1926"/>
      <c r="I4" s="548">
        <f>+D42+1</f>
        <v>67</v>
      </c>
      <c r="J4" s="549">
        <f>+'RENTA CEDULAR DIVIDENDOS'!F4</f>
        <v>100000000</v>
      </c>
      <c r="O4" s="567">
        <f>+E7+E13+E18+E30+J4</f>
        <v>1317340518</v>
      </c>
      <c r="P4" s="570" t="s">
        <v>398</v>
      </c>
      <c r="Q4" s="574">
        <f>IF((E7+E13+E18+E30+J4)&gt;0,(E7+E13+E18+E30+J4)*0.5%)</f>
        <v>6586702.5899999999</v>
      </c>
      <c r="R4" s="570"/>
      <c r="S4" s="572">
        <f>MIN(Q4:Q7)</f>
        <v>0</v>
      </c>
      <c r="T4" s="570"/>
      <c r="U4" s="570"/>
      <c r="V4" s="570"/>
      <c r="W4" s="570"/>
      <c r="X4" s="570"/>
      <c r="Y4" s="570"/>
      <c r="Z4" s="570"/>
      <c r="AA4" s="571">
        <f>IF(J32=0,E14*0.5%*'DATOS PARA DEPURAR'!E11,0)</f>
        <v>0</v>
      </c>
      <c r="AB4" s="570">
        <f>MIN(M4:M6)</f>
        <v>0</v>
      </c>
      <c r="AC4" s="572">
        <f>IF(AA4&gt;AC3,AA4,AC3)</f>
        <v>0</v>
      </c>
    </row>
    <row r="5" spans="1:29" ht="19.5" customHeight="1" x14ac:dyDescent="0.2">
      <c r="A5" s="1923"/>
      <c r="B5" s="1287" t="s">
        <v>105</v>
      </c>
      <c r="C5" s="1287"/>
      <c r="D5" s="181">
        <f>+D4+1</f>
        <v>30</v>
      </c>
      <c r="E5" s="543">
        <f>+'PATRIMONIO BRUTO'!F135</f>
        <v>0</v>
      </c>
      <c r="F5" s="1930"/>
      <c r="G5" s="1299" t="s">
        <v>474</v>
      </c>
      <c r="H5" s="1299"/>
      <c r="I5" s="181">
        <f t="shared" ref="I5:I31" si="0">+I4+1</f>
        <v>68</v>
      </c>
      <c r="J5" s="543">
        <f>+'RENTA CEDULAR DIVIDENDOS'!F7</f>
        <v>0</v>
      </c>
      <c r="P5" s="570" t="s">
        <v>399</v>
      </c>
      <c r="Q5" s="574">
        <f>IF((E7+E13+E18+E30+J4)&gt;0,(E7+E13+E18+E30+J4)*5%)</f>
        <v>65867025.900000006</v>
      </c>
      <c r="R5" s="570"/>
      <c r="S5" s="570"/>
      <c r="T5" s="570"/>
      <c r="U5" s="570"/>
      <c r="V5" s="570"/>
      <c r="W5" s="570"/>
      <c r="X5" s="570"/>
      <c r="Y5" s="570"/>
      <c r="Z5" s="570"/>
      <c r="AA5" s="571">
        <f>IF(J32=0,E14*5%,0)</f>
        <v>0</v>
      </c>
      <c r="AB5" s="570"/>
      <c r="AC5" s="570"/>
    </row>
    <row r="6" spans="1:29" ht="19.5" customHeight="1" thickBot="1" x14ac:dyDescent="0.25">
      <c r="A6" s="1924"/>
      <c r="B6" s="1927" t="s">
        <v>106</v>
      </c>
      <c r="C6" s="1927"/>
      <c r="D6" s="544">
        <f t="shared" ref="D6:D42" si="1">+D5+1</f>
        <v>31</v>
      </c>
      <c r="E6" s="545">
        <f>IF((E4-E5)&gt;0,(E4-E5),0)</f>
        <v>4153418915.25</v>
      </c>
      <c r="F6" s="1930"/>
      <c r="G6" s="1288" t="s">
        <v>575</v>
      </c>
      <c r="H6" s="1288"/>
      <c r="I6" s="244">
        <f t="shared" si="0"/>
        <v>69</v>
      </c>
      <c r="J6" s="542">
        <f>+'RENTA CEDULAR DIVIDENDOS'!F10</f>
        <v>100000000</v>
      </c>
      <c r="K6" s="184">
        <f>IF((J5)&gt;0,('DATOS PARA DEPURAR'!E225),0)</f>
        <v>0</v>
      </c>
      <c r="P6" s="570" t="s">
        <v>400</v>
      </c>
      <c r="Q6" s="570">
        <f>IF(J34=0,S6*2,0)</f>
        <v>0</v>
      </c>
      <c r="R6" s="570"/>
      <c r="S6" s="573">
        <f>IF((J35+J36+J37-J34-J38-J40)&gt;0,J35+J36+J37-J34-J38-J40,0)</f>
        <v>0</v>
      </c>
      <c r="T6" s="570"/>
      <c r="U6" s="570"/>
      <c r="V6" s="570"/>
      <c r="W6" s="570"/>
      <c r="X6" s="570"/>
      <c r="Y6" s="570"/>
      <c r="Z6" s="570"/>
      <c r="AA6" s="571" t="b">
        <f>IF(J32=0,IF(E14&gt;0,AB6*2,0))</f>
        <v>0</v>
      </c>
      <c r="AB6" s="571">
        <f>-J32+J33+J34+J35-J36</f>
        <v>78277000</v>
      </c>
      <c r="AC6" s="571"/>
    </row>
    <row r="7" spans="1:29" ht="22.5" customHeight="1" x14ac:dyDescent="0.2">
      <c r="A7" s="1962" t="s">
        <v>490</v>
      </c>
      <c r="B7" s="1928" t="s">
        <v>472</v>
      </c>
      <c r="C7" s="1928"/>
      <c r="D7" s="540">
        <f t="shared" si="1"/>
        <v>32</v>
      </c>
      <c r="E7" s="541">
        <f>+'RENTA TRABAJO'!F4</f>
        <v>104803729</v>
      </c>
      <c r="F7" s="1930"/>
      <c r="G7" s="1418" t="s">
        <v>576</v>
      </c>
      <c r="H7" s="1418"/>
      <c r="I7" s="181">
        <f t="shared" si="0"/>
        <v>70</v>
      </c>
      <c r="J7" s="543">
        <f>+'RENTA CEDULAR DIVIDENDOS'!F11</f>
        <v>0</v>
      </c>
      <c r="P7" s="570" t="s">
        <v>401</v>
      </c>
      <c r="Q7" s="574">
        <f>2500*'DATOS PARA DEPURAR'!C24</f>
        <v>106030000</v>
      </c>
      <c r="R7" s="570"/>
      <c r="S7" s="570"/>
      <c r="T7" s="570"/>
      <c r="U7" s="570"/>
      <c r="V7" s="570"/>
      <c r="W7" s="570"/>
      <c r="X7" s="570"/>
      <c r="Y7" s="570"/>
      <c r="Z7" s="570"/>
      <c r="AA7" s="571" t="b">
        <f>IF(J32=0,IF(E14&gt;0,2500*'DATOS PARA DEPURAR'!C24,0))</f>
        <v>0</v>
      </c>
      <c r="AB7" s="571"/>
      <c r="AC7" s="571">
        <f>MIN(AA9:AA11)</f>
        <v>0</v>
      </c>
    </row>
    <row r="8" spans="1:29" ht="21" customHeight="1" x14ac:dyDescent="0.2">
      <c r="A8" s="1963"/>
      <c r="B8" s="1933" t="s">
        <v>636</v>
      </c>
      <c r="C8" s="1933"/>
      <c r="D8" s="244">
        <f t="shared" si="1"/>
        <v>33</v>
      </c>
      <c r="E8" s="542">
        <f>+'RENTA TRABAJO'!F25</f>
        <v>0</v>
      </c>
      <c r="F8" s="1930"/>
      <c r="G8" s="1934" t="s">
        <v>577</v>
      </c>
      <c r="H8" s="1934"/>
      <c r="I8" s="244">
        <f t="shared" si="0"/>
        <v>71</v>
      </c>
      <c r="J8" s="542">
        <f>+'RENTA CEDULAR DIVIDENDOS'!F12</f>
        <v>100000000</v>
      </c>
      <c r="P8" s="575" t="s">
        <v>381</v>
      </c>
      <c r="Q8" s="576"/>
      <c r="R8" s="577"/>
      <c r="S8" s="577"/>
      <c r="T8" s="577"/>
      <c r="U8" s="577"/>
      <c r="V8" s="577"/>
      <c r="W8" s="577"/>
      <c r="X8" s="577"/>
      <c r="Y8" s="577"/>
      <c r="Z8" s="577"/>
      <c r="AA8" s="578" t="b">
        <f>IF(J34=0,IF((O4)&lt;0,'DATOS PARA DEPURAR'!E20*1%*'DATOS PARA DEPURAR'!E11,0))</f>
        <v>0</v>
      </c>
      <c r="AB8" s="578"/>
      <c r="AC8" s="578" t="b">
        <f>IF(AA8&gt;AC7,AA8,AC7)</f>
        <v>0</v>
      </c>
    </row>
    <row r="9" spans="1:29" ht="23.25" customHeight="1" x14ac:dyDescent="0.2">
      <c r="A9" s="1963"/>
      <c r="B9" s="1417" t="s">
        <v>475</v>
      </c>
      <c r="C9" s="1287"/>
      <c r="D9" s="181">
        <f>+D8+1</f>
        <v>34</v>
      </c>
      <c r="E9" s="543">
        <f>+'RENTA TRABAJO'!F31</f>
        <v>104803729</v>
      </c>
      <c r="F9" s="1930"/>
      <c r="G9" s="1418" t="s">
        <v>578</v>
      </c>
      <c r="H9" s="1418"/>
      <c r="I9" s="181">
        <f t="shared" si="0"/>
        <v>72</v>
      </c>
      <c r="J9" s="543">
        <f>+'RENTA CEDULAR DIVIDENDOS'!F13</f>
        <v>0</v>
      </c>
      <c r="P9" s="575" t="s">
        <v>399</v>
      </c>
      <c r="Q9" s="577"/>
      <c r="R9" s="577"/>
      <c r="S9" s="577"/>
      <c r="T9" s="577"/>
      <c r="U9" s="577"/>
      <c r="V9" s="577"/>
      <c r="W9" s="577"/>
      <c r="X9" s="577"/>
      <c r="Y9" s="577"/>
      <c r="Z9" s="577"/>
      <c r="AA9" s="578" t="b">
        <f>IF(J32=0,IF(O4=0,'DATOS PARA DEPURAR'!E20*10%,0))</f>
        <v>0</v>
      </c>
      <c r="AB9" s="578"/>
      <c r="AC9" s="578"/>
    </row>
    <row r="10" spans="1:29" x14ac:dyDescent="0.2">
      <c r="A10" s="1963"/>
      <c r="B10" s="1288" t="s">
        <v>476</v>
      </c>
      <c r="C10" s="1288"/>
      <c r="D10" s="244">
        <f t="shared" si="1"/>
        <v>35</v>
      </c>
      <c r="E10" s="542">
        <f>+'RENTA TRABAJO'!F32</f>
        <v>41581597.625</v>
      </c>
      <c r="F10" s="1930"/>
      <c r="G10" s="1288" t="s">
        <v>579</v>
      </c>
      <c r="H10" s="1288"/>
      <c r="I10" s="244">
        <f t="shared" si="0"/>
        <v>73</v>
      </c>
      <c r="J10" s="542"/>
      <c r="K10" s="247"/>
      <c r="P10" s="575" t="s">
        <v>400</v>
      </c>
      <c r="Q10" s="577"/>
      <c r="R10" s="577"/>
      <c r="S10" s="577"/>
      <c r="T10" s="577"/>
      <c r="U10" s="577"/>
      <c r="V10" s="577"/>
      <c r="W10" s="577"/>
      <c r="X10" s="577"/>
      <c r="Y10" s="577"/>
      <c r="Z10" s="577"/>
      <c r="AA10" s="578" t="b">
        <f>IF(J32=0,IF(O4=0,AB10*2,0))</f>
        <v>0</v>
      </c>
      <c r="AB10" s="578">
        <f>IF((J35+J36+J37-J34-J38-J40)&gt;0,J35+J36+J37-J34-J38-J40,0)</f>
        <v>0</v>
      </c>
      <c r="AC10" s="578"/>
    </row>
    <row r="11" spans="1:29" ht="23.25" customHeight="1" thickBot="1" x14ac:dyDescent="0.25">
      <c r="A11" s="1963"/>
      <c r="B11" s="1418" t="s">
        <v>488</v>
      </c>
      <c r="C11" s="1418"/>
      <c r="D11" s="181">
        <f t="shared" si="1"/>
        <v>36</v>
      </c>
      <c r="E11" s="543">
        <f>+'RENTA TRABAJO'!F53</f>
        <v>41581597.625</v>
      </c>
      <c r="F11" s="1931"/>
      <c r="G11" s="1941" t="s">
        <v>580</v>
      </c>
      <c r="H11" s="1941"/>
      <c r="I11" s="546">
        <f t="shared" si="0"/>
        <v>74</v>
      </c>
      <c r="J11" s="547">
        <f>+'RENTA CEDULAR DIVIDENDOS'!F14</f>
        <v>0</v>
      </c>
      <c r="K11" s="247"/>
      <c r="L11" s="247" t="s">
        <v>318</v>
      </c>
      <c r="M11" s="247" t="s">
        <v>319</v>
      </c>
      <c r="P11" s="575" t="s">
        <v>401</v>
      </c>
      <c r="Q11" s="577"/>
      <c r="R11" s="577"/>
      <c r="S11" s="577"/>
      <c r="T11" s="577"/>
      <c r="U11" s="577"/>
      <c r="V11" s="577"/>
      <c r="W11" s="577"/>
      <c r="X11" s="577"/>
      <c r="Y11" s="577"/>
      <c r="Z11" s="577"/>
      <c r="AA11" s="578" t="b">
        <f>IF(J32=0,IF(O4=0,2500*'DATOS PARA DEPURAR'!C24,0))</f>
        <v>0</v>
      </c>
      <c r="AB11" s="578"/>
      <c r="AC11" s="578"/>
    </row>
    <row r="12" spans="1:29" ht="22.5" customHeight="1" thickBot="1" x14ac:dyDescent="0.25">
      <c r="A12" s="1964"/>
      <c r="B12" s="1942" t="s">
        <v>489</v>
      </c>
      <c r="C12" s="1927"/>
      <c r="D12" s="544">
        <f t="shared" si="1"/>
        <v>37</v>
      </c>
      <c r="E12" s="545">
        <f>+'RENTA TRABAJO'!F57</f>
        <v>63222131.375</v>
      </c>
      <c r="F12" s="1939" t="s">
        <v>570</v>
      </c>
      <c r="G12" s="1943" t="s">
        <v>571</v>
      </c>
      <c r="H12" s="1943"/>
      <c r="I12" s="244">
        <f t="shared" si="0"/>
        <v>75</v>
      </c>
      <c r="J12" s="246">
        <f>+E12+E17+E29+E42+J11</f>
        <v>314718681.375</v>
      </c>
      <c r="K12" s="247"/>
      <c r="L12" s="184">
        <f>IF(('DATOS PARA DEPURAR'!D62)="S",'DATOS PARA DEPURAR'!E62,0)</f>
        <v>0</v>
      </c>
      <c r="M12" s="184">
        <f>IF(('DATOS PARA DEPURAR'!D62)="N",'DATOS PARA DEPURAR'!E62,0)</f>
        <v>100000000</v>
      </c>
      <c r="P12" s="577"/>
      <c r="Q12" s="577"/>
      <c r="R12" s="577"/>
      <c r="S12" s="577"/>
      <c r="T12" s="577"/>
      <c r="U12" s="577"/>
      <c r="V12" s="577"/>
      <c r="W12" s="577"/>
      <c r="X12" s="577"/>
      <c r="Y12" s="577"/>
      <c r="Z12" s="577"/>
      <c r="AA12" s="579" t="s">
        <v>409</v>
      </c>
      <c r="AB12" s="579">
        <f>10*'DATOS PARA DEPURAR'!E25</f>
        <v>470650</v>
      </c>
      <c r="AC12" s="580">
        <f>+AB12</f>
        <v>470650</v>
      </c>
    </row>
    <row r="13" spans="1:29" ht="23.25" customHeight="1" thickBot="1" x14ac:dyDescent="0.25">
      <c r="A13" s="1967" t="s">
        <v>497</v>
      </c>
      <c r="B13" s="1944" t="s">
        <v>494</v>
      </c>
      <c r="C13" s="1944"/>
      <c r="D13" s="540">
        <f t="shared" si="1"/>
        <v>38</v>
      </c>
      <c r="E13" s="541">
        <f>+'RENTA CEDULAR PENSION'!F4</f>
        <v>0</v>
      </c>
      <c r="F13" s="1940"/>
      <c r="G13" s="1945" t="s">
        <v>572</v>
      </c>
      <c r="H13" s="1945"/>
      <c r="I13" s="181">
        <f t="shared" si="0"/>
        <v>76</v>
      </c>
      <c r="J13" s="243">
        <f>IF(('DATOS PARA DEPURAR'!E22=1),0,'DEPURACION ORDINARIO 2017'!C83)</f>
        <v>3000000</v>
      </c>
      <c r="K13" s="247"/>
      <c r="L13" s="184">
        <f>IF(('DATOS PARA DEPURAR'!D64)="S",'DATOS PARA DEPURAR'!E64,0)</f>
        <v>0</v>
      </c>
      <c r="M13" s="184">
        <f>IF(('DATOS PARA DEPURAR'!D64)="N",'DATOS PARA DEPURAR'!E64,0)</f>
        <v>100000000</v>
      </c>
      <c r="P13" s="577"/>
      <c r="Q13" s="577"/>
      <c r="R13" s="577"/>
      <c r="S13" s="577"/>
      <c r="T13" s="577"/>
      <c r="U13" s="577"/>
      <c r="V13" s="577"/>
      <c r="W13" s="577"/>
      <c r="X13" s="577"/>
      <c r="Y13" s="577"/>
      <c r="Z13" s="577"/>
      <c r="AA13" s="577"/>
      <c r="AB13" s="577"/>
      <c r="AC13" s="578">
        <f>MAX(AC2:AC12)</f>
        <v>470650</v>
      </c>
    </row>
    <row r="14" spans="1:29" ht="21.75" customHeight="1" x14ac:dyDescent="0.2">
      <c r="A14" s="1968"/>
      <c r="B14" s="1285" t="s">
        <v>474</v>
      </c>
      <c r="C14" s="1285"/>
      <c r="D14" s="244">
        <f t="shared" si="1"/>
        <v>39</v>
      </c>
      <c r="E14" s="542">
        <f>+'RENTA CEDULAR PENSION'!F7</f>
        <v>0</v>
      </c>
      <c r="F14" s="1936" t="s">
        <v>68</v>
      </c>
      <c r="G14" s="1926" t="s">
        <v>569</v>
      </c>
      <c r="H14" s="1926"/>
      <c r="I14" s="548">
        <f t="shared" si="0"/>
        <v>77</v>
      </c>
      <c r="J14" s="549">
        <f>+'DEPURACION POR IMAS EMPLEADO'!I37+'DEPURACION POR IMAS EMPLEADO'!J30+'DEPURACION POR IMAS EMPLEADO'!I39+IF(('DATOS PARA DEPURAR'!D97="s"),'DATOS PARA DEPURAR'!E97,0)</f>
        <v>1890000000</v>
      </c>
      <c r="K14" s="247">
        <f>IF(('DATOS PARA DEPURAR'!E240)&lt;=L17,('DATOS PARA DEPURAR'!E240),L17)</f>
        <v>0</v>
      </c>
      <c r="L14" s="247" t="s">
        <v>352</v>
      </c>
      <c r="P14" s="577"/>
      <c r="Q14" s="577"/>
      <c r="R14" s="577"/>
      <c r="S14" s="577"/>
      <c r="T14" s="577"/>
      <c r="U14" s="577"/>
      <c r="V14" s="577"/>
      <c r="W14" s="577"/>
      <c r="X14" s="577"/>
      <c r="Y14" s="577"/>
      <c r="Z14" s="577"/>
      <c r="AA14" s="577"/>
      <c r="AB14" s="577"/>
      <c r="AC14" s="577">
        <f>IF('DATOS PARA DEPURAR'!C11="EXTEMPORANEA",'FORMULARIO 2018 RENTA CEDULAR'!AC13,0)</f>
        <v>0</v>
      </c>
    </row>
    <row r="15" spans="1:29" ht="18" customHeight="1" x14ac:dyDescent="0.2">
      <c r="A15" s="1968"/>
      <c r="B15" s="1417" t="s">
        <v>532</v>
      </c>
      <c r="C15" s="1287"/>
      <c r="D15" s="181">
        <f t="shared" si="1"/>
        <v>40</v>
      </c>
      <c r="E15" s="543">
        <f>+'RENTA CEDULAR PENSION'!F10</f>
        <v>0</v>
      </c>
      <c r="F15" s="1937"/>
      <c r="G15" s="1272" t="s">
        <v>87</v>
      </c>
      <c r="H15" s="1272"/>
      <c r="I15" s="181">
        <f t="shared" si="0"/>
        <v>78</v>
      </c>
      <c r="J15" s="543">
        <f>SUM('DEPURACION POR IMAS EMPLEADO'!I40:I41)+K6</f>
        <v>0</v>
      </c>
      <c r="K15" s="247"/>
      <c r="L15" s="248">
        <f>2300*'DATOS PARA DEPURAR'!C24</f>
        <v>97547600</v>
      </c>
      <c r="M15" s="247" t="s">
        <v>353</v>
      </c>
      <c r="P15" s="247" t="s">
        <v>415</v>
      </c>
      <c r="Q15" s="275" t="s">
        <v>441</v>
      </c>
      <c r="S15" s="184">
        <f>IF(J33+J34+J35-J32-J36&gt;0,J33+J34+J35-J32-J36,0)</f>
        <v>78277000</v>
      </c>
      <c r="Z15" s="416" t="s">
        <v>440</v>
      </c>
    </row>
    <row r="16" spans="1:29" ht="23.25" customHeight="1" x14ac:dyDescent="0.2">
      <c r="A16" s="1968"/>
      <c r="B16" s="1965" t="s">
        <v>476</v>
      </c>
      <c r="C16" s="1965"/>
      <c r="D16" s="244">
        <f t="shared" si="1"/>
        <v>41</v>
      </c>
      <c r="E16" s="542">
        <f>+'RENTA CEDULAR PENSION'!F11</f>
        <v>0</v>
      </c>
      <c r="F16" s="1937"/>
      <c r="G16" s="1290" t="s">
        <v>88</v>
      </c>
      <c r="H16" s="1290"/>
      <c r="I16" s="244">
        <f t="shared" si="0"/>
        <v>79</v>
      </c>
      <c r="J16" s="542">
        <f>'DEPURACION POR IMAS EMPLEADO'!I42</f>
        <v>1089195000</v>
      </c>
      <c r="K16" s="247"/>
      <c r="L16" s="248">
        <f>+E14*60%</f>
        <v>0</v>
      </c>
      <c r="M16" s="247" t="s">
        <v>354</v>
      </c>
      <c r="Q16" s="247">
        <f>IF(S15&gt;0,S15,0)</f>
        <v>78277000</v>
      </c>
      <c r="Z16" s="184">
        <f>IF(J37&gt;0,J37,0)</f>
        <v>18615000</v>
      </c>
    </row>
    <row r="17" spans="1:27" ht="16.5" customHeight="1" thickBot="1" x14ac:dyDescent="0.25">
      <c r="A17" s="1969"/>
      <c r="B17" s="1949" t="s">
        <v>533</v>
      </c>
      <c r="C17" s="1966"/>
      <c r="D17" s="546">
        <f t="shared" si="1"/>
        <v>42</v>
      </c>
      <c r="E17" s="547">
        <f>+'RENTA CEDULAR PENSION'!F21</f>
        <v>0</v>
      </c>
      <c r="F17" s="1938"/>
      <c r="G17" s="1935" t="s">
        <v>89</v>
      </c>
      <c r="H17" s="1935"/>
      <c r="I17" s="546">
        <f t="shared" si="0"/>
        <v>80</v>
      </c>
      <c r="J17" s="547">
        <f>+J14-J15-J16</f>
        <v>800805000</v>
      </c>
      <c r="K17" s="247"/>
      <c r="L17" s="251">
        <f>MIN(L15:L16)</f>
        <v>0</v>
      </c>
      <c r="P17" s="275" t="s">
        <v>416</v>
      </c>
      <c r="Q17" s="184">
        <f>IF((('DATOS PARA DEPURAR'!C14)*(-1)-Q16)&gt;0,(('DATOS PARA DEPURAR'!C14)*(-1)-Q16)*10%,0)</f>
        <v>0</v>
      </c>
      <c r="Z17" s="184">
        <f>IF((Z16-'DATOS PARA DEPURAR'!C14)&gt;0,(Z16-'DATOS PARA DEPURAR'!C14)*10%,0)</f>
        <v>1908000</v>
      </c>
    </row>
    <row r="18" spans="1:27" ht="18.75" customHeight="1" x14ac:dyDescent="0.2">
      <c r="A18" s="1903" t="s">
        <v>508</v>
      </c>
      <c r="B18" s="1946" t="s">
        <v>502</v>
      </c>
      <c r="C18" s="1925"/>
      <c r="D18" s="548">
        <f t="shared" si="1"/>
        <v>43</v>
      </c>
      <c r="E18" s="549">
        <f>+'RENTA GENERAL CAPITAL'!F4</f>
        <v>69080000</v>
      </c>
      <c r="F18" s="1959" t="s">
        <v>165</v>
      </c>
      <c r="G18" s="1907" t="s">
        <v>583</v>
      </c>
      <c r="H18" s="554" t="s">
        <v>584</v>
      </c>
      <c r="I18" s="548">
        <f t="shared" si="0"/>
        <v>81</v>
      </c>
      <c r="J18" s="549">
        <f>+'DIV. Y PARTICIPACIONES 2016 ANT'!E6</f>
        <v>12732000</v>
      </c>
      <c r="K18" s="247"/>
      <c r="Q18" s="299">
        <f>+AC12</f>
        <v>470650</v>
      </c>
      <c r="Z18" s="299">
        <f>+AC12</f>
        <v>470650</v>
      </c>
    </row>
    <row r="19" spans="1:27" x14ac:dyDescent="0.2">
      <c r="A19" s="1904"/>
      <c r="B19" s="1335" t="s">
        <v>474</v>
      </c>
      <c r="C19" s="1336"/>
      <c r="D19" s="181">
        <f t="shared" si="1"/>
        <v>44</v>
      </c>
      <c r="E19" s="543">
        <f>+'RENTA GENERAL CAPITAL'!F8</f>
        <v>46083267.999999993</v>
      </c>
      <c r="F19" s="1960"/>
      <c r="G19" s="1908"/>
      <c r="H19" s="535" t="s">
        <v>585</v>
      </c>
      <c r="I19" s="181">
        <f t="shared" si="0"/>
        <v>82</v>
      </c>
      <c r="J19" s="543">
        <f>+'Num. 2 ART 241 E.T. 2018'!E6</f>
        <v>65545000</v>
      </c>
      <c r="K19" s="254"/>
      <c r="L19" s="323">
        <f>384*'DATOS PARA DEPURAR'!C24</f>
        <v>16286208</v>
      </c>
      <c r="Q19" s="184">
        <f>MAX(Q17:Q18)</f>
        <v>470650</v>
      </c>
      <c r="Z19" s="363">
        <f>MAX(Z17:Z18)</f>
        <v>1908000</v>
      </c>
      <c r="AA19" s="184">
        <f>IF('DATOS PARA DEPURAR'!C13="S",'FORMULARIO 2018 RENTA CEDULAR'!AA23,0)</f>
        <v>0</v>
      </c>
    </row>
    <row r="20" spans="1:27" ht="17.25" customHeight="1" x14ac:dyDescent="0.2">
      <c r="A20" s="1904"/>
      <c r="B20" s="1916" t="s">
        <v>506</v>
      </c>
      <c r="C20" s="1275"/>
      <c r="D20" s="244">
        <f t="shared" si="1"/>
        <v>45</v>
      </c>
      <c r="E20" s="542">
        <f>+'RENTA GENERAL CAPITAL'!F13</f>
        <v>1</v>
      </c>
      <c r="F20" s="1960"/>
      <c r="G20" s="1908"/>
      <c r="H20" s="261" t="s">
        <v>586</v>
      </c>
      <c r="I20" s="244">
        <f t="shared" si="0"/>
        <v>83</v>
      </c>
      <c r="J20" s="542"/>
      <c r="K20" s="254"/>
      <c r="L20" s="253">
        <f>IF('DATOS PARA DEPURAR'!E247="S",(E7+M20)*10%,0)</f>
        <v>0</v>
      </c>
      <c r="M20" s="184">
        <f>IF('DATOS PARA DEPURAR'!E106="S",SUM('DATOS PARA DEPURAR'!E52:E55),0)</f>
        <v>0</v>
      </c>
      <c r="P20" s="275" t="s">
        <v>417</v>
      </c>
      <c r="Q20" s="184">
        <f>IF('DATOS PARA DEPURAR'!E14="S",'FORMULARIO 2018 RENTA CEDULAR'!Q17*2,0)</f>
        <v>0</v>
      </c>
      <c r="Z20" s="184">
        <f>IF('DATOS PARA DEPURAR'!E14="S",'FORMULARIO 2018 RENTA CEDULAR'!Z17*2,0)</f>
        <v>0</v>
      </c>
    </row>
    <row r="21" spans="1:27" ht="9" customHeight="1" thickBot="1" x14ac:dyDescent="0.25">
      <c r="A21" s="1904"/>
      <c r="B21" s="551" t="s">
        <v>582</v>
      </c>
      <c r="C21" s="552"/>
      <c r="D21" s="552"/>
      <c r="E21" s="553"/>
      <c r="F21" s="1960"/>
      <c r="G21" s="1908"/>
      <c r="H21" s="551" t="s">
        <v>581</v>
      </c>
      <c r="I21" s="552"/>
      <c r="J21" s="553"/>
      <c r="K21" s="254"/>
      <c r="L21" s="324">
        <f>MIN(L19:L20)</f>
        <v>0</v>
      </c>
      <c r="Q21" s="299">
        <f>+AC12</f>
        <v>470650</v>
      </c>
      <c r="Z21" s="377">
        <f>+AC12</f>
        <v>470650</v>
      </c>
    </row>
    <row r="22" spans="1:27" ht="21" customHeight="1" x14ac:dyDescent="0.2">
      <c r="A22" s="1904"/>
      <c r="B22" s="1457" t="s">
        <v>475</v>
      </c>
      <c r="C22" s="1457"/>
      <c r="D22" s="181">
        <f>+D20+1</f>
        <v>46</v>
      </c>
      <c r="E22" s="543">
        <f>+'RENTA GENERAL CAPITAL'!F30</f>
        <v>22996731.000000007</v>
      </c>
      <c r="F22" s="1960"/>
      <c r="G22" s="1908"/>
      <c r="H22" s="516" t="s">
        <v>588</v>
      </c>
      <c r="I22" s="181">
        <f>+I20+1</f>
        <v>84</v>
      </c>
      <c r="J22" s="555"/>
      <c r="K22" s="371">
        <f>+L31</f>
        <v>51442000</v>
      </c>
      <c r="L22" s="256" t="s">
        <v>8</v>
      </c>
      <c r="M22" s="257"/>
      <c r="O22" s="258" t="s">
        <v>10</v>
      </c>
      <c r="Q22" s="184">
        <f>MAX(Q20:Q21)</f>
        <v>470650</v>
      </c>
      <c r="Z22" s="184">
        <f>MAX(Z20:Z21)</f>
        <v>470650</v>
      </c>
    </row>
    <row r="23" spans="1:27" ht="24" customHeight="1" thickBot="1" x14ac:dyDescent="0.3">
      <c r="A23" s="1904"/>
      <c r="B23" s="1916" t="s">
        <v>524</v>
      </c>
      <c r="C23" s="1916"/>
      <c r="D23" s="244">
        <f t="shared" si="1"/>
        <v>47</v>
      </c>
      <c r="E23" s="542">
        <f>+'RENTA GENERAL CAPITAL'!F32</f>
        <v>0</v>
      </c>
      <c r="F23" s="1960"/>
      <c r="G23" s="1909"/>
      <c r="H23" s="556" t="s">
        <v>587</v>
      </c>
      <c r="I23" s="544">
        <f t="shared" si="0"/>
        <v>85</v>
      </c>
      <c r="J23" s="545"/>
      <c r="K23" s="254">
        <f>_xlfn.CEILING.PRECISE(H51,1000)</f>
        <v>0</v>
      </c>
      <c r="L23" s="1292">
        <f>+E42/O23</f>
        <v>5387.6218758841833</v>
      </c>
      <c r="M23" s="1293"/>
      <c r="O23" s="259">
        <f>+'DATOS PARA DEPURAR'!C24</f>
        <v>42412</v>
      </c>
      <c r="S23" s="184">
        <f>IF(Q20&gt;0,Q22,Q19)</f>
        <v>470650</v>
      </c>
      <c r="AA23" s="184">
        <f>IF(Z20&gt;0,Z22,Z19)</f>
        <v>1908000</v>
      </c>
    </row>
    <row r="24" spans="1:27" ht="24.75" customHeight="1" thickBot="1" x14ac:dyDescent="0.25">
      <c r="A24" s="1904"/>
      <c r="B24" s="1434" t="s">
        <v>476</v>
      </c>
      <c r="C24" s="1434"/>
      <c r="D24" s="181">
        <f t="shared" si="1"/>
        <v>48</v>
      </c>
      <c r="E24" s="543">
        <f>+'RENTA GENERAL CAPITAL'!F34</f>
        <v>0</v>
      </c>
      <c r="F24" s="1960"/>
      <c r="G24" s="1913" t="s">
        <v>591</v>
      </c>
      <c r="H24" s="1914"/>
      <c r="I24" s="540">
        <f t="shared" si="0"/>
        <v>86</v>
      </c>
      <c r="J24" s="541">
        <f>IF(SUM(J18:J23)&gt;0,SUM(J18:J23),0)</f>
        <v>78277000</v>
      </c>
      <c r="P24" s="247" t="s">
        <v>428</v>
      </c>
      <c r="Z24" s="184">
        <f>IF(S15&gt;0,S23,AA23)</f>
        <v>470650</v>
      </c>
    </row>
    <row r="25" spans="1:27" ht="27.75" customHeight="1" x14ac:dyDescent="0.2">
      <c r="A25" s="1904"/>
      <c r="B25" s="1947" t="s">
        <v>488</v>
      </c>
      <c r="C25" s="1947"/>
      <c r="D25" s="244">
        <f t="shared" si="1"/>
        <v>49</v>
      </c>
      <c r="E25" s="542">
        <f>+'RENTA GENERAL CAPITAL'!F46</f>
        <v>0</v>
      </c>
      <c r="F25" s="1960"/>
      <c r="G25" s="1915" t="s">
        <v>592</v>
      </c>
      <c r="H25" s="1294"/>
      <c r="I25" s="244">
        <f t="shared" si="0"/>
        <v>87</v>
      </c>
      <c r="J25" s="542">
        <f>+'Num. 2 ART 241 E.T. 2018'!E9</f>
        <v>0</v>
      </c>
      <c r="L25" s="262">
        <v>0</v>
      </c>
      <c r="M25" s="263">
        <v>1090</v>
      </c>
      <c r="O25" s="264" t="b">
        <f>IF(L23&lt;=1090,0)</f>
        <v>0</v>
      </c>
      <c r="P25" s="184">
        <f>+'DATOS PARA DEPURAR'!E17</f>
        <v>44301</v>
      </c>
      <c r="AA25" s="184">
        <f>+Z24/0.1</f>
        <v>4706500</v>
      </c>
    </row>
    <row r="26" spans="1:27" ht="22.5" customHeight="1" thickBot="1" x14ac:dyDescent="0.3">
      <c r="A26" s="1904"/>
      <c r="B26" s="1417" t="s">
        <v>525</v>
      </c>
      <c r="C26" s="1417"/>
      <c r="D26" s="181">
        <f t="shared" si="1"/>
        <v>50</v>
      </c>
      <c r="E26" s="543">
        <f>+'RENTA GENERAL CAPITAL'!F50</f>
        <v>22996731.000000007</v>
      </c>
      <c r="F26" s="1960"/>
      <c r="G26" s="1948" t="s">
        <v>593</v>
      </c>
      <c r="H26" s="1949"/>
      <c r="I26" s="546">
        <f t="shared" si="0"/>
        <v>88</v>
      </c>
      <c r="J26" s="547">
        <f>IF((J24&gt;J25),J24,J25)</f>
        <v>78277000</v>
      </c>
      <c r="L26" s="265" t="s">
        <v>169</v>
      </c>
      <c r="M26" s="266">
        <v>1700</v>
      </c>
      <c r="O26" s="267">
        <f>IF(L23&gt;1090,(IF(L23&lt;=1700,ROUND((((+L23-1090)*19%)*O23),-3),0)),FALSE)</f>
        <v>0</v>
      </c>
      <c r="P26" s="184">
        <f>+'DATOS PARA DEPURAR'!C17</f>
        <v>45568</v>
      </c>
      <c r="AA26" s="298">
        <f>+AA25*P28*5%</f>
        <v>-9883650</v>
      </c>
    </row>
    <row r="27" spans="1:27" ht="17.25" customHeight="1" x14ac:dyDescent="0.25">
      <c r="A27" s="1904"/>
      <c r="B27" s="1916" t="s">
        <v>526</v>
      </c>
      <c r="C27" s="1916"/>
      <c r="D27" s="244">
        <f t="shared" si="1"/>
        <v>51</v>
      </c>
      <c r="E27" s="542">
        <f>+'RENTA GENERAL CAPITAL'!F51</f>
        <v>0</v>
      </c>
      <c r="F27" s="1960"/>
      <c r="G27" s="1910" t="s">
        <v>138</v>
      </c>
      <c r="H27" s="582" t="s">
        <v>590</v>
      </c>
      <c r="I27" s="548">
        <f t="shared" si="0"/>
        <v>89</v>
      </c>
      <c r="J27" s="549">
        <f>IF(J167&gt;0,'DATOS PARA DEPURAR'!E345,0)+IF(J167&gt;0,'DATOS PARA DEPURAR'!E343,0)+IF(J167&gt;0,'DATOS PARA DEPURAR'!E344,0)</f>
        <v>0</v>
      </c>
      <c r="L27" s="265" t="s">
        <v>170</v>
      </c>
      <c r="M27" s="266">
        <v>4100</v>
      </c>
      <c r="O27" s="267">
        <f>IF(L23&gt;1700,IF(L23&lt;=4100,ROUND((((+L23-1700)*28%+116)*O23),-3),0))</f>
        <v>0</v>
      </c>
      <c r="P27" s="184">
        <f>+P25-P26</f>
        <v>-1267</v>
      </c>
      <c r="AA27" s="390">
        <f>IF(AA26&gt;AA25,AA25,AA26)</f>
        <v>-9883650</v>
      </c>
    </row>
    <row r="28" spans="1:27" ht="25.5" customHeight="1" thickBot="1" x14ac:dyDescent="0.3">
      <c r="A28" s="1904"/>
      <c r="B28" s="1428" t="s">
        <v>527</v>
      </c>
      <c r="C28" s="1428"/>
      <c r="D28" s="181">
        <f t="shared" si="1"/>
        <v>52</v>
      </c>
      <c r="E28" s="543">
        <f>+'RENTA GENERAL CAPITAL'!F52</f>
        <v>0</v>
      </c>
      <c r="F28" s="1960"/>
      <c r="G28" s="1911"/>
      <c r="H28" s="581" t="s">
        <v>125</v>
      </c>
      <c r="I28" s="181">
        <f t="shared" si="0"/>
        <v>90</v>
      </c>
      <c r="J28" s="543">
        <f>IF(J167&gt;0,'DATOS PARA DEPURAR'!E349,0)</f>
        <v>0</v>
      </c>
      <c r="K28" s="184">
        <f>SUM(K24:K27)</f>
        <v>0</v>
      </c>
      <c r="L28" s="270" t="s">
        <v>171</v>
      </c>
      <c r="M28" s="271"/>
      <c r="O28" s="272">
        <f>IF(L23&gt;4100,ROUND((((+L23-4100)*33%)*O23)+(788*O23),-3),0)</f>
        <v>51442000</v>
      </c>
      <c r="P28" s="184">
        <f>_xlfn.CEILING.PRECISE(P27/30,1)</f>
        <v>-42</v>
      </c>
    </row>
    <row r="29" spans="1:27" ht="26.25" customHeight="1" thickBot="1" x14ac:dyDescent="0.25">
      <c r="A29" s="1905"/>
      <c r="B29" s="1950" t="s">
        <v>528</v>
      </c>
      <c r="C29" s="1950"/>
      <c r="D29" s="544">
        <f t="shared" si="1"/>
        <v>53</v>
      </c>
      <c r="E29" s="545">
        <f>+'RENTA GENERAL CAPITAL'!F53</f>
        <v>22996731.000000007</v>
      </c>
      <c r="F29" s="1960"/>
      <c r="G29" s="1911"/>
      <c r="H29" s="582" t="s">
        <v>163</v>
      </c>
      <c r="I29" s="583">
        <f t="shared" si="0"/>
        <v>91</v>
      </c>
      <c r="J29" s="542"/>
      <c r="K29" s="184">
        <f>IF(K22&gt;K23,K22-K28,IF(K23&gt;K22,K23-K28,0))</f>
        <v>51442000</v>
      </c>
      <c r="P29" s="247" t="s">
        <v>430</v>
      </c>
      <c r="Q29" s="184">
        <f>+AC14</f>
        <v>0</v>
      </c>
    </row>
    <row r="30" spans="1:27" ht="18" customHeight="1" thickBot="1" x14ac:dyDescent="0.25">
      <c r="A30" s="1917" t="s">
        <v>568</v>
      </c>
      <c r="B30" s="1953" t="s">
        <v>534</v>
      </c>
      <c r="C30" s="1954"/>
      <c r="D30" s="540">
        <f t="shared" si="1"/>
        <v>54</v>
      </c>
      <c r="E30" s="541">
        <f>+'RENTA GENERAL NO LABORAL'!F4</f>
        <v>1043456789</v>
      </c>
      <c r="F30" s="1960"/>
      <c r="G30" s="1912"/>
      <c r="H30" s="557" t="s">
        <v>164</v>
      </c>
      <c r="I30" s="546">
        <f t="shared" si="0"/>
        <v>92</v>
      </c>
      <c r="J30" s="547">
        <f>SUM(J27:J29)</f>
        <v>0</v>
      </c>
      <c r="L30" s="1268" t="s">
        <v>172</v>
      </c>
      <c r="M30" s="1269"/>
      <c r="P30" s="247" t="s">
        <v>415</v>
      </c>
      <c r="Q30" s="184">
        <f>IF('DATOS PARA DEPURAR'!C13="S",'FORMULARIO 2018 RENTA CEDULAR'!Z24,0)</f>
        <v>0</v>
      </c>
    </row>
    <row r="31" spans="1:27" ht="18" customHeight="1" thickBot="1" x14ac:dyDescent="0.3">
      <c r="A31" s="1918"/>
      <c r="B31" s="1906" t="s">
        <v>547</v>
      </c>
      <c r="C31" s="1906"/>
      <c r="D31" s="244">
        <f t="shared" si="1"/>
        <v>55</v>
      </c>
      <c r="E31" s="542">
        <f>+'RENTA GENERAL NO LABORAL'!F24</f>
        <v>0</v>
      </c>
      <c r="F31" s="1960"/>
      <c r="G31" s="1951" t="s">
        <v>166</v>
      </c>
      <c r="H31" s="1952"/>
      <c r="I31" s="583">
        <f t="shared" si="0"/>
        <v>93</v>
      </c>
      <c r="J31" s="558">
        <f>IF((J26&gt;J30),J26-J30,0)</f>
        <v>78277000</v>
      </c>
      <c r="L31" s="1270">
        <f>IF(O25=0,O25,IF(O26&gt;0,O26,IF(O27&gt;0,O27,IF(O28&gt;0,O28))))</f>
        <v>51442000</v>
      </c>
      <c r="M31" s="1271"/>
      <c r="P31" s="416" t="s">
        <v>431</v>
      </c>
      <c r="Q31" s="299">
        <f>IF('DATOS PARA DEPURAR'!C15="S",AA27,0)</f>
        <v>0</v>
      </c>
      <c r="Z31" s="184">
        <f>+'DATOS PARA DEPURAR'!E15</f>
        <v>0</v>
      </c>
    </row>
    <row r="32" spans="1:27" ht="18" customHeight="1" x14ac:dyDescent="0.2">
      <c r="A32" s="1918"/>
      <c r="B32" s="1335" t="s">
        <v>474</v>
      </c>
      <c r="C32" s="1336"/>
      <c r="D32" s="181">
        <f t="shared" si="1"/>
        <v>56</v>
      </c>
      <c r="E32" s="543">
        <f>+'RENTA GENERAL NO LABORAL'!F26</f>
        <v>9236000</v>
      </c>
      <c r="F32" s="1960"/>
      <c r="G32" s="1921" t="s">
        <v>100</v>
      </c>
      <c r="H32" s="1315"/>
      <c r="I32" s="181">
        <f t="shared" ref="I32:I42" si="2">+I31+1</f>
        <v>94</v>
      </c>
      <c r="J32" s="559">
        <f>SUM('DEPURACION POR IMAS EMPLEADO'!K30:K31)</f>
        <v>80080500</v>
      </c>
      <c r="Q32" s="184">
        <f>IF((Q29&lt;=0),Q30+Q31,IF(Q30&lt;=0,Q29,IF(SUM(Q29:Q30)&lt;=0,0,0)))</f>
        <v>0</v>
      </c>
      <c r="Z32" s="184">
        <f>IF(Z24&gt;0,Z31,0)</f>
        <v>0</v>
      </c>
    </row>
    <row r="33" spans="1:16" ht="24" customHeight="1" thickBot="1" x14ac:dyDescent="0.25">
      <c r="A33" s="1918"/>
      <c r="B33" s="1906" t="s">
        <v>506</v>
      </c>
      <c r="C33" s="1906"/>
      <c r="D33" s="244">
        <f t="shared" si="1"/>
        <v>57</v>
      </c>
      <c r="E33" s="542">
        <f>+'RENTA GENERAL NO LABORAL'!F36</f>
        <v>748888890</v>
      </c>
      <c r="F33" s="1960"/>
      <c r="G33" s="1932" t="s">
        <v>167</v>
      </c>
      <c r="H33" s="1290"/>
      <c r="I33" s="244">
        <f t="shared" si="2"/>
        <v>95</v>
      </c>
      <c r="J33" s="542">
        <f>+'DATOS PARA DEPURAR'!E338</f>
        <v>0</v>
      </c>
    </row>
    <row r="34" spans="1:16" ht="17.25" customHeight="1" x14ac:dyDescent="0.2">
      <c r="A34" s="1918"/>
      <c r="B34" s="1335" t="s">
        <v>544</v>
      </c>
      <c r="C34" s="1336"/>
      <c r="D34" s="181">
        <f t="shared" si="1"/>
        <v>58</v>
      </c>
      <c r="E34" s="543">
        <f>+'RENTA GENERAL NO LABORAL'!F64</f>
        <v>285331899</v>
      </c>
      <c r="F34" s="1960"/>
      <c r="G34" s="560" t="s">
        <v>102</v>
      </c>
      <c r="H34" s="537"/>
      <c r="I34" s="181">
        <f t="shared" si="2"/>
        <v>96</v>
      </c>
      <c r="J34" s="543">
        <f>+J31+J32-J33</f>
        <v>158357500</v>
      </c>
      <c r="L34" s="306" t="s">
        <v>182</v>
      </c>
      <c r="M34" s="307"/>
      <c r="N34" s="307"/>
      <c r="O34" s="307"/>
      <c r="P34" s="308"/>
    </row>
    <row r="35" spans="1:16" ht="17.25" customHeight="1" x14ac:dyDescent="0.2">
      <c r="A35" s="1918"/>
      <c r="B35" s="1906" t="s">
        <v>539</v>
      </c>
      <c r="C35" s="1906"/>
      <c r="D35" s="244">
        <f t="shared" si="1"/>
        <v>59</v>
      </c>
      <c r="E35" s="542">
        <f>+'RENTA GENERAL NO LABORAL'!F66</f>
        <v>0</v>
      </c>
      <c r="F35" s="1960"/>
      <c r="G35" s="561" t="s">
        <v>471</v>
      </c>
      <c r="H35" s="536"/>
      <c r="I35" s="244">
        <f t="shared" si="2"/>
        <v>97</v>
      </c>
      <c r="J35" s="542">
        <f>IF('DATOS PARA DEPURAR'!E21&gt;0,'DATOS PARA DEPURAR'!E21,0)</f>
        <v>0</v>
      </c>
      <c r="K35" s="184">
        <f>IF((L35)&gt;0,L35,0)</f>
        <v>0</v>
      </c>
      <c r="L35" s="309">
        <f>IF((M35*25%)&lt;=(2880*'DATOS PARA DEPURAR'!C24),(M35*25%),(2880*'DATOS PARA DEPURAR'!C24))</f>
        <v>-7592622.875</v>
      </c>
      <c r="M35" s="304">
        <f>E7-'DATOS PARA DEPURAR'!E44+L36-SUM('DATOS PARA DEPURAR'!E293:E298)-'DATOS PARA DEPURAR'!E240-'DATOS PARA DEPURAR'!E241-'DATOS PARA DEPURAR'!E242-'DATOS PARA DEPURAR'!E243-'DATOS PARA DEPURAR'!E245-'DATOS PARA DEPURAR'!E249-'DATOS PARA DEPURAR'!E258-'DATOS PARA DEPURAR'!E257-'DATOS PARA DEPURAR'!E251-'FORMULARIO 2018 RENTA CEDULAR'!E23-'DATOS PARA DEPURAR'!E286</f>
        <v>-30370491.5</v>
      </c>
      <c r="N35" s="177"/>
      <c r="O35" s="177"/>
      <c r="P35" s="310"/>
    </row>
    <row r="36" spans="1:16" ht="22.5" customHeight="1" x14ac:dyDescent="0.2">
      <c r="A36" s="1918"/>
      <c r="B36" s="1955" t="s">
        <v>540</v>
      </c>
      <c r="C36" s="1955"/>
      <c r="D36" s="181">
        <f t="shared" si="1"/>
        <v>60</v>
      </c>
      <c r="E36" s="543">
        <f>+'RENTA GENERAL NO LABORAL'!F68</f>
        <v>124000000</v>
      </c>
      <c r="F36" s="1960"/>
      <c r="G36" s="1956" t="s">
        <v>639</v>
      </c>
      <c r="H36" s="1957"/>
      <c r="I36" s="181">
        <f t="shared" si="2"/>
        <v>98</v>
      </c>
      <c r="J36" s="543">
        <f>IF('DATOS PARA DEPURAR'!C22&gt;0,'DATOS PARA DEPURAR'!C22,0)</f>
        <v>0</v>
      </c>
      <c r="L36" s="311">
        <f>IF(('DATOS PARA DEPURAR'!E106)="S",('DATOS PARA DEPURAR'!E52+'DATOS PARA DEPURAR'!E54),0)</f>
        <v>0</v>
      </c>
      <c r="M36" s="177">
        <f>50531/0.25</f>
        <v>202124</v>
      </c>
      <c r="N36" s="177"/>
      <c r="O36" s="1391" t="s">
        <v>595</v>
      </c>
      <c r="P36" s="1392"/>
    </row>
    <row r="37" spans="1:16" ht="23.25" customHeight="1" x14ac:dyDescent="0.2">
      <c r="A37" s="1918"/>
      <c r="B37" s="1958" t="s">
        <v>542</v>
      </c>
      <c r="C37" s="1958"/>
      <c r="D37" s="625">
        <f t="shared" si="1"/>
        <v>61</v>
      </c>
      <c r="E37" s="624">
        <f>+'RENTA GENERAL NO LABORAL'!F81</f>
        <v>56832080</v>
      </c>
      <c r="F37" s="1960"/>
      <c r="G37" s="562" t="s">
        <v>640</v>
      </c>
      <c r="H37" s="538"/>
      <c r="I37" s="244">
        <f t="shared" si="2"/>
        <v>99</v>
      </c>
      <c r="J37" s="542">
        <f>+'DATOS PARA DEPURAR'!E339</f>
        <v>18615000</v>
      </c>
      <c r="L37" s="311">
        <f>IF('DATOS PARA DEPURAR'!D62="N",'DATOS PARA DEPURAR'!E175,0)</f>
        <v>50000000</v>
      </c>
      <c r="M37" s="177">
        <f>+M36/2</f>
        <v>101062</v>
      </c>
      <c r="N37" s="177"/>
      <c r="O37" s="304">
        <f>IF((J31)&gt;0,J31,0)</f>
        <v>78277000</v>
      </c>
      <c r="P37" s="310"/>
    </row>
    <row r="38" spans="1:16" ht="17.25" customHeight="1" x14ac:dyDescent="0.2">
      <c r="A38" s="1918"/>
      <c r="B38" s="1335" t="s">
        <v>525</v>
      </c>
      <c r="C38" s="1336"/>
      <c r="D38" s="181">
        <f t="shared" si="1"/>
        <v>62</v>
      </c>
      <c r="E38" s="543">
        <f>+'RENTA GENERAL NO LABORAL'!F85</f>
        <v>228499819</v>
      </c>
      <c r="F38" s="1960"/>
      <c r="G38" s="560" t="s">
        <v>641</v>
      </c>
      <c r="H38" s="537"/>
      <c r="I38" s="277">
        <f t="shared" si="2"/>
        <v>100</v>
      </c>
      <c r="J38" s="543">
        <f>+P43</f>
        <v>10738875.375</v>
      </c>
      <c r="K38" s="184">
        <f>+Q32</f>
        <v>0</v>
      </c>
      <c r="L38" s="311">
        <f>IF('DATOS PARA DEPURAR'!D64="N",'DATOS PARA DEPURAR'!E176,0)</f>
        <v>50000000</v>
      </c>
      <c r="M38" s="177"/>
      <c r="N38" s="177"/>
      <c r="O38" s="304">
        <f>IF(((O37)*('DEPURACION POR IMAS EMPLEADO'!K44)-('DATOS PARA DEPURAR'!E332))&gt;0,(O37)*('DEPURACION POR IMAS EMPLEADO'!K44)-('DATOS PARA DEPURAR'!E332),0)</f>
        <v>40092750</v>
      </c>
      <c r="P38" s="310"/>
    </row>
    <row r="39" spans="1:16" ht="17.25" customHeight="1" x14ac:dyDescent="0.2">
      <c r="A39" s="1918"/>
      <c r="B39" s="1906" t="s">
        <v>526</v>
      </c>
      <c r="C39" s="1906"/>
      <c r="D39" s="244">
        <f t="shared" si="1"/>
        <v>63</v>
      </c>
      <c r="E39" s="542">
        <f>+'RENTA GENERAL NO LABORAL'!F86</f>
        <v>0</v>
      </c>
      <c r="F39" s="1960"/>
      <c r="G39" s="562" t="s">
        <v>173</v>
      </c>
      <c r="H39" s="538"/>
      <c r="I39" s="279">
        <f t="shared" si="2"/>
        <v>101</v>
      </c>
      <c r="J39" s="542">
        <f>IF((J34+J38-J35-J36-J37)&gt;0,J34+J38-J35-J36-J37,0)</f>
        <v>150481375.375</v>
      </c>
      <c r="L39" s="311"/>
      <c r="M39" s="177"/>
      <c r="N39" s="177"/>
      <c r="O39" s="177"/>
      <c r="P39" s="312">
        <f>+O38</f>
        <v>40092750</v>
      </c>
    </row>
    <row r="40" spans="1:16" ht="17.25" customHeight="1" x14ac:dyDescent="0.2">
      <c r="A40" s="1918"/>
      <c r="B40" s="1336" t="s">
        <v>545</v>
      </c>
      <c r="C40" s="1336"/>
      <c r="D40" s="181">
        <f t="shared" si="1"/>
        <v>64</v>
      </c>
      <c r="E40" s="543">
        <f>+'RENTA GENERAL NO LABORAL'!F87</f>
        <v>0</v>
      </c>
      <c r="F40" s="1960"/>
      <c r="G40" s="563" t="s">
        <v>174</v>
      </c>
      <c r="H40" s="539"/>
      <c r="I40" s="277">
        <f t="shared" si="2"/>
        <v>102</v>
      </c>
      <c r="J40" s="543">
        <f>+K38</f>
        <v>0</v>
      </c>
      <c r="L40" s="311">
        <v>1</v>
      </c>
      <c r="M40" s="177"/>
      <c r="N40" s="177"/>
      <c r="O40" s="304">
        <f>IF((O42)&gt;0,(O42+O37)/(2),0)</f>
        <v>39138500.5</v>
      </c>
      <c r="P40" s="310">
        <f>IF((O40*'DEPURACION POR IMAS EMPLEADO'!K44)-('DATOS PARA DEPURAR'!E332)&gt;0,(O40*'DEPURACION POR IMAS EMPLEADO'!K44)-('DATOS PARA DEPURAR'!E332),0)</f>
        <v>10738875.375</v>
      </c>
    </row>
    <row r="41" spans="1:16" ht="17.25" customHeight="1" x14ac:dyDescent="0.2">
      <c r="A41" s="1918"/>
      <c r="B41" s="1906" t="s">
        <v>546</v>
      </c>
      <c r="C41" s="1906"/>
      <c r="D41" s="244">
        <f t="shared" si="1"/>
        <v>65</v>
      </c>
      <c r="E41" s="542" t="e">
        <f>+'RENTA GENERAL NO LABORAL'!#REF!</f>
        <v>#REF!</v>
      </c>
      <c r="F41" s="1960"/>
      <c r="G41" s="562" t="s">
        <v>175</v>
      </c>
      <c r="H41" s="538"/>
      <c r="I41" s="279">
        <f t="shared" si="2"/>
        <v>103</v>
      </c>
      <c r="J41" s="584">
        <f>IF((J34+J38-J35-J36-J37+J40)&gt;0,J34+J38-J35-J36-J37+J40,0)</f>
        <v>150481375.375</v>
      </c>
      <c r="L41" s="311"/>
      <c r="M41" s="177"/>
      <c r="N41" s="177"/>
      <c r="O41" s="304"/>
      <c r="P41" s="310"/>
    </row>
    <row r="42" spans="1:16" ht="22.5" customHeight="1" thickBot="1" x14ac:dyDescent="0.25">
      <c r="A42" s="1919"/>
      <c r="B42" s="1920" t="s">
        <v>543</v>
      </c>
      <c r="C42" s="1920"/>
      <c r="D42" s="546">
        <f t="shared" si="1"/>
        <v>66</v>
      </c>
      <c r="E42" s="550">
        <f>+'RENTA GENERAL NO LABORAL'!F88</f>
        <v>228499819</v>
      </c>
      <c r="F42" s="1961"/>
      <c r="G42" s="564" t="s">
        <v>176</v>
      </c>
      <c r="H42" s="565"/>
      <c r="I42" s="566">
        <f t="shared" si="2"/>
        <v>104</v>
      </c>
      <c r="J42" s="550">
        <f>IF((J35+J36+J37-J34-J38-J40)&gt;0,J35+J36+J37-J34-J38-J40,0)</f>
        <v>0</v>
      </c>
      <c r="L42" s="311">
        <v>2</v>
      </c>
      <c r="M42" s="177"/>
      <c r="N42" s="177"/>
      <c r="O42" s="304">
        <f>+'DATOS PARA DEPURAR'!C21</f>
        <v>1</v>
      </c>
      <c r="P42" s="312">
        <f>MIN(P39:P40)</f>
        <v>10738875.375</v>
      </c>
    </row>
    <row r="43" spans="1:16" ht="24.75" customHeight="1" x14ac:dyDescent="0.2">
      <c r="A43" s="1970" t="str">
        <f>IF(E20&gt;0,C106,C100)</f>
        <v>YAOP</v>
      </c>
      <c r="B43" s="1970"/>
      <c r="C43" s="1970"/>
      <c r="D43" s="1970"/>
      <c r="E43" s="1970"/>
      <c r="F43" s="1970"/>
      <c r="G43" s="1970"/>
      <c r="H43" s="1970"/>
      <c r="I43" s="1970"/>
      <c r="J43" s="1970"/>
      <c r="L43" s="311">
        <v>3</v>
      </c>
      <c r="M43" s="317">
        <f>+'DATOS PARA DEPURAR'!C25/'DATOS PARA DEPURAR'!C24</f>
        <v>82.25238140149014</v>
      </c>
      <c r="N43" s="177"/>
      <c r="O43" s="177">
        <f>LOOKUP(M43,L44:M50,O44:O50)</f>
        <v>1</v>
      </c>
      <c r="P43" s="310">
        <f>IF((P42)&gt;0,P42,P39)</f>
        <v>10738875.375</v>
      </c>
    </row>
    <row r="44" spans="1:16" hidden="1" x14ac:dyDescent="0.2">
      <c r="L44" s="311">
        <v>0</v>
      </c>
      <c r="M44" s="177">
        <f>350-0.01</f>
        <v>349.99</v>
      </c>
      <c r="N44" s="177"/>
      <c r="O44" s="305">
        <v>1</v>
      </c>
      <c r="P44" s="310">
        <f>IF(M43&lt;=M44,O43,0)</f>
        <v>1</v>
      </c>
    </row>
    <row r="45" spans="1:16" hidden="1" x14ac:dyDescent="0.2">
      <c r="C45" s="247" t="s">
        <v>155</v>
      </c>
      <c r="E45" s="184">
        <f>IF(E31&lt;E32,E32+E40-E39,IF(E32&lt;E31,E31-E39+E40,0))</f>
        <v>9236000</v>
      </c>
      <c r="J45" s="181"/>
      <c r="L45" s="311">
        <v>350</v>
      </c>
      <c r="M45" s="177">
        <f>410-0.01</f>
        <v>409.99</v>
      </c>
      <c r="N45" s="177"/>
      <c r="O45" s="305">
        <v>0.9</v>
      </c>
      <c r="P45" s="310"/>
    </row>
    <row r="46" spans="1:16" hidden="1" x14ac:dyDescent="0.2">
      <c r="L46" s="311">
        <v>410</v>
      </c>
      <c r="M46" s="177">
        <f>470-0.01</f>
        <v>469.99</v>
      </c>
      <c r="N46" s="177"/>
      <c r="O46" s="305">
        <v>0.8</v>
      </c>
      <c r="P46" s="310"/>
    </row>
    <row r="47" spans="1:16" hidden="1" x14ac:dyDescent="0.2">
      <c r="L47" s="311">
        <v>470</v>
      </c>
      <c r="M47" s="177">
        <f>530-0.01</f>
        <v>529.99</v>
      </c>
      <c r="N47" s="177"/>
      <c r="O47" s="305">
        <v>0.6</v>
      </c>
      <c r="P47" s="310"/>
    </row>
    <row r="48" spans="1:16" ht="15" hidden="1" x14ac:dyDescent="0.25">
      <c r="C48" s="285" t="s">
        <v>34</v>
      </c>
      <c r="D48" s="286"/>
      <c r="E48" s="287" t="s">
        <v>75</v>
      </c>
      <c r="F48" s="287"/>
      <c r="H48" s="288" t="s">
        <v>76</v>
      </c>
      <c r="L48" s="311">
        <v>530</v>
      </c>
      <c r="M48" s="177">
        <f>590-0.01</f>
        <v>589.99</v>
      </c>
      <c r="N48" s="177"/>
      <c r="O48" s="305">
        <v>0.4</v>
      </c>
      <c r="P48" s="310"/>
    </row>
    <row r="49" spans="3:16" hidden="1" x14ac:dyDescent="0.2">
      <c r="C49" s="289" t="s">
        <v>18</v>
      </c>
      <c r="D49" s="289"/>
      <c r="E49" s="290">
        <f>+J9/'DATOS PARA DEPURAR'!$C$24</f>
        <v>0</v>
      </c>
      <c r="F49" s="290"/>
      <c r="H49" s="291">
        <f>+E49*'DATOS PARA DEPURAR'!$C$24</f>
        <v>0</v>
      </c>
      <c r="L49" s="311">
        <v>590</v>
      </c>
      <c r="M49" s="177">
        <f>650-0.01</f>
        <v>649.99</v>
      </c>
      <c r="N49" s="177"/>
      <c r="O49" s="305">
        <v>0.2</v>
      </c>
      <c r="P49" s="310"/>
    </row>
    <row r="50" spans="3:16" ht="13.5" hidden="1" thickBot="1" x14ac:dyDescent="0.25">
      <c r="C50" s="289" t="s">
        <v>77</v>
      </c>
      <c r="D50" s="289"/>
      <c r="E50" s="290">
        <f>+J20/'DATOS PARA DEPURAR'!$C$24</f>
        <v>0</v>
      </c>
      <c r="F50" s="290"/>
      <c r="H50" s="291">
        <f>+E50*'DATOS PARA DEPURAR'!$C$24</f>
        <v>0</v>
      </c>
      <c r="L50" s="313">
        <v>650</v>
      </c>
      <c r="M50" s="314">
        <v>10000</v>
      </c>
      <c r="N50" s="314"/>
      <c r="O50" s="315">
        <v>0.1</v>
      </c>
      <c r="P50" s="316"/>
    </row>
    <row r="51" spans="3:16" hidden="1" x14ac:dyDescent="0.2">
      <c r="C51" s="289" t="s">
        <v>78</v>
      </c>
      <c r="D51" s="289"/>
      <c r="E51" s="171">
        <f>+E54</f>
        <v>0</v>
      </c>
      <c r="F51" s="171"/>
      <c r="H51" s="291">
        <f>+E51*'DATOS PARA DEPURAR'!$C$24</f>
        <v>0</v>
      </c>
    </row>
    <row r="52" spans="3:16" ht="15" hidden="1" x14ac:dyDescent="0.25">
      <c r="C52" s="292"/>
      <c r="D52" s="292"/>
      <c r="E52" s="181"/>
      <c r="F52" s="181"/>
      <c r="H52" s="291">
        <f>+E52*'DATOS PARA DEPURAR'!$C$24</f>
        <v>0</v>
      </c>
      <c r="J52" s="293">
        <v>0</v>
      </c>
      <c r="K52" s="294">
        <v>1547.99</v>
      </c>
      <c r="L52" s="295">
        <v>0</v>
      </c>
    </row>
    <row r="53" spans="3:16" ht="15" hidden="1" x14ac:dyDescent="0.25">
      <c r="J53" s="293">
        <v>1548</v>
      </c>
      <c r="K53" s="296">
        <f>+J54-0.01</f>
        <v>1587.99</v>
      </c>
      <c r="L53" s="295">
        <v>1.05</v>
      </c>
    </row>
    <row r="54" spans="3:16" ht="15" hidden="1" x14ac:dyDescent="0.25">
      <c r="E54" s="184">
        <f>IF(E50&lt;=13642.99,H54,IF(E50&gt;13642.99,(E50*27%)-1622,0))</f>
        <v>0</v>
      </c>
      <c r="H54" s="184">
        <f>LOOKUP(E50,J52:K136,L52:L136)</f>
        <v>0</v>
      </c>
      <c r="J54" s="293">
        <v>1588</v>
      </c>
      <c r="K54" s="296">
        <f t="shared" ref="K54:K117" si="3">+J55-0.01</f>
        <v>1628.99</v>
      </c>
      <c r="L54" s="295">
        <v>1.08</v>
      </c>
    </row>
    <row r="55" spans="3:16" ht="15" hidden="1" x14ac:dyDescent="0.25">
      <c r="C55" s="297">
        <f>+E50-1622</f>
        <v>-1622</v>
      </c>
      <c r="J55" s="293">
        <v>1629</v>
      </c>
      <c r="K55" s="296">
        <f t="shared" si="3"/>
        <v>1669.99</v>
      </c>
      <c r="L55" s="295">
        <v>1.1100000000000001</v>
      </c>
    </row>
    <row r="56" spans="3:16" ht="15" hidden="1" x14ac:dyDescent="0.25">
      <c r="C56" s="184">
        <f>+C55*0.27</f>
        <v>-437.94000000000005</v>
      </c>
      <c r="J56" s="293">
        <v>1670</v>
      </c>
      <c r="K56" s="296">
        <f t="shared" si="3"/>
        <v>1709.99</v>
      </c>
      <c r="L56" s="295">
        <v>1.1399999999999999</v>
      </c>
    </row>
    <row r="57" spans="3:16" ht="15" hidden="1" x14ac:dyDescent="0.25">
      <c r="C57" s="184">
        <f>C56*26841</f>
        <v>-11754747.540000001</v>
      </c>
      <c r="J57" s="293">
        <v>1710</v>
      </c>
      <c r="K57" s="296">
        <f t="shared" si="3"/>
        <v>1750.99</v>
      </c>
      <c r="L57" s="295">
        <v>1.1599999999999999</v>
      </c>
    </row>
    <row r="58" spans="3:16" ht="15" hidden="1" x14ac:dyDescent="0.25">
      <c r="J58" s="293">
        <v>1751</v>
      </c>
      <c r="K58" s="296">
        <f t="shared" si="3"/>
        <v>1791.99</v>
      </c>
      <c r="L58" s="295">
        <v>2.38</v>
      </c>
    </row>
    <row r="59" spans="3:16" ht="15" hidden="1" x14ac:dyDescent="0.25">
      <c r="J59" s="293">
        <v>1792</v>
      </c>
      <c r="K59" s="296">
        <f t="shared" si="3"/>
        <v>1832.99</v>
      </c>
      <c r="L59" s="295">
        <v>2.4300000000000002</v>
      </c>
    </row>
    <row r="60" spans="3:16" ht="15" hidden="1" x14ac:dyDescent="0.25">
      <c r="C60" s="184" t="s">
        <v>320</v>
      </c>
      <c r="J60" s="293">
        <v>1833</v>
      </c>
      <c r="K60" s="296">
        <f t="shared" si="3"/>
        <v>1872.99</v>
      </c>
      <c r="L60" s="295">
        <v>2.4900000000000002</v>
      </c>
    </row>
    <row r="61" spans="3:16" ht="15" hidden="1" x14ac:dyDescent="0.25">
      <c r="C61" s="298">
        <f>3800*'DATOS PARA DEPURAR'!C24</f>
        <v>161165600</v>
      </c>
      <c r="J61" s="293">
        <v>1873</v>
      </c>
      <c r="K61" s="296">
        <f t="shared" si="3"/>
        <v>1913.99</v>
      </c>
      <c r="L61" s="295">
        <v>4.76</v>
      </c>
    </row>
    <row r="62" spans="3:16" ht="15" hidden="1" x14ac:dyDescent="0.25">
      <c r="C62" s="298">
        <f>(SUM('DATOS PARA DEPURAR'!E52:E55)+('DATOS PARA DEPURAR'!E29))*0.3</f>
        <v>117825600</v>
      </c>
      <c r="J62" s="293">
        <v>1914</v>
      </c>
      <c r="K62" s="296">
        <f t="shared" si="3"/>
        <v>1954.99</v>
      </c>
      <c r="L62" s="295">
        <v>4.8600000000000003</v>
      </c>
    </row>
    <row r="63" spans="3:16" ht="15" hidden="1" x14ac:dyDescent="0.25">
      <c r="C63" s="299">
        <f>MIN(C61:C62)</f>
        <v>117825600</v>
      </c>
      <c r="J63" s="293">
        <v>1955</v>
      </c>
      <c r="K63" s="296">
        <f t="shared" si="3"/>
        <v>1995.99</v>
      </c>
      <c r="L63" s="295">
        <v>4.96</v>
      </c>
    </row>
    <row r="64" spans="3:16" ht="15" hidden="1" x14ac:dyDescent="0.25">
      <c r="J64" s="293">
        <v>1996</v>
      </c>
      <c r="K64" s="296">
        <f t="shared" si="3"/>
        <v>2035.99</v>
      </c>
      <c r="L64" s="295">
        <v>8.43</v>
      </c>
    </row>
    <row r="65" spans="3:12" ht="15" hidden="1" x14ac:dyDescent="0.25">
      <c r="C65" s="247" t="s">
        <v>321</v>
      </c>
      <c r="J65" s="293">
        <v>2036</v>
      </c>
      <c r="K65" s="296">
        <f t="shared" si="3"/>
        <v>2117.9899999999998</v>
      </c>
      <c r="L65" s="295">
        <v>8.7100000000000009</v>
      </c>
    </row>
    <row r="66" spans="3:12" ht="15" hidden="1" x14ac:dyDescent="0.25">
      <c r="C66" s="298">
        <f>IF(SUM('DATOS PARA DEPURAR'!D286:D291)&lt;=('DATOS PARA DEPURAR'!E286),('DATOS PARA DEPURAR'!D291),IF(SUM('DATOS PARA DEPURAR'!D286:D291)&gt;('DATOS PARA DEPURAR'!E286),('DATOS PARA DEPURAR'!E286-'DATOS PARA DEPURAR'!D286-'DATOS PARA DEPURAR'!D288),0))</f>
        <v>0</v>
      </c>
      <c r="J66" s="293">
        <v>2118</v>
      </c>
      <c r="K66" s="296">
        <f t="shared" si="3"/>
        <v>2198.9899999999998</v>
      </c>
      <c r="L66" s="295">
        <v>13.74</v>
      </c>
    </row>
    <row r="67" spans="3:12" ht="15" hidden="1" x14ac:dyDescent="0.25">
      <c r="C67" s="247" t="s">
        <v>322</v>
      </c>
      <c r="J67" s="293">
        <v>2199</v>
      </c>
      <c r="K67" s="296">
        <f t="shared" si="3"/>
        <v>2280.9899999999998</v>
      </c>
      <c r="L67" s="295">
        <v>14.26</v>
      </c>
    </row>
    <row r="68" spans="3:12" ht="15" hidden="1" x14ac:dyDescent="0.25">
      <c r="C68" s="248">
        <f>IF(SUM('DATOS PARA DEPURAR'!D286:D288)&lt;=('DATOS PARA DEPURAR'!E286+'DATOS PARA DEPURAR'!D287),'DATOS PARA DEPURAR'!D288,'DATOS PARA DEPURAR'!E286-'DATOS PARA DEPURAR'!D286-'DATOS PARA DEPURAR'!D287)</f>
        <v>0</v>
      </c>
      <c r="J68" s="293">
        <v>2281</v>
      </c>
      <c r="K68" s="296">
        <f t="shared" si="3"/>
        <v>2361.9899999999998</v>
      </c>
      <c r="L68" s="295">
        <v>19.809999999999999</v>
      </c>
    </row>
    <row r="69" spans="3:12" ht="15" hidden="1" x14ac:dyDescent="0.25">
      <c r="C69" s="248">
        <f>+'DATOS PARA DEPURAR'!D288</f>
        <v>0</v>
      </c>
      <c r="J69" s="293">
        <v>2362</v>
      </c>
      <c r="K69" s="296">
        <f t="shared" si="3"/>
        <v>2442.9899999999998</v>
      </c>
      <c r="L69" s="295">
        <v>25.7</v>
      </c>
    </row>
    <row r="70" spans="3:12" ht="15" hidden="1" x14ac:dyDescent="0.25">
      <c r="C70" s="251">
        <f>MIN(C68:C69)</f>
        <v>0</v>
      </c>
      <c r="E70" s="247" t="s">
        <v>323</v>
      </c>
      <c r="J70" s="293">
        <v>2443</v>
      </c>
      <c r="K70" s="296">
        <f t="shared" si="3"/>
        <v>2524.9899999999998</v>
      </c>
      <c r="L70" s="295">
        <v>26.57</v>
      </c>
    </row>
    <row r="71" spans="3:12" ht="15" hidden="1" x14ac:dyDescent="0.25">
      <c r="J71" s="293">
        <v>2525</v>
      </c>
      <c r="K71" s="296">
        <f t="shared" si="3"/>
        <v>2605.9899999999998</v>
      </c>
      <c r="L71" s="295">
        <v>35.56</v>
      </c>
    </row>
    <row r="72" spans="3:12" ht="15" hidden="1" x14ac:dyDescent="0.25">
      <c r="C72" s="248">
        <f>IF(('DATOS PARA DEPURAR'!D291&lt;=0),('FORMULARIO 2018 RENTA CEDULAR'!C70),0)</f>
        <v>0</v>
      </c>
      <c r="J72" s="293">
        <v>2606</v>
      </c>
      <c r="K72" s="296">
        <f t="shared" si="3"/>
        <v>2687.99</v>
      </c>
      <c r="L72" s="295">
        <v>45.05</v>
      </c>
    </row>
    <row r="73" spans="3:12" ht="15" hidden="1" x14ac:dyDescent="0.25">
      <c r="C73" s="298">
        <f>IF(SUM('DATOS PARA DEPURAR'!D286:D291)&gt;('DATOS PARA DEPURAR'!E286),('FORMULARIO 2018 RENTA CEDULAR'!C70),('DATOS PARA DEPURAR'!D288))</f>
        <v>0</v>
      </c>
      <c r="J73" s="293">
        <v>2688</v>
      </c>
      <c r="K73" s="296">
        <f t="shared" si="3"/>
        <v>2768.99</v>
      </c>
      <c r="L73" s="295">
        <v>46.43</v>
      </c>
    </row>
    <row r="74" spans="3:12" ht="15" hidden="1" x14ac:dyDescent="0.25">
      <c r="C74" s="251">
        <f>IF(C72&gt;C73,(MIN(C72:C73)),C73)</f>
        <v>0</v>
      </c>
      <c r="H74" s="370">
        <f>IF(('DATOS PARA DEPURAR'!E22)=2,('DATOS PARA DEPURAR'!C20/'DATOS PARA DEPURAR'!E20),IF(('DATOS PARA DEPURAR'!E22)=3,('DATOS PARA DEPURAR'!C20/'DATOS PARA DEPURAR'!E20),0))</f>
        <v>0</v>
      </c>
      <c r="J74" s="293">
        <v>2769</v>
      </c>
      <c r="K74" s="296">
        <f t="shared" si="3"/>
        <v>2850.99</v>
      </c>
      <c r="L74" s="295">
        <v>55.58</v>
      </c>
    </row>
    <row r="75" spans="3:12" ht="15" hidden="1" x14ac:dyDescent="0.25">
      <c r="H75" s="370">
        <f>IF(H74&gt;0,H74,0)</f>
        <v>0</v>
      </c>
      <c r="J75" s="293">
        <v>2851</v>
      </c>
      <c r="K75" s="296">
        <f t="shared" si="3"/>
        <v>2931.99</v>
      </c>
      <c r="L75" s="295">
        <v>60.7</v>
      </c>
    </row>
    <row r="76" spans="3:12" ht="15.75" hidden="1" x14ac:dyDescent="0.25">
      <c r="C76" s="300" t="s">
        <v>344</v>
      </c>
      <c r="J76" s="293">
        <v>2932</v>
      </c>
      <c r="K76" s="296">
        <f t="shared" si="3"/>
        <v>3013.99</v>
      </c>
      <c r="L76" s="295">
        <v>66.02</v>
      </c>
    </row>
    <row r="77" spans="3:12" ht="15" hidden="1" x14ac:dyDescent="0.25">
      <c r="C77" s="247" t="s">
        <v>345</v>
      </c>
      <c r="E77" s="184">
        <f>IF(('PATRIMONIO BRUTO'!D28)="S",('PATRIMONIO BRUTO'!E28),0)</f>
        <v>3288899</v>
      </c>
      <c r="H77" s="184">
        <f>IF(($H$75)&gt;0,$H$75*E77,0)</f>
        <v>0</v>
      </c>
      <c r="J77" s="293">
        <v>3014</v>
      </c>
      <c r="K77" s="296">
        <f t="shared" si="3"/>
        <v>3094.99</v>
      </c>
      <c r="L77" s="295">
        <v>71.540000000000006</v>
      </c>
    </row>
    <row r="78" spans="3:12" ht="15" hidden="1" x14ac:dyDescent="0.25">
      <c r="C78" s="247" t="s">
        <v>346</v>
      </c>
      <c r="E78" s="184">
        <f>IF(('PATRIMONIO BRUTO'!D30)="S",('PATRIMONIO BRUTO'!E30),0)</f>
        <v>23444444</v>
      </c>
      <c r="H78" s="184">
        <f>IF(($H$75)&gt;0,$H$75*E78,0)</f>
        <v>0</v>
      </c>
      <c r="J78" s="293">
        <v>3095</v>
      </c>
      <c r="K78" s="296">
        <f t="shared" si="3"/>
        <v>3176.99</v>
      </c>
      <c r="L78" s="295">
        <v>77.239999999999995</v>
      </c>
    </row>
    <row r="79" spans="3:12" ht="15" hidden="1" x14ac:dyDescent="0.25">
      <c r="C79" s="247" t="s">
        <v>292</v>
      </c>
      <c r="E79" s="184">
        <f>IF(('PATRIMONIO BRUTO'!E51)&gt;0,('PATRIMONIO BRUTO'!E51),0)</f>
        <v>0</v>
      </c>
      <c r="H79" s="184">
        <f>IF((E79)&lt;=((8000)*('DATOS PARA DEPURAR'!C24)),E79,(8000*'DATOS PARA DEPURAR'!C24))</f>
        <v>0</v>
      </c>
      <c r="J79" s="293">
        <v>3177</v>
      </c>
      <c r="K79" s="296">
        <f t="shared" si="3"/>
        <v>3257.99</v>
      </c>
      <c r="L79" s="295">
        <v>83.14</v>
      </c>
    </row>
    <row r="80" spans="3:12" ht="15" hidden="1" x14ac:dyDescent="0.25">
      <c r="C80" s="275" t="s">
        <v>294</v>
      </c>
      <c r="E80" s="184">
        <f>IF(('PATRIMONIO BRUTO'!E60)&gt;0,('PATRIMONIO BRUTO'!E60),0)</f>
        <v>0</v>
      </c>
      <c r="H80" s="184">
        <f>IF(SUM(E80:E82)&lt;=(19000*'DATOS PARA DEPURAR'!C24),(SUM(E80:E82)),(19000*'DATOS PARA DEPURAR'!C24))</f>
        <v>0</v>
      </c>
      <c r="J80" s="293">
        <v>3258</v>
      </c>
      <c r="K80" s="296">
        <f t="shared" si="3"/>
        <v>3338.99</v>
      </c>
      <c r="L80" s="295">
        <v>89.23</v>
      </c>
    </row>
    <row r="81" spans="3:12" ht="15" hidden="1" x14ac:dyDescent="0.25">
      <c r="C81" s="275" t="s">
        <v>294</v>
      </c>
      <c r="E81" s="184">
        <f>IF(('PATRIMONIO BRUTO'!E61)&gt;0,('PATRIMONIO BRUTO'!E61),0)</f>
        <v>0</v>
      </c>
      <c r="J81" s="293">
        <v>3339</v>
      </c>
      <c r="K81" s="296">
        <f t="shared" si="3"/>
        <v>3420.99</v>
      </c>
      <c r="L81" s="295">
        <v>95.51</v>
      </c>
    </row>
    <row r="82" spans="3:12" ht="15" hidden="1" x14ac:dyDescent="0.25">
      <c r="C82" s="275" t="s">
        <v>335</v>
      </c>
      <c r="E82" s="184">
        <f>IF(('PATRIMONIO BRUTO'!E86)&gt;0,('PATRIMONIO BRUTO'!E86),0)</f>
        <v>0</v>
      </c>
      <c r="J82" s="293">
        <v>3421</v>
      </c>
      <c r="K82" s="296">
        <f t="shared" si="3"/>
        <v>3501.99</v>
      </c>
      <c r="L82" s="295">
        <v>101.98</v>
      </c>
    </row>
    <row r="83" spans="3:12" ht="15" hidden="1" x14ac:dyDescent="0.25">
      <c r="H83" s="298">
        <f>SUM(H77:H82)</f>
        <v>0</v>
      </c>
      <c r="J83" s="293">
        <v>3502</v>
      </c>
      <c r="K83" s="296">
        <f t="shared" si="3"/>
        <v>3583.99</v>
      </c>
      <c r="L83" s="295">
        <v>108.64</v>
      </c>
    </row>
    <row r="84" spans="3:12" ht="15.75" hidden="1" x14ac:dyDescent="0.25">
      <c r="C84" s="301">
        <f>IF((H84-H83)&gt;0,(H84-H83)*3%,0)</f>
        <v>3000000</v>
      </c>
      <c r="H84" s="248">
        <f>+'DATOS PARA DEPURAR'!E20</f>
        <v>100000000</v>
      </c>
      <c r="J84" s="293">
        <v>3584</v>
      </c>
      <c r="K84" s="296">
        <f t="shared" si="3"/>
        <v>3664.99</v>
      </c>
      <c r="L84" s="295">
        <v>115.49</v>
      </c>
    </row>
    <row r="85" spans="3:12" ht="15" hidden="1" x14ac:dyDescent="0.25">
      <c r="J85" s="293">
        <v>3665</v>
      </c>
      <c r="K85" s="296">
        <f t="shared" si="3"/>
        <v>3746.99</v>
      </c>
      <c r="L85" s="295">
        <v>122.54</v>
      </c>
    </row>
    <row r="86" spans="3:12" ht="15" hidden="1" x14ac:dyDescent="0.25">
      <c r="J86" s="293">
        <v>3747</v>
      </c>
      <c r="K86" s="296">
        <f t="shared" si="3"/>
        <v>3827.99</v>
      </c>
      <c r="L86" s="295">
        <v>129.76</v>
      </c>
    </row>
    <row r="87" spans="3:12" ht="15" hidden="1" x14ac:dyDescent="0.25">
      <c r="C87" s="269" t="s">
        <v>349</v>
      </c>
      <c r="J87" s="293">
        <v>3828</v>
      </c>
      <c r="K87" s="296">
        <f t="shared" si="3"/>
        <v>3909.99</v>
      </c>
      <c r="L87" s="295">
        <v>137.18</v>
      </c>
    </row>
    <row r="88" spans="3:12" ht="15" hidden="1" x14ac:dyDescent="0.25">
      <c r="C88" s="247" t="s">
        <v>344</v>
      </c>
      <c r="E88" s="184">
        <f>+'DATOS PARA DEPURAR'!C23</f>
        <v>0</v>
      </c>
      <c r="H88" s="184">
        <f>IF((E28)&gt;=E88,E88,E28)</f>
        <v>0</v>
      </c>
      <c r="J88" s="293">
        <v>3910</v>
      </c>
      <c r="K88" s="296">
        <f t="shared" si="3"/>
        <v>3990.99</v>
      </c>
      <c r="L88" s="295">
        <v>144.78</v>
      </c>
    </row>
    <row r="89" spans="3:12" ht="16.5" hidden="1" x14ac:dyDescent="0.25">
      <c r="C89" s="302" t="s">
        <v>351</v>
      </c>
      <c r="J89" s="293">
        <v>3991</v>
      </c>
      <c r="K89" s="296">
        <f t="shared" si="3"/>
        <v>4071.99</v>
      </c>
      <c r="L89" s="295">
        <v>152.58000000000001</v>
      </c>
    </row>
    <row r="90" spans="3:12" ht="15" hidden="1" x14ac:dyDescent="0.25">
      <c r="J90" s="293">
        <v>4072</v>
      </c>
      <c r="K90" s="296">
        <f t="shared" si="3"/>
        <v>4275.99</v>
      </c>
      <c r="L90" s="295">
        <v>168.71</v>
      </c>
    </row>
    <row r="91" spans="3:12" ht="15" hidden="1" x14ac:dyDescent="0.25">
      <c r="J91" s="293">
        <v>4276</v>
      </c>
      <c r="K91" s="296">
        <f t="shared" si="3"/>
        <v>4479.99</v>
      </c>
      <c r="L91" s="295">
        <v>189.92</v>
      </c>
    </row>
    <row r="92" spans="3:12" ht="15" hidden="1" x14ac:dyDescent="0.25">
      <c r="J92" s="293">
        <v>4480</v>
      </c>
      <c r="K92" s="296">
        <f t="shared" si="3"/>
        <v>4682.99</v>
      </c>
      <c r="L92" s="295">
        <v>212.27</v>
      </c>
    </row>
    <row r="93" spans="3:12" ht="15" hidden="1" x14ac:dyDescent="0.25">
      <c r="J93" s="293">
        <v>4683</v>
      </c>
      <c r="K93" s="296">
        <f t="shared" si="3"/>
        <v>4886.99</v>
      </c>
      <c r="L93" s="295">
        <v>235.75</v>
      </c>
    </row>
    <row r="94" spans="3:12" ht="15" hidden="1" x14ac:dyDescent="0.25">
      <c r="J94" s="293">
        <v>4887</v>
      </c>
      <c r="K94" s="296">
        <f t="shared" si="3"/>
        <v>5090.99</v>
      </c>
      <c r="L94" s="295">
        <v>260.33999999999997</v>
      </c>
    </row>
    <row r="95" spans="3:12" ht="15" hidden="1" x14ac:dyDescent="0.25">
      <c r="J95" s="293">
        <v>5091</v>
      </c>
      <c r="K95" s="296">
        <f t="shared" si="3"/>
        <v>5293.99</v>
      </c>
      <c r="L95" s="295">
        <v>286.02999999999997</v>
      </c>
    </row>
    <row r="96" spans="3:12" ht="15" hidden="1" x14ac:dyDescent="0.25">
      <c r="J96" s="293">
        <v>5294</v>
      </c>
      <c r="K96" s="296">
        <f t="shared" si="3"/>
        <v>5497.99</v>
      </c>
      <c r="L96" s="295">
        <v>312.81</v>
      </c>
    </row>
    <row r="97" spans="3:12" ht="15" hidden="1" x14ac:dyDescent="0.25">
      <c r="C97" s="2">
        <f>+J40</f>
        <v>0</v>
      </c>
      <c r="D97">
        <f>+E97*-1</f>
        <v>465000</v>
      </c>
      <c r="E97">
        <f>IF('DATOS PARA DEPURAR'!C14&lt;=0,'DATOS PARA DEPURAR'!C14,0)</f>
        <v>-465000</v>
      </c>
      <c r="F97" s="47"/>
      <c r="J97" s="293">
        <v>5498</v>
      </c>
      <c r="K97" s="296">
        <f t="shared" si="3"/>
        <v>5700.99</v>
      </c>
      <c r="L97" s="295">
        <v>340.66</v>
      </c>
    </row>
    <row r="98" spans="3:12" ht="15" hidden="1" x14ac:dyDescent="0.25">
      <c r="C98" s="2">
        <f>IF((J32+J36-J33-J34-J35)&gt;0,J32+J36-J33-J34-J35,0)</f>
        <v>0</v>
      </c>
      <c r="D98" s="362">
        <f>IF('DATOS PARA DEPURAR'!C14&gt;0,'DATOS PARA DEPURAR'!C14,0)</f>
        <v>0</v>
      </c>
      <c r="E98"/>
      <c r="F98" s="47"/>
      <c r="J98" s="293">
        <v>5701</v>
      </c>
      <c r="K98" s="296">
        <f t="shared" si="3"/>
        <v>5904.99</v>
      </c>
      <c r="L98" s="295">
        <v>369.57</v>
      </c>
    </row>
    <row r="99" spans="3:12" ht="15" hidden="1" x14ac:dyDescent="0.25">
      <c r="C99" s="1279" t="s">
        <v>445</v>
      </c>
      <c r="D99" s="1241"/>
      <c r="E99"/>
      <c r="F99" s="47"/>
      <c r="J99" s="293">
        <v>5905</v>
      </c>
      <c r="K99" s="296">
        <f t="shared" si="3"/>
        <v>6108.99</v>
      </c>
      <c r="L99" s="295">
        <v>399.52</v>
      </c>
    </row>
    <row r="100" spans="3:12" ht="15" hidden="1" x14ac:dyDescent="0.25">
      <c r="C100" s="37" t="s">
        <v>446</v>
      </c>
      <c r="D100"/>
      <c r="E100"/>
      <c r="F100" s="47"/>
      <c r="J100" s="293">
        <v>6109</v>
      </c>
      <c r="K100" s="296">
        <f t="shared" si="3"/>
        <v>6311.99</v>
      </c>
      <c r="L100" s="295">
        <v>430.49</v>
      </c>
    </row>
    <row r="101" spans="3:12" ht="15" hidden="1" x14ac:dyDescent="0.25">
      <c r="C101" t="str">
        <f>IF(C97&gt;D97,C99,C100)</f>
        <v>YAOP</v>
      </c>
      <c r="D101"/>
      <c r="E101"/>
      <c r="F101" s="47"/>
      <c r="J101" s="293">
        <v>6312</v>
      </c>
      <c r="K101" s="296">
        <f t="shared" si="3"/>
        <v>6515.99</v>
      </c>
      <c r="L101" s="295">
        <v>462.46</v>
      </c>
    </row>
    <row r="102" spans="3:12" ht="15" hidden="1" x14ac:dyDescent="0.25">
      <c r="C102" t="str">
        <f>IF(C98&gt;D98,C99,C100)</f>
        <v>YAOP</v>
      </c>
      <c r="D102"/>
      <c r="E102" t="str">
        <f>IF(C97&gt;=0,IF(D98&gt;=0,C103,IF(C97&gt;=0,IF(D97&gt;=0,C101,IF(C98&gt;=0,IF(D98&gt;=0,C102,0))))))</f>
        <v>ESTA DECLARACION DEBE REALIZARSE SEGÚN ART 589 E.T.</v>
      </c>
      <c r="F102" s="47"/>
      <c r="J102" s="293">
        <v>6516</v>
      </c>
      <c r="K102" s="296">
        <f t="shared" si="3"/>
        <v>6719.99</v>
      </c>
      <c r="L102" s="295">
        <v>495.43</v>
      </c>
    </row>
    <row r="103" spans="3:12" ht="15" hidden="1" x14ac:dyDescent="0.25">
      <c r="C103" t="str">
        <f>IF(C97&gt;=0,IF(D98&gt;=0,C99,C100))</f>
        <v>ESTA DECLARACION DEBE REALIZARSE SEGÚN ART 589 E.T.</v>
      </c>
      <c r="D103"/>
      <c r="E103"/>
      <c r="F103" s="47"/>
      <c r="J103" s="293">
        <v>6720</v>
      </c>
      <c r="K103" s="296">
        <f t="shared" si="3"/>
        <v>6922.99</v>
      </c>
      <c r="L103" s="295">
        <v>529.36</v>
      </c>
    </row>
    <row r="104" spans="3:12" ht="15" hidden="1" x14ac:dyDescent="0.25">
      <c r="J104" s="293">
        <v>6923</v>
      </c>
      <c r="K104" s="296">
        <f t="shared" si="3"/>
        <v>7126.99</v>
      </c>
      <c r="L104" s="295">
        <v>564.23</v>
      </c>
    </row>
    <row r="105" spans="3:12" ht="15" hidden="1" x14ac:dyDescent="0.25">
      <c r="J105" s="293">
        <v>7127</v>
      </c>
      <c r="K105" s="296">
        <f t="shared" si="3"/>
        <v>7329.99</v>
      </c>
      <c r="L105" s="295">
        <v>600.04</v>
      </c>
    </row>
    <row r="106" spans="3:12" ht="15" hidden="1" x14ac:dyDescent="0.25">
      <c r="C106" s="184" t="str">
        <f>IF('DATOS PARA DEPURAR'!C13="S",E102,C100)</f>
        <v>YAOP</v>
      </c>
      <c r="J106" s="293">
        <v>7330</v>
      </c>
      <c r="K106" s="296">
        <f t="shared" si="3"/>
        <v>7533.99</v>
      </c>
      <c r="L106" s="295">
        <v>636.75</v>
      </c>
    </row>
    <row r="107" spans="3:12" ht="15" hidden="1" x14ac:dyDescent="0.25">
      <c r="J107" s="293">
        <v>7534</v>
      </c>
      <c r="K107" s="296">
        <f t="shared" si="3"/>
        <v>7737.99</v>
      </c>
      <c r="L107" s="295">
        <v>674.35</v>
      </c>
    </row>
    <row r="108" spans="3:12" ht="15" hidden="1" x14ac:dyDescent="0.25">
      <c r="J108" s="293">
        <v>7738</v>
      </c>
      <c r="K108" s="296">
        <f t="shared" si="3"/>
        <v>7940.99</v>
      </c>
      <c r="L108" s="295">
        <v>712.8</v>
      </c>
    </row>
    <row r="109" spans="3:12" ht="15" hidden="1" x14ac:dyDescent="0.25">
      <c r="C109" s="247" t="s">
        <v>458</v>
      </c>
      <c r="J109" s="293">
        <v>7941</v>
      </c>
      <c r="K109" s="296">
        <f t="shared" si="3"/>
        <v>8144.99</v>
      </c>
      <c r="L109" s="295">
        <v>752.1</v>
      </c>
    </row>
    <row r="110" spans="3:12" ht="15" hidden="1" x14ac:dyDescent="0.25">
      <c r="J110" s="293">
        <v>8145</v>
      </c>
      <c r="K110" s="296">
        <f t="shared" si="3"/>
        <v>8348.99</v>
      </c>
      <c r="L110" s="295">
        <v>792.22</v>
      </c>
    </row>
    <row r="111" spans="3:12" ht="15" hidden="1" x14ac:dyDescent="0.25">
      <c r="C111" s="256" t="s">
        <v>8</v>
      </c>
      <c r="D111" s="257"/>
      <c r="H111" s="258" t="s">
        <v>10</v>
      </c>
      <c r="J111" s="293">
        <v>8349</v>
      </c>
      <c r="K111" s="296">
        <f t="shared" si="3"/>
        <v>8551.99</v>
      </c>
      <c r="L111" s="295">
        <v>833.12</v>
      </c>
    </row>
    <row r="112" spans="3:12" ht="15.75" hidden="1" thickBot="1" x14ac:dyDescent="0.3">
      <c r="C112" s="1266">
        <f>+E32/H112</f>
        <v>217.76855606903706</v>
      </c>
      <c r="D112" s="1267"/>
      <c r="H112" s="259">
        <f>+'DATOS PARA DEPURAR'!C24</f>
        <v>42412</v>
      </c>
      <c r="J112" s="293">
        <v>8552</v>
      </c>
      <c r="K112" s="296">
        <f t="shared" si="3"/>
        <v>8755.99</v>
      </c>
      <c r="L112" s="295">
        <v>874.79</v>
      </c>
    </row>
    <row r="113" spans="3:12" ht="15" hidden="1" x14ac:dyDescent="0.25">
      <c r="D113" s="184"/>
      <c r="J113" s="293">
        <v>8756</v>
      </c>
      <c r="K113" s="296">
        <f t="shared" si="3"/>
        <v>8958.99</v>
      </c>
      <c r="L113" s="295">
        <v>917.21</v>
      </c>
    </row>
    <row r="114" spans="3:12" ht="15" hidden="1" x14ac:dyDescent="0.25">
      <c r="C114" s="262">
        <v>0</v>
      </c>
      <c r="E114" s="263">
        <v>1090</v>
      </c>
      <c r="H114" s="264">
        <f>IF(C112&lt;=1090,0)</f>
        <v>0</v>
      </c>
      <c r="J114" s="293">
        <v>8959</v>
      </c>
      <c r="K114" s="296">
        <f t="shared" si="3"/>
        <v>9162.99</v>
      </c>
      <c r="L114" s="295">
        <v>960.34</v>
      </c>
    </row>
    <row r="115" spans="3:12" ht="15" hidden="1" x14ac:dyDescent="0.25">
      <c r="C115" s="265" t="s">
        <v>169</v>
      </c>
      <c r="E115" s="266">
        <v>1700</v>
      </c>
      <c r="H115" s="267" t="b">
        <f>IF(C112&gt;1090,(IF(C112&lt;=1700,ROUND((((+C112-1090)*19%)*H112),-3),0)),FALSE)</f>
        <v>0</v>
      </c>
      <c r="J115" s="293">
        <v>9163</v>
      </c>
      <c r="K115" s="296">
        <f t="shared" si="3"/>
        <v>9366.99</v>
      </c>
      <c r="L115" s="303">
        <v>1004.16</v>
      </c>
    </row>
    <row r="116" spans="3:12" ht="15" hidden="1" x14ac:dyDescent="0.25">
      <c r="C116" s="265" t="s">
        <v>170</v>
      </c>
      <c r="E116" s="266">
        <v>4100</v>
      </c>
      <c r="H116" s="267" t="b">
        <f>IF(C112&gt;1700,IF(C112&lt;=4100,ROUND((((+C112-1700)*28%+116)*H112),-3),0))</f>
        <v>0</v>
      </c>
      <c r="J116" s="293">
        <v>9367</v>
      </c>
      <c r="K116" s="296">
        <f t="shared" si="3"/>
        <v>9569.99</v>
      </c>
      <c r="L116" s="303">
        <v>1048.6400000000001</v>
      </c>
    </row>
    <row r="117" spans="3:12" ht="15.75" hidden="1" thickBot="1" x14ac:dyDescent="0.3">
      <c r="C117" s="270" t="s">
        <v>171</v>
      </c>
      <c r="E117" s="271"/>
      <c r="H117" s="272">
        <f>IF(C112&gt;4100,ROUND((((+C112-4100)*33%)*H112)+(788*H112),-3),0)</f>
        <v>0</v>
      </c>
      <c r="J117" s="293">
        <v>9570</v>
      </c>
      <c r="K117" s="296">
        <f t="shared" si="3"/>
        <v>9773.99</v>
      </c>
      <c r="L117" s="303">
        <v>1093.75</v>
      </c>
    </row>
    <row r="118" spans="3:12" ht="15" hidden="1" x14ac:dyDescent="0.25">
      <c r="D118" s="184"/>
      <c r="J118" s="293">
        <v>9774</v>
      </c>
      <c r="K118" s="296">
        <f t="shared" ref="K118:K135" si="4">+J119-0.01</f>
        <v>9977.99</v>
      </c>
      <c r="L118" s="303">
        <v>1139.48</v>
      </c>
    </row>
    <row r="119" spans="3:12" ht="15" hidden="1" x14ac:dyDescent="0.25">
      <c r="C119" s="1268" t="s">
        <v>172</v>
      </c>
      <c r="D119" s="1269"/>
      <c r="J119" s="293">
        <v>9978</v>
      </c>
      <c r="K119" s="296">
        <f t="shared" si="4"/>
        <v>10180.99</v>
      </c>
      <c r="L119" s="303">
        <v>1185.78</v>
      </c>
    </row>
    <row r="120" spans="3:12" ht="15.75" hidden="1" thickBot="1" x14ac:dyDescent="0.3">
      <c r="C120" s="1270">
        <f>IF(H114=0,H114,IF(H115&gt;0,H115,IF(H116&gt;0,H116,IF(H117&gt;0,H117))))</f>
        <v>0</v>
      </c>
      <c r="D120" s="1271"/>
      <c r="J120" s="293">
        <v>10181</v>
      </c>
      <c r="K120" s="296">
        <f t="shared" si="4"/>
        <v>10384.99</v>
      </c>
      <c r="L120" s="303">
        <v>1232.6199999999999</v>
      </c>
    </row>
    <row r="121" spans="3:12" ht="15" hidden="1" x14ac:dyDescent="0.25">
      <c r="J121" s="293">
        <v>10385</v>
      </c>
      <c r="K121" s="296">
        <f t="shared" si="4"/>
        <v>10587.99</v>
      </c>
      <c r="L121" s="303">
        <v>1279.99</v>
      </c>
    </row>
    <row r="122" spans="3:12" ht="15" hidden="1" x14ac:dyDescent="0.25">
      <c r="J122" s="293">
        <v>10588</v>
      </c>
      <c r="K122" s="296">
        <f t="shared" si="4"/>
        <v>10791.99</v>
      </c>
      <c r="L122" s="303">
        <v>1327.85</v>
      </c>
    </row>
    <row r="123" spans="3:12" ht="15" hidden="1" x14ac:dyDescent="0.25">
      <c r="C123" s="247" t="s">
        <v>459</v>
      </c>
      <c r="J123" s="293">
        <v>10792</v>
      </c>
      <c r="K123" s="296">
        <f t="shared" si="4"/>
        <v>10995.99</v>
      </c>
      <c r="L123" s="303">
        <v>1376.16</v>
      </c>
    </row>
    <row r="124" spans="3:12" ht="15" hidden="1" x14ac:dyDescent="0.25">
      <c r="C124" s="298">
        <f>MAX(I22:J23)</f>
        <v>85</v>
      </c>
      <c r="J124" s="293">
        <v>10996</v>
      </c>
      <c r="K124" s="296">
        <f t="shared" si="4"/>
        <v>11198.99</v>
      </c>
      <c r="L124" s="303">
        <v>1424.9</v>
      </c>
    </row>
    <row r="125" spans="3:12" ht="15" hidden="1" x14ac:dyDescent="0.25">
      <c r="C125" s="247" t="s">
        <v>460</v>
      </c>
      <c r="J125" s="293">
        <v>11199</v>
      </c>
      <c r="K125" s="296">
        <f t="shared" si="4"/>
        <v>11402.99</v>
      </c>
      <c r="L125" s="303">
        <v>1474.04</v>
      </c>
    </row>
    <row r="126" spans="3:12" ht="15" hidden="1" x14ac:dyDescent="0.25">
      <c r="C126" s="299">
        <f>+C120</f>
        <v>0</v>
      </c>
      <c r="J126" s="293">
        <v>11403</v>
      </c>
      <c r="K126" s="296">
        <f t="shared" si="4"/>
        <v>11606.99</v>
      </c>
      <c r="L126" s="303">
        <v>1523.54</v>
      </c>
    </row>
    <row r="127" spans="3:12" ht="15" hidden="1" x14ac:dyDescent="0.25">
      <c r="J127" s="293">
        <v>11607</v>
      </c>
      <c r="K127" s="296">
        <f t="shared" si="4"/>
        <v>11809.99</v>
      </c>
      <c r="L127" s="303">
        <v>1573.37</v>
      </c>
    </row>
    <row r="128" spans="3:12" ht="22.5" hidden="1" x14ac:dyDescent="0.25">
      <c r="C128" s="260" t="s">
        <v>160</v>
      </c>
      <c r="E128" s="251">
        <f>+'DATOS PARA DEPURAR'!E343</f>
        <v>0</v>
      </c>
      <c r="H128" s="184">
        <f>IF(E128&gt;0,(IF((C124-SUM(E128))&gt;0,E128,C124)),0)</f>
        <v>0</v>
      </c>
      <c r="J128" s="293">
        <v>11810</v>
      </c>
      <c r="K128" s="296">
        <f t="shared" si="4"/>
        <v>12013.99</v>
      </c>
      <c r="L128" s="303">
        <v>1623.49</v>
      </c>
    </row>
    <row r="129" spans="3:12" ht="22.5" hidden="1" x14ac:dyDescent="0.25">
      <c r="C129" s="260" t="s">
        <v>161</v>
      </c>
      <c r="E129" s="251">
        <f>+'DATOS PARA DEPURAR'!E344</f>
        <v>0</v>
      </c>
      <c r="H129" s="184">
        <f>IF(E129&gt;0,(IF((C124-SUM(E129))&gt;0,E129,C124)),0)</f>
        <v>0</v>
      </c>
      <c r="J129" s="293">
        <v>12014</v>
      </c>
      <c r="K129" s="296">
        <f t="shared" si="4"/>
        <v>12216.99</v>
      </c>
      <c r="L129" s="303">
        <v>1673.89</v>
      </c>
    </row>
    <row r="130" spans="3:12" ht="22.5" hidden="1" x14ac:dyDescent="0.25">
      <c r="C130" s="260" t="s">
        <v>162</v>
      </c>
      <c r="E130" s="251">
        <f>+'DATOS PARA DEPURAR'!E345</f>
        <v>0</v>
      </c>
      <c r="H130" s="184">
        <f>IF(E130&gt;0,(IF((C124-SUM(E130))&gt;0,E130,C124)),0)</f>
        <v>0</v>
      </c>
      <c r="J130" s="293">
        <v>12217</v>
      </c>
      <c r="K130" s="296">
        <f t="shared" si="4"/>
        <v>12420.99</v>
      </c>
      <c r="L130" s="303">
        <v>1724.51</v>
      </c>
    </row>
    <row r="131" spans="3:12" ht="15" hidden="1" x14ac:dyDescent="0.25">
      <c r="C131" s="253" t="s">
        <v>163</v>
      </c>
      <c r="E131" s="251">
        <f>+'DATOS PARA DEPURAR'!E349</f>
        <v>0</v>
      </c>
      <c r="H131" s="184">
        <f>IF(E131&gt;0,(IF((C124-SUM(E131))&gt;0,E131,C124)),0)</f>
        <v>0</v>
      </c>
      <c r="J131" s="293">
        <v>12421</v>
      </c>
      <c r="K131" s="296">
        <f t="shared" si="4"/>
        <v>12624.99</v>
      </c>
      <c r="L131" s="303">
        <v>1775.33</v>
      </c>
    </row>
    <row r="132" spans="3:12" ht="15" hidden="1" x14ac:dyDescent="0.25">
      <c r="C132" s="247" t="s">
        <v>461</v>
      </c>
      <c r="E132" s="298">
        <f>IF(H132&gt;0,C124-H132,0)</f>
        <v>0</v>
      </c>
      <c r="H132" s="251">
        <f>MAX(H128:H131)</f>
        <v>0</v>
      </c>
      <c r="J132" s="293">
        <v>12625</v>
      </c>
      <c r="K132" s="296">
        <f t="shared" si="4"/>
        <v>12827.99</v>
      </c>
      <c r="L132" s="303">
        <v>1826.31</v>
      </c>
    </row>
    <row r="133" spans="3:12" ht="15" hidden="1" x14ac:dyDescent="0.25">
      <c r="C133" s="247" t="s">
        <v>462</v>
      </c>
      <c r="E133" s="248">
        <f>IF(C126&gt;0,C126*0.75,0)</f>
        <v>0</v>
      </c>
      <c r="J133" s="293">
        <v>12828</v>
      </c>
      <c r="K133" s="296">
        <f t="shared" si="4"/>
        <v>13031.99</v>
      </c>
      <c r="L133" s="303">
        <v>1877.42</v>
      </c>
    </row>
    <row r="134" spans="3:12" ht="15" hidden="1" x14ac:dyDescent="0.25">
      <c r="J134" s="293">
        <v>13032</v>
      </c>
      <c r="K134" s="296">
        <f t="shared" si="4"/>
        <v>13235.99</v>
      </c>
      <c r="L134" s="303">
        <v>1928.63</v>
      </c>
    </row>
    <row r="135" spans="3:12" ht="15" hidden="1" x14ac:dyDescent="0.25">
      <c r="C135" s="247" t="s">
        <v>463</v>
      </c>
      <c r="E135" s="298">
        <f>IF(E132&lt;E133,0,E132)</f>
        <v>0</v>
      </c>
      <c r="J135" s="293">
        <v>13236</v>
      </c>
      <c r="K135" s="296">
        <f t="shared" si="4"/>
        <v>13438.99</v>
      </c>
      <c r="L135" s="303">
        <v>1979.89</v>
      </c>
    </row>
    <row r="136" spans="3:12" ht="15" hidden="1" x14ac:dyDescent="0.25">
      <c r="J136" s="293">
        <v>13439</v>
      </c>
      <c r="K136" s="296">
        <f>13643-0.01</f>
        <v>13642.99</v>
      </c>
      <c r="L136" s="303">
        <v>2031.18</v>
      </c>
    </row>
    <row r="137" spans="3:12" ht="165.75" hidden="1" x14ac:dyDescent="0.25">
      <c r="C137" s="260" t="s">
        <v>160</v>
      </c>
      <c r="E137" s="184">
        <f>IF(E135&gt;0,H128,0)</f>
        <v>0</v>
      </c>
      <c r="J137" s="295" t="s">
        <v>80</v>
      </c>
      <c r="K137" s="294"/>
      <c r="L137" s="295" t="s">
        <v>81</v>
      </c>
    </row>
    <row r="138" spans="3:12" ht="22.5" hidden="1" x14ac:dyDescent="0.2">
      <c r="C138" s="260" t="s">
        <v>161</v>
      </c>
      <c r="E138" s="184">
        <f>IF(E135&gt;0,H129,0)</f>
        <v>0</v>
      </c>
    </row>
    <row r="139" spans="3:12" ht="22.5" hidden="1" x14ac:dyDescent="0.2">
      <c r="C139" s="260" t="s">
        <v>162</v>
      </c>
      <c r="E139" s="184">
        <f>IF(E135&gt;0,H130,0)</f>
        <v>0</v>
      </c>
    </row>
    <row r="140" spans="3:12" hidden="1" x14ac:dyDescent="0.2">
      <c r="C140" s="253" t="s">
        <v>163</v>
      </c>
      <c r="E140" s="184">
        <f>IF(E135&gt;0,H131,0)</f>
        <v>0</v>
      </c>
    </row>
    <row r="141" spans="3:12" hidden="1" x14ac:dyDescent="0.2"/>
    <row r="142" spans="3:12" hidden="1" x14ac:dyDescent="0.2">
      <c r="C142" s="247" t="s">
        <v>464</v>
      </c>
    </row>
    <row r="143" spans="3:12" hidden="1" x14ac:dyDescent="0.2">
      <c r="C143" s="247" t="s">
        <v>398</v>
      </c>
      <c r="E143" s="184">
        <f>IF('DATOS PARA DEPURAR'!E106="S",'DATOS PARA DEPURAR'!E57,0)</f>
        <v>0</v>
      </c>
    </row>
    <row r="144" spans="3:12" hidden="1" x14ac:dyDescent="0.2">
      <c r="C144" s="247" t="s">
        <v>465</v>
      </c>
    </row>
    <row r="145" spans="3:12" hidden="1" x14ac:dyDescent="0.2">
      <c r="C145" s="247" t="s">
        <v>196</v>
      </c>
      <c r="E145" s="184">
        <f>IF(E143&gt;0,'DATOS PARA DEPURAR'!E207+SUM('DATOS PARA DEPURAR'!E226:E242)+'DATOS PARA DEPURAR'!E249+'DATOS PARA DEPURAR'!E258,0)</f>
        <v>0</v>
      </c>
    </row>
    <row r="146" spans="3:12" hidden="1" x14ac:dyDescent="0.2">
      <c r="C146" s="247" t="s">
        <v>466</v>
      </c>
      <c r="E146" s="247">
        <f>IF(E143&gt;0,'DATOS PARA DEPURAR'!E286-'DATOS PARA DEPURAR'!D286,0)</f>
        <v>0</v>
      </c>
    </row>
    <row r="147" spans="3:12" hidden="1" x14ac:dyDescent="0.2">
      <c r="C147" s="247" t="s">
        <v>467</v>
      </c>
      <c r="E147" s="184">
        <f>+E143-E145-E146</f>
        <v>0</v>
      </c>
    </row>
    <row r="148" spans="3:12" hidden="1" x14ac:dyDescent="0.2">
      <c r="C148" s="247" t="s">
        <v>466</v>
      </c>
      <c r="E148" s="184">
        <f>+E147*0.25</f>
        <v>0</v>
      </c>
    </row>
    <row r="149" spans="3:12" hidden="1" x14ac:dyDescent="0.2"/>
    <row r="150" spans="3:12" hidden="1" x14ac:dyDescent="0.2">
      <c r="H150" s="470" t="s">
        <v>468</v>
      </c>
      <c r="I150" s="470"/>
      <c r="J150" s="470"/>
      <c r="K150" s="470"/>
      <c r="L150" s="470"/>
    </row>
    <row r="151" spans="3:12" hidden="1" x14ac:dyDescent="0.2">
      <c r="H151" s="470"/>
      <c r="I151" s="470"/>
      <c r="J151" s="470"/>
      <c r="K151" s="470"/>
      <c r="L151" s="470"/>
    </row>
    <row r="152" spans="3:12" hidden="1" x14ac:dyDescent="0.2">
      <c r="H152" s="470"/>
      <c r="I152" s="470"/>
      <c r="J152" s="470"/>
      <c r="K152" s="470"/>
      <c r="L152" s="470"/>
    </row>
    <row r="153" spans="3:12" hidden="1" x14ac:dyDescent="0.2">
      <c r="H153" s="471" t="s">
        <v>8</v>
      </c>
      <c r="I153" s="472"/>
      <c r="J153" s="470"/>
      <c r="K153" s="473" t="s">
        <v>10</v>
      </c>
      <c r="L153" s="470"/>
    </row>
    <row r="154" spans="3:12" ht="13.5" hidden="1" thickBot="1" x14ac:dyDescent="0.25">
      <c r="H154" s="1308">
        <f>+'FORMULARIO 2018 RENTA CEDULAR'!E32/K154</f>
        <v>217.76855606903706</v>
      </c>
      <c r="I154" s="1309"/>
      <c r="J154" s="470"/>
      <c r="K154" s="474">
        <f>+'DATOS PARA DEPURAR'!C24</f>
        <v>42412</v>
      </c>
      <c r="L154" s="470"/>
    </row>
    <row r="155" spans="3:12" hidden="1" x14ac:dyDescent="0.2">
      <c r="H155" s="470"/>
      <c r="I155" s="470"/>
      <c r="J155" s="470"/>
      <c r="K155" s="470"/>
      <c r="L155" s="470"/>
    </row>
    <row r="156" spans="3:12" hidden="1" x14ac:dyDescent="0.2">
      <c r="H156" s="475">
        <v>0</v>
      </c>
      <c r="I156" s="476">
        <v>1090</v>
      </c>
      <c r="J156" s="470"/>
      <c r="K156" s="477">
        <f>IF(H154&lt;=1090,0)</f>
        <v>0</v>
      </c>
      <c r="L156" s="470"/>
    </row>
    <row r="157" spans="3:12" ht="15" hidden="1" x14ac:dyDescent="0.25">
      <c r="H157" s="478" t="s">
        <v>169</v>
      </c>
      <c r="I157" s="479">
        <v>1700</v>
      </c>
      <c r="J157" s="470"/>
      <c r="K157" s="480" t="b">
        <f>IF(H154&gt;1090,(IF(H154&lt;=1700,ROUND((((+H154-1090)*19%)*K154),-3),0)),FALSE)</f>
        <v>0</v>
      </c>
      <c r="L157" s="470"/>
    </row>
    <row r="158" spans="3:12" ht="15" hidden="1" x14ac:dyDescent="0.25">
      <c r="H158" s="478" t="s">
        <v>170</v>
      </c>
      <c r="I158" s="479">
        <v>4100</v>
      </c>
      <c r="J158" s="470"/>
      <c r="K158" s="480" t="b">
        <f>IF(H154&gt;1700,IF(H154&lt;=4100,ROUND((((+H154-1700)*28%+116)*K154),-3),0))</f>
        <v>0</v>
      </c>
      <c r="L158" s="470"/>
    </row>
    <row r="159" spans="3:12" ht="15.75" hidden="1" thickBot="1" x14ac:dyDescent="0.3">
      <c r="H159" s="481" t="s">
        <v>171</v>
      </c>
      <c r="I159" s="482"/>
      <c r="J159" s="470"/>
      <c r="K159" s="483">
        <f>IF(H154&gt;4100,ROUND((((+H154-4100)*33%)*K154)+(788*K154),-3),0)</f>
        <v>0</v>
      </c>
      <c r="L159" s="470"/>
    </row>
    <row r="160" spans="3:12" hidden="1" x14ac:dyDescent="0.2">
      <c r="H160" s="484"/>
      <c r="I160" s="470"/>
      <c r="J160" s="470"/>
      <c r="K160" s="485"/>
      <c r="L160" s="470"/>
    </row>
    <row r="161" spans="8:12" hidden="1" x14ac:dyDescent="0.2">
      <c r="H161" s="484"/>
      <c r="I161" s="470"/>
      <c r="J161" s="470"/>
      <c r="K161" s="485"/>
      <c r="L161" s="470"/>
    </row>
    <row r="162" spans="8:12" hidden="1" x14ac:dyDescent="0.2">
      <c r="H162" s="470"/>
      <c r="I162" s="470"/>
      <c r="J162" s="470"/>
      <c r="K162" s="1310" t="s">
        <v>172</v>
      </c>
      <c r="L162" s="1311"/>
    </row>
    <row r="163" spans="8:12" ht="13.5" hidden="1" thickBot="1" x14ac:dyDescent="0.25">
      <c r="H163" s="470"/>
      <c r="I163" s="470"/>
      <c r="J163" s="470"/>
      <c r="K163" s="1312">
        <f>IF(K156=0,K156,IF(K157&gt;0,K157,IF(K158&gt;0,K158,IF(K159&gt;0,K159))))</f>
        <v>0</v>
      </c>
      <c r="L163" s="1313"/>
    </row>
    <row r="164" spans="8:12" hidden="1" x14ac:dyDescent="0.2">
      <c r="H164" s="470"/>
      <c r="I164" s="470"/>
      <c r="J164" s="470"/>
      <c r="K164" s="470"/>
      <c r="L164" s="470"/>
    </row>
    <row r="165" spans="8:12" hidden="1" x14ac:dyDescent="0.2">
      <c r="H165" s="470" t="s">
        <v>399</v>
      </c>
      <c r="J165" s="470">
        <f>IF('DATOS PARA DEPURAR'!E350&lt;'FORMULARIO 2018 RENTA CEDULAR'!J22,'DATOS PARA DEPURAR'!E350,'FORMULARIO 2018 RENTA CEDULAR'!J22)</f>
        <v>0</v>
      </c>
      <c r="K165" s="470"/>
      <c r="L165" s="470"/>
    </row>
    <row r="166" spans="8:12" hidden="1" x14ac:dyDescent="0.2">
      <c r="H166" s="470" t="s">
        <v>400</v>
      </c>
      <c r="J166" s="470">
        <f>IF(K163&gt;0,K163*0.75,0)</f>
        <v>0</v>
      </c>
      <c r="K166" s="470"/>
      <c r="L166" s="470"/>
    </row>
    <row r="167" spans="8:12" hidden="1" x14ac:dyDescent="0.2">
      <c r="H167" s="470" t="s">
        <v>401</v>
      </c>
      <c r="J167" s="470">
        <f>IF(J165&lt;J166,J165,0)</f>
        <v>0</v>
      </c>
      <c r="K167" s="470"/>
      <c r="L167" s="470"/>
    </row>
  </sheetData>
  <mergeCells count="86">
    <mergeCell ref="O36:P36"/>
    <mergeCell ref="F18:F42"/>
    <mergeCell ref="K162:L162"/>
    <mergeCell ref="K163:L163"/>
    <mergeCell ref="A7:A12"/>
    <mergeCell ref="B15:C15"/>
    <mergeCell ref="B16:C16"/>
    <mergeCell ref="B17:C17"/>
    <mergeCell ref="A13:A17"/>
    <mergeCell ref="A43:J43"/>
    <mergeCell ref="C99:D99"/>
    <mergeCell ref="C112:D112"/>
    <mergeCell ref="B32:C32"/>
    <mergeCell ref="C119:D119"/>
    <mergeCell ref="C120:D120"/>
    <mergeCell ref="H154:I154"/>
    <mergeCell ref="B39:C39"/>
    <mergeCell ref="B40:C40"/>
    <mergeCell ref="B36:C36"/>
    <mergeCell ref="G36:H36"/>
    <mergeCell ref="B37:C37"/>
    <mergeCell ref="B38:C38"/>
    <mergeCell ref="L31:M31"/>
    <mergeCell ref="B14:C14"/>
    <mergeCell ref="G14:H14"/>
    <mergeCell ref="G15:H15"/>
    <mergeCell ref="B18:C18"/>
    <mergeCell ref="B19:C19"/>
    <mergeCell ref="L23:M23"/>
    <mergeCell ref="B24:C24"/>
    <mergeCell ref="B25:C25"/>
    <mergeCell ref="B26:C26"/>
    <mergeCell ref="B27:C27"/>
    <mergeCell ref="G26:H26"/>
    <mergeCell ref="B28:C28"/>
    <mergeCell ref="B29:C29"/>
    <mergeCell ref="G31:H31"/>
    <mergeCell ref="B30:C30"/>
    <mergeCell ref="B12:C12"/>
    <mergeCell ref="G12:H12"/>
    <mergeCell ref="B13:C13"/>
    <mergeCell ref="G13:H13"/>
    <mergeCell ref="L30:M30"/>
    <mergeCell ref="B7:C7"/>
    <mergeCell ref="F4:F11"/>
    <mergeCell ref="G7:H7"/>
    <mergeCell ref="G33:H33"/>
    <mergeCell ref="B8:C8"/>
    <mergeCell ref="G8:H8"/>
    <mergeCell ref="G16:H16"/>
    <mergeCell ref="G17:H17"/>
    <mergeCell ref="B9:C9"/>
    <mergeCell ref="G9:H9"/>
    <mergeCell ref="F14:F17"/>
    <mergeCell ref="F12:F13"/>
    <mergeCell ref="B10:C10"/>
    <mergeCell ref="G10:H10"/>
    <mergeCell ref="B11:C11"/>
    <mergeCell ref="G11:H11"/>
    <mergeCell ref="A1:F1"/>
    <mergeCell ref="G1:J2"/>
    <mergeCell ref="A2:F2"/>
    <mergeCell ref="A3:J3"/>
    <mergeCell ref="A4:A6"/>
    <mergeCell ref="B4:C4"/>
    <mergeCell ref="G4:H4"/>
    <mergeCell ref="B5:C5"/>
    <mergeCell ref="G5:H5"/>
    <mergeCell ref="B6:C6"/>
    <mergeCell ref="G6:H6"/>
    <mergeCell ref="A18:A29"/>
    <mergeCell ref="B33:C33"/>
    <mergeCell ref="B34:C34"/>
    <mergeCell ref="B35:C35"/>
    <mergeCell ref="G18:G23"/>
    <mergeCell ref="G27:G30"/>
    <mergeCell ref="G24:H24"/>
    <mergeCell ref="G25:H25"/>
    <mergeCell ref="B20:C20"/>
    <mergeCell ref="B22:C22"/>
    <mergeCell ref="B23:C23"/>
    <mergeCell ref="A30:A42"/>
    <mergeCell ref="B31:C31"/>
    <mergeCell ref="B41:C41"/>
    <mergeCell ref="B42:C42"/>
    <mergeCell ref="G32:H32"/>
  </mergeCells>
  <pageMargins left="3.937007874015748E-2" right="3.937007874015748E-2" top="0.55118110236220474" bottom="0.55118110236220474" header="0.31496062992125984" footer="0.31496062992125984"/>
  <pageSetup scale="85" orientation="portrait" verticalDpi="4294967293"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
    <tabColor rgb="FFFF0000"/>
  </sheetPr>
  <dimension ref="A1:AB372"/>
  <sheetViews>
    <sheetView showGridLines="0" view="pageBreakPreview" topLeftCell="A336" zoomScaleNormal="100" zoomScaleSheetLayoutView="100" workbookViewId="0">
      <selection activeCell="AD346" sqref="AD346"/>
    </sheetView>
  </sheetViews>
  <sheetFormatPr baseColWidth="10" defaultRowHeight="12.75" x14ac:dyDescent="0.2"/>
  <cols>
    <col min="1" max="1" width="1" style="138" customWidth="1"/>
    <col min="2" max="2" width="29.5703125" style="138" customWidth="1"/>
    <col min="3" max="3" width="26.7109375" style="138" customWidth="1"/>
    <col min="4" max="4" width="30.28515625" style="138" customWidth="1"/>
    <col min="5" max="5" width="28.140625" style="138" customWidth="1"/>
    <col min="6" max="6" width="5.140625" style="138" hidden="1" customWidth="1"/>
    <col min="7" max="7" width="4.28515625" style="138" hidden="1" customWidth="1"/>
    <col min="8" max="8" width="22.85546875" style="138" hidden="1" customWidth="1"/>
    <col min="9" max="9" width="0.28515625" style="138" hidden="1" customWidth="1"/>
    <col min="10" max="10" width="0.28515625" style="138" customWidth="1"/>
    <col min="11" max="23" width="22.85546875" style="138" hidden="1" customWidth="1"/>
    <col min="24" max="24" width="5.85546875" style="138" hidden="1" customWidth="1"/>
    <col min="25" max="25" width="7.7109375" style="138" hidden="1" customWidth="1"/>
    <col min="26" max="26" width="5.140625" style="138" hidden="1" customWidth="1"/>
    <col min="27" max="27" width="6.140625" style="138" hidden="1" customWidth="1"/>
    <col min="28" max="28" width="5.85546875" style="138" customWidth="1"/>
    <col min="29" max="29" width="8.28515625" style="138" customWidth="1"/>
    <col min="30" max="16384" width="11.42578125" style="138"/>
  </cols>
  <sheetData>
    <row r="1" spans="1:11" ht="29.25" customHeight="1" thickTop="1" x14ac:dyDescent="0.25">
      <c r="A1" s="319"/>
      <c r="B1" s="2155" t="s">
        <v>73</v>
      </c>
      <c r="C1" s="2155"/>
      <c r="D1" s="2155"/>
      <c r="E1" s="2155"/>
      <c r="F1" s="659"/>
    </row>
    <row r="2" spans="1:11" ht="29.25" customHeight="1" x14ac:dyDescent="0.25">
      <c r="A2" s="186"/>
      <c r="B2" s="1990" t="s">
        <v>700</v>
      </c>
      <c r="C2" s="1990"/>
      <c r="D2" s="1990"/>
      <c r="E2" s="1990"/>
      <c r="F2" s="660"/>
      <c r="I2" s="138">
        <f>DAYS360(E9,C10,3)</f>
        <v>0</v>
      </c>
    </row>
    <row r="3" spans="1:11" ht="29.25" customHeight="1" thickBot="1" x14ac:dyDescent="0.3">
      <c r="A3" s="186"/>
      <c r="B3" s="1990" t="s">
        <v>701</v>
      </c>
      <c r="C3" s="1990"/>
      <c r="D3" s="1990"/>
      <c r="E3" s="1990"/>
      <c r="F3" s="660"/>
      <c r="I3" s="138">
        <f>+I2*-1</f>
        <v>0</v>
      </c>
      <c r="K3" s="142" t="s">
        <v>408</v>
      </c>
    </row>
    <row r="4" spans="1:11" ht="31.5" customHeight="1" thickBot="1" x14ac:dyDescent="0.25">
      <c r="A4" s="186"/>
      <c r="B4" s="2230" t="s">
        <v>780</v>
      </c>
      <c r="C4" s="2231"/>
      <c r="D4" s="2231"/>
      <c r="E4" s="2232"/>
      <c r="F4" s="661"/>
      <c r="I4" s="374">
        <f>ROUNDUP(I3/30,0)</f>
        <v>0</v>
      </c>
      <c r="K4" s="142" t="s">
        <v>403</v>
      </c>
    </row>
    <row r="5" spans="1:11" ht="31.5" customHeight="1" thickBot="1" x14ac:dyDescent="0.3">
      <c r="A5" s="186"/>
      <c r="B5" s="596" t="s">
        <v>0</v>
      </c>
      <c r="C5" s="597">
        <v>2023</v>
      </c>
      <c r="D5" s="662" t="s">
        <v>613</v>
      </c>
      <c r="E5" s="669" t="s">
        <v>46</v>
      </c>
      <c r="F5" s="663"/>
      <c r="I5" s="138">
        <f>IF(C11="EXTEMPORANEA",I4,0)</f>
        <v>0</v>
      </c>
    </row>
    <row r="6" spans="1:11" ht="22.5" customHeight="1" thickBot="1" x14ac:dyDescent="0.25">
      <c r="A6" s="186"/>
      <c r="B6" s="2236" t="s">
        <v>348</v>
      </c>
      <c r="C6" s="2237"/>
      <c r="D6" s="2237"/>
      <c r="E6" s="2237"/>
      <c r="F6" s="2238"/>
    </row>
    <row r="7" spans="1:11" ht="27" customHeight="1" thickBot="1" x14ac:dyDescent="0.25">
      <c r="A7" s="186"/>
      <c r="B7" s="417" t="s">
        <v>356</v>
      </c>
      <c r="C7" s="613" t="s">
        <v>752</v>
      </c>
      <c r="D7" s="418" t="s">
        <v>347</v>
      </c>
      <c r="E7" s="419">
        <v>1065263869</v>
      </c>
      <c r="F7" s="379"/>
    </row>
    <row r="8" spans="1:11" ht="31.5" customHeight="1" x14ac:dyDescent="0.2">
      <c r="A8" s="186"/>
      <c r="B8" s="2250" t="s">
        <v>435</v>
      </c>
      <c r="C8" s="2251"/>
      <c r="D8" s="2251"/>
      <c r="E8" s="2252"/>
      <c r="F8" s="379"/>
    </row>
    <row r="9" spans="1:11" ht="24.75" customHeight="1" x14ac:dyDescent="0.2">
      <c r="A9" s="186"/>
      <c r="B9" s="2179" t="s">
        <v>402</v>
      </c>
      <c r="C9" s="435">
        <f>+K23</f>
        <v>45567</v>
      </c>
      <c r="D9" s="2235" t="s">
        <v>429</v>
      </c>
      <c r="E9" s="2239">
        <v>45567</v>
      </c>
      <c r="F9" s="379"/>
    </row>
    <row r="10" spans="1:11" ht="20.25" customHeight="1" x14ac:dyDescent="0.2">
      <c r="A10" s="186"/>
      <c r="B10" s="2179"/>
      <c r="C10" s="376">
        <v>45567</v>
      </c>
      <c r="D10" s="2235"/>
      <c r="E10" s="2239"/>
      <c r="F10" s="379"/>
    </row>
    <row r="11" spans="1:11" ht="42" customHeight="1" thickBot="1" x14ac:dyDescent="0.25">
      <c r="A11" s="186"/>
      <c r="B11" s="424" t="s">
        <v>432</v>
      </c>
      <c r="C11" s="425" t="str">
        <f>IF(I2&gt;=0,K3,K4)</f>
        <v>OPORTUNA</v>
      </c>
      <c r="D11" s="621" t="s">
        <v>404</v>
      </c>
      <c r="E11" s="426">
        <f>+I5</f>
        <v>0</v>
      </c>
      <c r="F11" s="379"/>
    </row>
    <row r="12" spans="1:11" ht="30.75" customHeight="1" thickBot="1" x14ac:dyDescent="0.25">
      <c r="A12" s="186"/>
      <c r="B12" s="2202" t="s">
        <v>442</v>
      </c>
      <c r="C12" s="2203"/>
      <c r="D12" s="2203"/>
      <c r="E12" s="2204"/>
      <c r="F12" s="379"/>
    </row>
    <row r="13" spans="1:11" ht="38.25" customHeight="1" x14ac:dyDescent="0.2">
      <c r="A13" s="186"/>
      <c r="B13" s="420" t="s">
        <v>405</v>
      </c>
      <c r="C13" s="421" t="s">
        <v>46</v>
      </c>
      <c r="D13" s="422" t="s">
        <v>406</v>
      </c>
      <c r="E13" s="423">
        <v>45588</v>
      </c>
      <c r="F13" s="379"/>
    </row>
    <row r="14" spans="1:11" ht="42" customHeight="1" thickBot="1" x14ac:dyDescent="0.25">
      <c r="A14" s="186"/>
      <c r="B14" s="619" t="s">
        <v>443</v>
      </c>
      <c r="C14" s="410">
        <v>-465000</v>
      </c>
      <c r="D14" s="411" t="s">
        <v>414</v>
      </c>
      <c r="E14" s="414" t="s">
        <v>46</v>
      </c>
      <c r="F14" s="380"/>
    </row>
    <row r="15" spans="1:11" ht="51.75" customHeight="1" x14ac:dyDescent="0.2">
      <c r="A15" s="186"/>
      <c r="B15" s="619" t="s">
        <v>426</v>
      </c>
      <c r="C15" s="364" t="s">
        <v>46</v>
      </c>
      <c r="D15" s="412" t="s">
        <v>427</v>
      </c>
      <c r="E15" s="444">
        <v>0</v>
      </c>
      <c r="F15" s="413"/>
    </row>
    <row r="16" spans="1:11" ht="35.25" customHeight="1" x14ac:dyDescent="0.2">
      <c r="A16" s="186"/>
      <c r="B16" s="1158" t="s">
        <v>984</v>
      </c>
      <c r="C16" s="1157" t="s">
        <v>46</v>
      </c>
      <c r="D16" s="1159" t="s">
        <v>985</v>
      </c>
      <c r="E16" s="1157" t="s">
        <v>46</v>
      </c>
      <c r="F16" s="413"/>
    </row>
    <row r="17" spans="1:27" ht="53.25" customHeight="1" thickBot="1" x14ac:dyDescent="0.25">
      <c r="A17" s="186"/>
      <c r="B17" s="415" t="s">
        <v>433</v>
      </c>
      <c r="C17" s="427">
        <v>45568</v>
      </c>
      <c r="D17" s="373" t="s">
        <v>434</v>
      </c>
      <c r="E17" s="445">
        <v>44301</v>
      </c>
      <c r="F17" s="413"/>
    </row>
    <row r="18" spans="1:27" ht="23.25" customHeight="1" thickBot="1" x14ac:dyDescent="0.25">
      <c r="A18" s="186"/>
      <c r="B18" s="223"/>
      <c r="C18" s="223"/>
      <c r="D18" s="223"/>
      <c r="E18" s="223"/>
      <c r="F18" s="378"/>
    </row>
    <row r="19" spans="1:27" ht="32.25" customHeight="1" x14ac:dyDescent="0.2">
      <c r="A19" s="186"/>
      <c r="B19" s="2210" t="s">
        <v>753</v>
      </c>
      <c r="C19" s="2211"/>
      <c r="D19" s="2211"/>
      <c r="E19" s="2212"/>
      <c r="F19" s="379"/>
    </row>
    <row r="20" spans="1:27" ht="24.75" customHeight="1" x14ac:dyDescent="0.2">
      <c r="A20" s="186"/>
      <c r="B20" s="619" t="s">
        <v>815</v>
      </c>
      <c r="C20" s="188">
        <v>0</v>
      </c>
      <c r="D20" s="614" t="s">
        <v>817</v>
      </c>
      <c r="E20" s="189">
        <v>100000000</v>
      </c>
      <c r="F20" s="379"/>
    </row>
    <row r="21" spans="1:27" ht="30" customHeight="1" thickBot="1" x14ac:dyDescent="0.25">
      <c r="A21" s="186"/>
      <c r="B21" s="619" t="s">
        <v>816</v>
      </c>
      <c r="C21" s="188">
        <v>1</v>
      </c>
      <c r="D21" s="615" t="s">
        <v>818</v>
      </c>
      <c r="E21" s="190">
        <v>0</v>
      </c>
      <c r="F21" s="379"/>
    </row>
    <row r="22" spans="1:27" ht="35.25" customHeight="1" x14ac:dyDescent="0.2">
      <c r="A22" s="186"/>
      <c r="B22" s="619" t="s">
        <v>819</v>
      </c>
      <c r="C22" s="188">
        <v>0</v>
      </c>
      <c r="D22" s="618" t="s">
        <v>457</v>
      </c>
      <c r="E22" s="191">
        <v>3</v>
      </c>
      <c r="F22" s="379"/>
      <c r="I22" s="394">
        <f>+E7</f>
        <v>1065263869</v>
      </c>
      <c r="J22" s="395"/>
      <c r="K22" s="396" t="s">
        <v>13</v>
      </c>
      <c r="L22" s="397"/>
      <c r="M22" s="397"/>
      <c r="N22" s="397"/>
      <c r="O22" s="397"/>
      <c r="P22" s="397"/>
      <c r="Q22" s="398"/>
      <c r="R22" s="398"/>
      <c r="S22" s="398"/>
      <c r="T22" s="398"/>
      <c r="U22" s="398"/>
      <c r="V22" s="398"/>
      <c r="W22" s="398"/>
      <c r="X22" s="398"/>
      <c r="Y22" s="398"/>
      <c r="Z22" s="398"/>
      <c r="AA22" s="398"/>
    </row>
    <row r="23" spans="1:27" ht="30.75" customHeight="1" x14ac:dyDescent="0.25">
      <c r="A23" s="186"/>
      <c r="B23" s="617" t="s">
        <v>350</v>
      </c>
      <c r="C23" s="188">
        <v>0</v>
      </c>
      <c r="D23" s="212" t="s">
        <v>2</v>
      </c>
      <c r="E23" s="213">
        <v>1000000</v>
      </c>
      <c r="F23" s="379"/>
      <c r="H23" s="367" t="s">
        <v>45</v>
      </c>
      <c r="I23" s="399">
        <f>CEILING(I22,1)</f>
        <v>1065263869</v>
      </c>
      <c r="J23" s="399"/>
      <c r="K23" s="366">
        <f>IFERROR(VLOOKUP(VALUE(RIGHT(E7,2)),VENCIMIENTO!C6:D105,2,0),VLOOKUP(RIGHT(E7,2),VENCIMIENTO!C6:D105,2,0))</f>
        <v>45567</v>
      </c>
      <c r="L23" s="399"/>
      <c r="M23" s="399"/>
      <c r="N23" s="399"/>
      <c r="O23" s="399"/>
      <c r="P23" s="399"/>
      <c r="Q23" s="399"/>
      <c r="R23" s="399"/>
      <c r="S23" s="399"/>
      <c r="T23" s="399"/>
      <c r="U23" s="399"/>
      <c r="V23" s="399"/>
      <c r="W23" s="399"/>
      <c r="X23" s="399"/>
      <c r="Y23" s="399"/>
      <c r="Z23" s="399"/>
      <c r="AA23" s="399"/>
    </row>
    <row r="24" spans="1:27" ht="30.75" customHeight="1" x14ac:dyDescent="0.25">
      <c r="A24" s="186"/>
      <c r="B24" s="616" t="s">
        <v>42</v>
      </c>
      <c r="C24" s="318">
        <v>42412</v>
      </c>
      <c r="D24" s="615" t="s">
        <v>41</v>
      </c>
      <c r="E24" s="213">
        <v>38004</v>
      </c>
      <c r="F24" s="379"/>
      <c r="H24" s="367" t="s">
        <v>46</v>
      </c>
      <c r="I24" s="400">
        <f>((RIGHT(I23,13))-(RIGHT(I23,12)))/1000000000000</f>
        <v>0</v>
      </c>
      <c r="J24" s="400"/>
      <c r="K24" s="401">
        <f>((RIGHT(I23,12))-(RIGHT(I23,11)))/100000000000</f>
        <v>0</v>
      </c>
      <c r="L24" s="401">
        <f>((RIGHT(I23,12))-(RIGHT(I23,11)))/100000000000</f>
        <v>0</v>
      </c>
      <c r="M24" s="401"/>
      <c r="N24" s="401">
        <f>((RIGHT(I23,10))-(RIGHT(I23,9)))/1000000000</f>
        <v>1</v>
      </c>
      <c r="O24" s="400"/>
      <c r="P24" s="401">
        <f>((RIGHT(I23,9))-(RIGHT(I23,8)))/100000000</f>
        <v>0</v>
      </c>
      <c r="Q24" s="401">
        <f>((RIGHT(I23,8))-(RIGHT(I23,7)))/10000000</f>
        <v>6</v>
      </c>
      <c r="R24" s="401"/>
      <c r="S24" s="401">
        <f>((RIGHT(I23,7))-(RIGHT(I23,6)))/1000000</f>
        <v>5</v>
      </c>
      <c r="T24" s="400"/>
      <c r="U24" s="401">
        <f>((RIGHT(I23,6))-(RIGHT(I23,5)))/100000</f>
        <v>2</v>
      </c>
      <c r="V24" s="401">
        <f>((RIGHT(I23,5))-(RIGHT(I23,4)))/10000</f>
        <v>6</v>
      </c>
      <c r="W24" s="401"/>
      <c r="X24" s="401">
        <f>((RIGHT(I23,4))-(RIGHT(I23,3)))/1000</f>
        <v>3</v>
      </c>
      <c r="Y24" s="400"/>
      <c r="Z24" s="402">
        <f>((RIGHT(I23,3))-(RIGHT(I23,2)))/100</f>
        <v>8</v>
      </c>
      <c r="AA24" s="403">
        <f>((RIGHT(I23,2))-(RIGHT(I23,1)))/10</f>
        <v>6</v>
      </c>
    </row>
    <row r="25" spans="1:27" ht="33.75" customHeight="1" thickBot="1" x14ac:dyDescent="0.25">
      <c r="A25" s="186"/>
      <c r="B25" s="407" t="s">
        <v>360</v>
      </c>
      <c r="C25" s="375">
        <v>3488488</v>
      </c>
      <c r="D25" s="373" t="s">
        <v>410</v>
      </c>
      <c r="E25" s="381">
        <v>47065</v>
      </c>
      <c r="F25" s="380"/>
      <c r="I25" s="365" t="str">
        <f>CONCATENATE(AA24,AB13)</f>
        <v>6</v>
      </c>
    </row>
    <row r="26" spans="1:27" ht="27.75" customHeight="1" thickBot="1" x14ac:dyDescent="0.25">
      <c r="A26" s="186"/>
      <c r="B26" s="2205" t="s">
        <v>348</v>
      </c>
      <c r="C26" s="2206"/>
      <c r="D26" s="2206"/>
      <c r="E26" s="2206"/>
      <c r="F26" s="2207"/>
      <c r="I26" s="138" t="e">
        <f>LOOKUP(I25,J25:J141,K25:K141)</f>
        <v>#N/A</v>
      </c>
    </row>
    <row r="27" spans="1:27" ht="30.75" customHeight="1" x14ac:dyDescent="0.2">
      <c r="A27" s="2109"/>
      <c r="B27" s="2227" t="s">
        <v>158</v>
      </c>
      <c r="C27" s="2228"/>
      <c r="D27" s="2228"/>
      <c r="E27" s="2229"/>
      <c r="F27" s="187"/>
      <c r="I27" s="366"/>
    </row>
    <row r="28" spans="1:27" ht="27.75" customHeight="1" x14ac:dyDescent="0.2">
      <c r="A28" s="2109"/>
      <c r="B28" s="2242" t="s">
        <v>34</v>
      </c>
      <c r="C28" s="2243"/>
      <c r="D28" s="214" t="s">
        <v>36</v>
      </c>
      <c r="E28" s="215" t="s">
        <v>35</v>
      </c>
      <c r="F28" s="187"/>
    </row>
    <row r="29" spans="1:27" ht="24.75" customHeight="1" x14ac:dyDescent="0.2">
      <c r="A29" s="2109"/>
      <c r="B29" s="2190" t="s">
        <v>362</v>
      </c>
      <c r="C29" s="2191"/>
      <c r="D29" s="216" t="s">
        <v>45</v>
      </c>
      <c r="E29" s="606">
        <v>82752000</v>
      </c>
      <c r="F29" s="187"/>
    </row>
    <row r="30" spans="1:27" ht="24.75" customHeight="1" x14ac:dyDescent="0.2">
      <c r="A30" s="2109"/>
      <c r="B30" s="2208" t="s">
        <v>754</v>
      </c>
      <c r="C30" s="2209"/>
      <c r="D30" s="216" t="s">
        <v>45</v>
      </c>
      <c r="E30" s="606"/>
      <c r="F30" s="187"/>
    </row>
    <row r="31" spans="1:27" ht="24.75" customHeight="1" x14ac:dyDescent="0.2">
      <c r="A31" s="2109"/>
      <c r="B31" s="2208" t="s">
        <v>413</v>
      </c>
      <c r="C31" s="2209"/>
      <c r="D31" s="216" t="s">
        <v>45</v>
      </c>
      <c r="E31" s="606">
        <v>0</v>
      </c>
      <c r="F31" s="187"/>
    </row>
    <row r="32" spans="1:27" ht="24.75" customHeight="1" x14ac:dyDescent="0.2">
      <c r="A32" s="2109"/>
      <c r="B32" s="2190" t="s">
        <v>310</v>
      </c>
      <c r="C32" s="2191"/>
      <c r="D32" s="216" t="s">
        <v>46</v>
      </c>
      <c r="E32" s="606">
        <v>10746000</v>
      </c>
      <c r="F32" s="187"/>
    </row>
    <row r="33" spans="1:11" ht="24.75" customHeight="1" x14ac:dyDescent="0.2">
      <c r="A33" s="2109"/>
      <c r="B33" s="2190" t="s">
        <v>311</v>
      </c>
      <c r="C33" s="2191"/>
      <c r="D33" s="216" t="s">
        <v>46</v>
      </c>
      <c r="E33" s="606"/>
      <c r="F33" s="187"/>
    </row>
    <row r="34" spans="1:11" ht="24.75" customHeight="1" x14ac:dyDescent="0.2">
      <c r="A34" s="2109"/>
      <c r="B34" s="2190" t="s">
        <v>4</v>
      </c>
      <c r="C34" s="2191"/>
      <c r="D34" s="216" t="s">
        <v>46</v>
      </c>
      <c r="E34" s="606"/>
      <c r="F34" s="187"/>
    </row>
    <row r="35" spans="1:11" ht="22.5" customHeight="1" x14ac:dyDescent="0.2">
      <c r="A35" s="2109"/>
      <c r="B35" s="2215" t="s">
        <v>317</v>
      </c>
      <c r="C35" s="2216"/>
      <c r="D35" s="216" t="s">
        <v>46</v>
      </c>
      <c r="E35" s="606">
        <v>0</v>
      </c>
      <c r="F35" s="187"/>
    </row>
    <row r="36" spans="1:11" ht="30" customHeight="1" x14ac:dyDescent="0.2">
      <c r="A36" s="2109"/>
      <c r="B36" s="2190" t="s">
        <v>43</v>
      </c>
      <c r="C36" s="2191"/>
      <c r="D36" s="2244" t="s">
        <v>46</v>
      </c>
      <c r="E36" s="2247">
        <v>0</v>
      </c>
      <c r="F36" s="187"/>
    </row>
    <row r="37" spans="1:11" ht="23.25" customHeight="1" x14ac:dyDescent="0.2">
      <c r="A37" s="2109"/>
      <c r="B37" s="895" t="s">
        <v>45</v>
      </c>
      <c r="C37" s="896" t="s">
        <v>46</v>
      </c>
      <c r="D37" s="2245"/>
      <c r="E37" s="2248"/>
      <c r="F37" s="187"/>
      <c r="G37" s="594" t="s">
        <v>45</v>
      </c>
    </row>
    <row r="38" spans="1:11" ht="23.25" customHeight="1" x14ac:dyDescent="0.2">
      <c r="A38" s="2109"/>
      <c r="B38" s="192"/>
      <c r="C38" s="517" t="s">
        <v>46</v>
      </c>
      <c r="D38" s="2246"/>
      <c r="E38" s="2249"/>
      <c r="F38" s="187"/>
      <c r="G38" s="594" t="s">
        <v>46</v>
      </c>
    </row>
    <row r="39" spans="1:11" ht="31.5" customHeight="1" x14ac:dyDescent="0.2">
      <c r="A39" s="2109"/>
      <c r="B39" s="2200" t="s">
        <v>44</v>
      </c>
      <c r="C39" s="2201"/>
      <c r="D39" s="216" t="s">
        <v>46</v>
      </c>
      <c r="E39" s="606">
        <v>0</v>
      </c>
      <c r="F39" s="187"/>
    </row>
    <row r="40" spans="1:11" s="384" customFormat="1" ht="27.75" customHeight="1" x14ac:dyDescent="0.2">
      <c r="A40" s="2109"/>
      <c r="B40" s="2240" t="s">
        <v>316</v>
      </c>
      <c r="C40" s="2241"/>
      <c r="D40" s="382" t="s">
        <v>46</v>
      </c>
      <c r="E40" s="607">
        <v>0</v>
      </c>
      <c r="F40" s="383"/>
      <c r="J40" s="138"/>
      <c r="K40" s="138"/>
    </row>
    <row r="41" spans="1:11" s="384" customFormat="1" ht="27.75" customHeight="1" x14ac:dyDescent="0.2">
      <c r="A41" s="2109"/>
      <c r="B41" s="1991" t="s">
        <v>27</v>
      </c>
      <c r="C41" s="1992"/>
      <c r="D41" s="382" t="s">
        <v>46</v>
      </c>
      <c r="E41" s="607">
        <v>0</v>
      </c>
      <c r="F41" s="383"/>
      <c r="J41" s="138"/>
      <c r="K41" s="138"/>
    </row>
    <row r="42" spans="1:11" s="384" customFormat="1" ht="27.75" customHeight="1" x14ac:dyDescent="0.2">
      <c r="A42" s="2109"/>
      <c r="B42" s="1991" t="s">
        <v>28</v>
      </c>
      <c r="C42" s="1992"/>
      <c r="D42" s="382" t="s">
        <v>46</v>
      </c>
      <c r="E42" s="607">
        <v>0</v>
      </c>
      <c r="F42" s="383"/>
      <c r="J42" s="138"/>
      <c r="K42" s="138"/>
    </row>
    <row r="43" spans="1:11" s="384" customFormat="1" ht="23.25" customHeight="1" x14ac:dyDescent="0.2">
      <c r="A43" s="2109"/>
      <c r="B43" s="2190" t="s">
        <v>19</v>
      </c>
      <c r="C43" s="2191"/>
      <c r="D43" s="382" t="s">
        <v>46</v>
      </c>
      <c r="E43" s="607">
        <v>0</v>
      </c>
      <c r="F43" s="383"/>
      <c r="J43" s="138"/>
      <c r="K43" s="138"/>
    </row>
    <row r="44" spans="1:11" s="384" customFormat="1" ht="27.75" customHeight="1" x14ac:dyDescent="0.2">
      <c r="A44" s="2109"/>
      <c r="B44" s="2213" t="s">
        <v>449</v>
      </c>
      <c r="C44" s="2214"/>
      <c r="D44" s="382" t="s">
        <v>46</v>
      </c>
      <c r="E44" s="607">
        <f>782757+6522972</f>
        <v>7305729</v>
      </c>
      <c r="F44" s="383"/>
      <c r="J44" s="138"/>
      <c r="K44" s="138"/>
    </row>
    <row r="45" spans="1:11" ht="27" customHeight="1" x14ac:dyDescent="0.2">
      <c r="A45" s="2109"/>
      <c r="B45" s="2010" t="s">
        <v>181</v>
      </c>
      <c r="C45" s="2011"/>
      <c r="D45" s="216" t="s">
        <v>46</v>
      </c>
      <c r="E45" s="606"/>
      <c r="F45" s="187"/>
    </row>
    <row r="46" spans="1:11" ht="21.75" customHeight="1" x14ac:dyDescent="0.2">
      <c r="A46" s="2109"/>
      <c r="B46" s="2233" t="s">
        <v>411</v>
      </c>
      <c r="C46" s="2234"/>
      <c r="D46" s="216" t="s">
        <v>46</v>
      </c>
      <c r="E46" s="606">
        <v>4000000</v>
      </c>
      <c r="F46" s="187"/>
    </row>
    <row r="47" spans="1:11" ht="21.75" customHeight="1" thickBot="1" x14ac:dyDescent="0.25">
      <c r="A47" s="2109"/>
      <c r="B47" s="2194" t="s">
        <v>755</v>
      </c>
      <c r="C47" s="2195"/>
      <c r="D47" s="953" t="s">
        <v>46</v>
      </c>
      <c r="E47" s="954"/>
      <c r="F47" s="187"/>
    </row>
    <row r="48" spans="1:11" ht="21" customHeight="1" thickBot="1" x14ac:dyDescent="0.25">
      <c r="A48" s="2109"/>
      <c r="B48" s="1996" t="s">
        <v>85</v>
      </c>
      <c r="C48" s="1997"/>
      <c r="D48" s="1997"/>
      <c r="E48" s="955">
        <f>SUM(E29:E47)</f>
        <v>104803729</v>
      </c>
      <c r="F48" s="187"/>
    </row>
    <row r="49" spans="1:7" ht="15" customHeight="1" thickBot="1" x14ac:dyDescent="0.25">
      <c r="A49" s="2109"/>
      <c r="B49" s="217"/>
      <c r="C49" s="217"/>
      <c r="D49" s="217"/>
      <c r="E49" s="218"/>
      <c r="F49" s="187"/>
    </row>
    <row r="50" spans="1:7" ht="23.25" customHeight="1" thickBot="1" x14ac:dyDescent="0.25">
      <c r="A50" s="2109"/>
      <c r="B50" s="2222" t="s">
        <v>926</v>
      </c>
      <c r="C50" s="2223"/>
      <c r="D50" s="2223"/>
      <c r="E50" s="2224"/>
      <c r="F50" s="187"/>
    </row>
    <row r="51" spans="1:7" ht="19.5" customHeight="1" x14ac:dyDescent="0.2">
      <c r="A51" s="2109"/>
      <c r="B51" s="2225" t="s">
        <v>34</v>
      </c>
      <c r="C51" s="2226"/>
      <c r="D51" s="2226"/>
      <c r="E51" s="1019" t="s">
        <v>35</v>
      </c>
      <c r="F51" s="187"/>
    </row>
    <row r="52" spans="1:7" ht="25.5" customHeight="1" x14ac:dyDescent="0.2">
      <c r="A52" s="2109"/>
      <c r="B52" s="2217" t="s">
        <v>820</v>
      </c>
      <c r="C52" s="2218"/>
      <c r="D52" s="2218"/>
      <c r="E52" s="116"/>
      <c r="F52" s="187"/>
    </row>
    <row r="53" spans="1:7" ht="22.5" customHeight="1" x14ac:dyDescent="0.2">
      <c r="A53" s="2109"/>
      <c r="B53" s="2217" t="s">
        <v>821</v>
      </c>
      <c r="C53" s="2218"/>
      <c r="D53" s="2218"/>
      <c r="E53" s="116">
        <v>300000000</v>
      </c>
      <c r="F53" s="187"/>
    </row>
    <row r="54" spans="1:7" ht="26.25" customHeight="1" x14ac:dyDescent="0.2">
      <c r="A54" s="2109"/>
      <c r="B54" s="2217" t="s">
        <v>822</v>
      </c>
      <c r="C54" s="2218"/>
      <c r="D54" s="2218"/>
      <c r="E54" s="116"/>
      <c r="F54" s="187"/>
    </row>
    <row r="55" spans="1:7" ht="24.75" customHeight="1" x14ac:dyDescent="0.2">
      <c r="A55" s="2109"/>
      <c r="B55" s="2217" t="s">
        <v>823</v>
      </c>
      <c r="C55" s="2218"/>
      <c r="D55" s="2218"/>
      <c r="E55" s="116">
        <v>10000000</v>
      </c>
      <c r="F55" s="187"/>
    </row>
    <row r="56" spans="1:7" ht="21" customHeight="1" thickBot="1" x14ac:dyDescent="0.25">
      <c r="A56" s="2109"/>
      <c r="B56" s="2219" t="s">
        <v>5</v>
      </c>
      <c r="C56" s="2220"/>
      <c r="D56" s="2221"/>
      <c r="E56" s="117"/>
      <c r="F56" s="187"/>
    </row>
    <row r="57" spans="1:7" ht="24" customHeight="1" thickBot="1" x14ac:dyDescent="0.25">
      <c r="A57" s="2109"/>
      <c r="B57" s="2196" t="s">
        <v>824</v>
      </c>
      <c r="C57" s="2197"/>
      <c r="D57" s="2198"/>
      <c r="E57" s="1018">
        <f>SUM(E52:E56)</f>
        <v>310000000</v>
      </c>
      <c r="F57" s="187"/>
    </row>
    <row r="58" spans="1:7" ht="12.75" customHeight="1" x14ac:dyDescent="0.2">
      <c r="A58" s="2109"/>
      <c r="B58" s="217"/>
      <c r="C58" s="217"/>
      <c r="D58" s="217"/>
      <c r="E58" s="218"/>
      <c r="F58" s="187"/>
    </row>
    <row r="59" spans="1:7" ht="12.75" customHeight="1" thickBot="1" x14ac:dyDescent="0.25">
      <c r="A59" s="2109"/>
      <c r="B59" s="217"/>
      <c r="C59" s="217"/>
      <c r="D59" s="217"/>
      <c r="E59" s="218"/>
      <c r="F59" s="187"/>
    </row>
    <row r="60" spans="1:7" ht="21.75" customHeight="1" thickBot="1" x14ac:dyDescent="0.3">
      <c r="A60" s="2109"/>
      <c r="B60" s="1993" t="s">
        <v>159</v>
      </c>
      <c r="C60" s="1994"/>
      <c r="D60" s="1994"/>
      <c r="E60" s="1995"/>
      <c r="F60" s="187"/>
    </row>
    <row r="61" spans="1:7" ht="17.25" customHeight="1" x14ac:dyDescent="0.2">
      <c r="A61" s="2109"/>
      <c r="B61" s="2142" t="s">
        <v>34</v>
      </c>
      <c r="C61" s="2143"/>
      <c r="D61" s="330" t="s">
        <v>68</v>
      </c>
      <c r="E61" s="219" t="s">
        <v>35</v>
      </c>
      <c r="F61" s="187"/>
    </row>
    <row r="62" spans="1:7" ht="15.75" customHeight="1" x14ac:dyDescent="0.2">
      <c r="A62" s="2109"/>
      <c r="B62" s="2149" t="s">
        <v>92</v>
      </c>
      <c r="C62" s="2150"/>
      <c r="D62" s="2144" t="str">
        <f>IF(B63&gt;0,"S",IF(C63&gt;0,"N","0"))</f>
        <v>N</v>
      </c>
      <c r="E62" s="2009">
        <f>+C63+B63</f>
        <v>100000000</v>
      </c>
      <c r="G62" s="193" t="s">
        <v>45</v>
      </c>
    </row>
    <row r="63" spans="1:7" ht="27.75" customHeight="1" x14ac:dyDescent="0.2">
      <c r="A63" s="2109"/>
      <c r="B63" s="329"/>
      <c r="C63" s="328">
        <v>100000000</v>
      </c>
      <c r="D63" s="2144"/>
      <c r="E63" s="2009"/>
      <c r="G63" s="193"/>
    </row>
    <row r="64" spans="1:7" ht="13.5" customHeight="1" x14ac:dyDescent="0.2">
      <c r="A64" s="2109"/>
      <c r="B64" s="2149" t="s">
        <v>93</v>
      </c>
      <c r="C64" s="2150"/>
      <c r="D64" s="2144" t="str">
        <f>IF(B65&gt;0,"S",IF(C65&gt;0,"N","0"))</f>
        <v>N</v>
      </c>
      <c r="E64" s="2009">
        <f>+C65+B65</f>
        <v>100000000</v>
      </c>
      <c r="G64" s="193" t="s">
        <v>45</v>
      </c>
    </row>
    <row r="65" spans="1:8" ht="28.5" customHeight="1" x14ac:dyDescent="0.2">
      <c r="A65" s="2109"/>
      <c r="B65" s="329"/>
      <c r="C65" s="328">
        <v>100000000</v>
      </c>
      <c r="D65" s="2144"/>
      <c r="E65" s="2009"/>
      <c r="G65" s="193"/>
    </row>
    <row r="66" spans="1:8" ht="18.75" customHeight="1" x14ac:dyDescent="0.2">
      <c r="A66" s="2109"/>
      <c r="B66" s="2149" t="s">
        <v>69</v>
      </c>
      <c r="C66" s="2150"/>
      <c r="D66" s="437" t="s">
        <v>45</v>
      </c>
      <c r="E66" s="326"/>
      <c r="G66" s="193" t="s">
        <v>46</v>
      </c>
    </row>
    <row r="67" spans="1:8" ht="18.75" customHeight="1" x14ac:dyDescent="0.2">
      <c r="A67" s="2109"/>
      <c r="B67" s="2149" t="s">
        <v>825</v>
      </c>
      <c r="C67" s="2150"/>
      <c r="D67" s="2008" t="s">
        <v>45</v>
      </c>
      <c r="E67" s="2199">
        <f>+C68</f>
        <v>400000000</v>
      </c>
      <c r="F67" s="187"/>
    </row>
    <row r="68" spans="1:8" ht="21" customHeight="1" x14ac:dyDescent="0.2">
      <c r="A68" s="2109"/>
      <c r="B68" s="194"/>
      <c r="C68" s="195">
        <v>400000000</v>
      </c>
      <c r="D68" s="2008"/>
      <c r="E68" s="2199"/>
      <c r="F68" s="187"/>
    </row>
    <row r="69" spans="1:8" ht="21" customHeight="1" x14ac:dyDescent="0.2">
      <c r="A69" s="2109"/>
      <c r="B69" s="1998" t="s">
        <v>826</v>
      </c>
      <c r="C69" s="1999"/>
      <c r="D69" s="2008" t="s">
        <v>45</v>
      </c>
      <c r="E69" s="2199">
        <f>+C70</f>
        <v>400000000</v>
      </c>
      <c r="F69" s="187"/>
    </row>
    <row r="70" spans="1:8" ht="22.5" customHeight="1" x14ac:dyDescent="0.2">
      <c r="A70" s="2109"/>
      <c r="B70" s="194"/>
      <c r="C70" s="195">
        <v>400000000</v>
      </c>
      <c r="D70" s="2008"/>
      <c r="E70" s="2199"/>
      <c r="F70" s="187"/>
    </row>
    <row r="71" spans="1:8" ht="22.5" customHeight="1" x14ac:dyDescent="0.2">
      <c r="A71" s="2109"/>
      <c r="B71" s="2192" t="s">
        <v>758</v>
      </c>
      <c r="C71" s="2193"/>
      <c r="D71" s="623" t="s">
        <v>46</v>
      </c>
      <c r="E71" s="327"/>
      <c r="F71" s="187"/>
    </row>
    <row r="72" spans="1:8" ht="24.75" customHeight="1" x14ac:dyDescent="0.2">
      <c r="A72" s="2109"/>
      <c r="B72" s="2020" t="s">
        <v>363</v>
      </c>
      <c r="C72" s="2021"/>
      <c r="D72" s="623" t="s">
        <v>46</v>
      </c>
      <c r="E72" s="327"/>
      <c r="F72" s="187"/>
    </row>
    <row r="73" spans="1:8" ht="18.75" customHeight="1" x14ac:dyDescent="0.2">
      <c r="A73" s="2109"/>
      <c r="B73" s="2136" t="s">
        <v>178</v>
      </c>
      <c r="C73" s="2137"/>
      <c r="D73" s="623" t="s">
        <v>46</v>
      </c>
      <c r="E73" s="327"/>
      <c r="F73" s="187"/>
    </row>
    <row r="74" spans="1:8" ht="21" customHeight="1" x14ac:dyDescent="0.2">
      <c r="A74" s="2109"/>
      <c r="B74" s="2164" t="s">
        <v>177</v>
      </c>
      <c r="C74" s="2165"/>
      <c r="D74" s="623" t="s">
        <v>46</v>
      </c>
      <c r="E74" s="327"/>
      <c r="F74" s="187"/>
    </row>
    <row r="75" spans="1:8" ht="21" customHeight="1" x14ac:dyDescent="0.2">
      <c r="A75" s="2109"/>
      <c r="B75" s="2006" t="s">
        <v>70</v>
      </c>
      <c r="C75" s="2007"/>
      <c r="D75" s="437" t="s">
        <v>45</v>
      </c>
      <c r="E75" s="326">
        <v>140000000</v>
      </c>
      <c r="F75" s="187"/>
    </row>
    <row r="76" spans="1:8" ht="21" customHeight="1" x14ac:dyDescent="0.2">
      <c r="A76" s="2109"/>
      <c r="B76" s="2147" t="s">
        <v>827</v>
      </c>
      <c r="C76" s="2148"/>
      <c r="D76" s="437" t="s">
        <v>45</v>
      </c>
      <c r="E76" s="326">
        <v>150000000</v>
      </c>
      <c r="F76" s="187"/>
    </row>
    <row r="77" spans="1:8" ht="21" customHeight="1" x14ac:dyDescent="0.2">
      <c r="A77" s="2109"/>
      <c r="B77" s="2147" t="s">
        <v>828</v>
      </c>
      <c r="C77" s="2148"/>
      <c r="D77" s="437" t="s">
        <v>45</v>
      </c>
      <c r="E77" s="326">
        <v>400000000</v>
      </c>
      <c r="F77" s="187"/>
    </row>
    <row r="78" spans="1:8" ht="22.5" customHeight="1" x14ac:dyDescent="0.2">
      <c r="A78" s="2109"/>
      <c r="B78" s="2002" t="s">
        <v>71</v>
      </c>
      <c r="C78" s="2003"/>
      <c r="D78" s="437" t="s">
        <v>45</v>
      </c>
      <c r="E78" s="326">
        <v>400000000</v>
      </c>
      <c r="F78" s="187"/>
    </row>
    <row r="79" spans="1:8" ht="16.5" customHeight="1" x14ac:dyDescent="0.2">
      <c r="A79" s="2109"/>
      <c r="B79" s="2002" t="s">
        <v>411</v>
      </c>
      <c r="C79" s="2003"/>
      <c r="D79" s="608" t="s">
        <v>46</v>
      </c>
      <c r="E79" s="196">
        <v>23456789</v>
      </c>
      <c r="F79" s="187"/>
    </row>
    <row r="80" spans="1:8" ht="28.5" customHeight="1" x14ac:dyDescent="0.2">
      <c r="A80" s="2109"/>
      <c r="B80" s="409" t="s">
        <v>412</v>
      </c>
      <c r="C80" s="626"/>
      <c r="D80" s="405" t="s">
        <v>46</v>
      </c>
      <c r="E80" s="408">
        <f>IF(D80="N",C80,0)</f>
        <v>0</v>
      </c>
      <c r="F80" s="187"/>
      <c r="H80" s="446"/>
    </row>
    <row r="81" spans="1:6" ht="17.25" customHeight="1" x14ac:dyDescent="0.2">
      <c r="A81" s="2109"/>
      <c r="B81" s="585" t="s">
        <v>875</v>
      </c>
      <c r="C81" s="970"/>
      <c r="D81" s="971"/>
      <c r="E81" s="2162">
        <f>SUM(B82:D82)</f>
        <v>200000000</v>
      </c>
      <c r="F81" s="187"/>
    </row>
    <row r="82" spans="1:6" ht="34.5" customHeight="1" x14ac:dyDescent="0.2">
      <c r="A82" s="2109"/>
      <c r="B82" s="972">
        <v>100000000</v>
      </c>
      <c r="C82" s="654">
        <v>0</v>
      </c>
      <c r="D82" s="1009">
        <f>SUM('DIVIDENDOS INC 2 ART 242 E.T.'!F3:F12)</f>
        <v>100000000</v>
      </c>
      <c r="E82" s="2163"/>
      <c r="F82" s="187"/>
    </row>
    <row r="83" spans="1:6" ht="15.75" customHeight="1" x14ac:dyDescent="0.2">
      <c r="A83" s="2109"/>
      <c r="B83" s="2145" t="s">
        <v>315</v>
      </c>
      <c r="C83" s="2146"/>
      <c r="D83" s="608" t="s">
        <v>46</v>
      </c>
      <c r="E83" s="196">
        <v>120000000</v>
      </c>
      <c r="F83" s="187"/>
    </row>
    <row r="84" spans="1:6" ht="18" customHeight="1" x14ac:dyDescent="0.2">
      <c r="A84" s="2109"/>
      <c r="B84" s="2145" t="s">
        <v>130</v>
      </c>
      <c r="C84" s="2146"/>
      <c r="D84" s="608" t="s">
        <v>46</v>
      </c>
      <c r="E84" s="600">
        <v>69080000</v>
      </c>
      <c r="F84" s="187"/>
    </row>
    <row r="85" spans="1:6" ht="15.75" customHeight="1" x14ac:dyDescent="0.2">
      <c r="A85" s="2109"/>
      <c r="B85" s="2145" t="s">
        <v>103</v>
      </c>
      <c r="C85" s="2146"/>
      <c r="D85" s="2166" t="s">
        <v>46</v>
      </c>
      <c r="E85" s="2009">
        <f>+C86+B86</f>
        <v>0</v>
      </c>
      <c r="F85" s="187"/>
    </row>
    <row r="86" spans="1:6" ht="29.25" customHeight="1" x14ac:dyDescent="0.2">
      <c r="A86" s="2109"/>
      <c r="B86" s="194"/>
      <c r="C86" s="195"/>
      <c r="D86" s="2166"/>
      <c r="E86" s="2009"/>
      <c r="F86" s="187"/>
    </row>
    <row r="87" spans="1:6" ht="21.75" customHeight="1" x14ac:dyDescent="0.2">
      <c r="A87" s="2109"/>
      <c r="B87" s="2169" t="s">
        <v>98</v>
      </c>
      <c r="C87" s="2170"/>
      <c r="D87" s="608" t="s">
        <v>46</v>
      </c>
      <c r="E87" s="196"/>
      <c r="F87" s="187"/>
    </row>
    <row r="88" spans="1:6" ht="18" customHeight="1" x14ac:dyDescent="0.2">
      <c r="A88" s="2109"/>
      <c r="B88" s="2160" t="s">
        <v>389</v>
      </c>
      <c r="C88" s="2161"/>
      <c r="D88" s="608" t="s">
        <v>46</v>
      </c>
      <c r="E88" s="196"/>
      <c r="F88" s="187"/>
    </row>
    <row r="89" spans="1:6" ht="17.25" customHeight="1" x14ac:dyDescent="0.2">
      <c r="A89" s="2109"/>
      <c r="B89" s="2140" t="s">
        <v>623</v>
      </c>
      <c r="C89" s="2141"/>
      <c r="D89" s="608" t="s">
        <v>46</v>
      </c>
      <c r="E89" s="196">
        <v>700000000</v>
      </c>
      <c r="F89" s="187"/>
    </row>
    <row r="90" spans="1:6" ht="15.75" customHeight="1" x14ac:dyDescent="0.2">
      <c r="A90" s="2109"/>
      <c r="B90" s="2160" t="s">
        <v>368</v>
      </c>
      <c r="C90" s="2161"/>
      <c r="D90" s="608" t="s">
        <v>46</v>
      </c>
      <c r="E90" s="196"/>
      <c r="F90" s="187"/>
    </row>
    <row r="91" spans="1:6" ht="18" customHeight="1" x14ac:dyDescent="0.2">
      <c r="A91" s="2109"/>
      <c r="B91" s="2140" t="s">
        <v>366</v>
      </c>
      <c r="C91" s="2141"/>
      <c r="D91" s="608" t="s">
        <v>46</v>
      </c>
      <c r="E91" s="196"/>
      <c r="F91" s="187"/>
    </row>
    <row r="92" spans="1:6" ht="18" customHeight="1" x14ac:dyDescent="0.2">
      <c r="A92" s="2109"/>
      <c r="B92" s="2140" t="s">
        <v>200</v>
      </c>
      <c r="C92" s="2141"/>
      <c r="D92" s="608" t="s">
        <v>46</v>
      </c>
      <c r="E92" s="196"/>
      <c r="F92" s="187"/>
    </row>
    <row r="93" spans="1:6" ht="21" customHeight="1" x14ac:dyDescent="0.2">
      <c r="A93" s="2109"/>
      <c r="B93" s="2186" t="s">
        <v>548</v>
      </c>
      <c r="C93" s="2187"/>
      <c r="D93" s="608" t="s">
        <v>46</v>
      </c>
      <c r="E93" s="196"/>
      <c r="F93" s="187"/>
    </row>
    <row r="94" spans="1:6" ht="19.5" customHeight="1" x14ac:dyDescent="0.2">
      <c r="A94" s="2109"/>
      <c r="B94" s="2138" t="s">
        <v>392</v>
      </c>
      <c r="C94" s="2139"/>
      <c r="D94" s="608" t="s">
        <v>46</v>
      </c>
      <c r="E94" s="196"/>
      <c r="F94" s="187"/>
    </row>
    <row r="95" spans="1:6" ht="16.5" customHeight="1" x14ac:dyDescent="0.2">
      <c r="A95" s="2109"/>
      <c r="B95" s="2023" t="s">
        <v>503</v>
      </c>
      <c r="C95" s="2024"/>
      <c r="D95" s="861" t="s">
        <v>46</v>
      </c>
      <c r="E95" s="862"/>
      <c r="F95" s="187"/>
    </row>
    <row r="96" spans="1:6" ht="18" customHeight="1" x14ac:dyDescent="0.2">
      <c r="A96" s="2109"/>
      <c r="B96" s="2023" t="s">
        <v>834</v>
      </c>
      <c r="C96" s="2024"/>
      <c r="D96" s="861" t="s">
        <v>46</v>
      </c>
      <c r="E96" s="862"/>
      <c r="F96" s="187"/>
    </row>
    <row r="97" spans="1:8" ht="18" customHeight="1" thickBot="1" x14ac:dyDescent="0.25">
      <c r="A97" s="2109"/>
      <c r="B97" s="2156" t="s">
        <v>343</v>
      </c>
      <c r="C97" s="2157"/>
      <c r="D97" s="664" t="s">
        <v>46</v>
      </c>
      <c r="E97" s="197"/>
      <c r="F97" s="187"/>
    </row>
    <row r="98" spans="1:8" ht="16.5" customHeight="1" thickBot="1" x14ac:dyDescent="0.3">
      <c r="A98" s="2109"/>
      <c r="B98" s="2151" t="s">
        <v>84</v>
      </c>
      <c r="C98" s="2152"/>
      <c r="D98" s="2153"/>
      <c r="E98" s="1020">
        <f>SUM(E62:E97)</f>
        <v>3202536789</v>
      </c>
      <c r="F98" s="187"/>
    </row>
    <row r="99" spans="1:8" ht="20.25" customHeight="1" thickBot="1" x14ac:dyDescent="0.25">
      <c r="A99" s="2109"/>
      <c r="B99" s="2158" t="s">
        <v>680</v>
      </c>
      <c r="C99" s="2159"/>
      <c r="D99" s="2159"/>
      <c r="E99" s="357"/>
      <c r="F99" s="187"/>
    </row>
    <row r="100" spans="1:8" ht="0.75" customHeight="1" thickBot="1" x14ac:dyDescent="0.25">
      <c r="A100" s="2109"/>
      <c r="B100" s="198"/>
      <c r="C100" s="198"/>
      <c r="D100" s="198"/>
      <c r="E100" s="198"/>
      <c r="F100" s="187"/>
    </row>
    <row r="101" spans="1:8" ht="24" customHeight="1" thickTop="1" x14ac:dyDescent="0.25">
      <c r="A101" s="2109"/>
      <c r="B101" s="2155" t="s">
        <v>73</v>
      </c>
      <c r="C101" s="2155"/>
      <c r="D101" s="2155"/>
      <c r="E101" s="2155"/>
      <c r="F101" s="185"/>
    </row>
    <row r="102" spans="1:8" ht="24" customHeight="1" thickBot="1" x14ac:dyDescent="0.3">
      <c r="A102" s="2109"/>
      <c r="B102" s="1990" t="s">
        <v>74</v>
      </c>
      <c r="C102" s="1990"/>
      <c r="D102" s="1990"/>
      <c r="E102" s="1990"/>
      <c r="F102" s="187"/>
    </row>
    <row r="103" spans="1:8" ht="11.25" hidden="1" customHeight="1" x14ac:dyDescent="0.25">
      <c r="A103" s="2109"/>
      <c r="B103" s="620"/>
      <c r="C103" s="620"/>
      <c r="D103" s="620"/>
      <c r="E103" s="620"/>
      <c r="F103" s="187"/>
    </row>
    <row r="104" spans="1:8" ht="28.5" hidden="1" customHeight="1" thickBot="1" x14ac:dyDescent="0.3">
      <c r="A104" s="2109"/>
      <c r="B104" s="2172" t="s">
        <v>82</v>
      </c>
      <c r="C104" s="2173"/>
      <c r="D104" s="2173"/>
      <c r="E104" s="2174"/>
      <c r="F104" s="187"/>
    </row>
    <row r="105" spans="1:8" ht="39.75" hidden="1" customHeight="1" x14ac:dyDescent="0.2">
      <c r="A105" s="2109"/>
      <c r="B105" s="2188" t="s">
        <v>203</v>
      </c>
      <c r="C105" s="2189"/>
      <c r="D105" s="220">
        <f>+E48+E52+E54-E45</f>
        <v>104803729</v>
      </c>
      <c r="E105" s="804" t="s">
        <v>83</v>
      </c>
      <c r="F105" s="187"/>
    </row>
    <row r="106" spans="1:8" ht="39.75" hidden="1" customHeight="1" thickBot="1" x14ac:dyDescent="0.25">
      <c r="A106" s="2109"/>
      <c r="B106" s="2175" t="s">
        <v>202</v>
      </c>
      <c r="C106" s="2176"/>
      <c r="D106" s="221">
        <f>IF(D105&gt;0,H106,0)</f>
        <v>6.8618443474043944E-2</v>
      </c>
      <c r="E106" s="222" t="str">
        <f>IF(D106&gt;=80%,"S","N")</f>
        <v>N</v>
      </c>
      <c r="F106" s="187"/>
      <c r="H106" s="368">
        <f>D105/(E48+E98+E57-SUM(E62:E70)-SUM(E75:E78)-E80-E45)</f>
        <v>6.8618443474043944E-2</v>
      </c>
    </row>
    <row r="107" spans="1:8" ht="24.75" hidden="1" customHeight="1" x14ac:dyDescent="0.2">
      <c r="A107" s="2109"/>
      <c r="B107" s="333"/>
      <c r="C107" s="333"/>
      <c r="D107" s="334"/>
      <c r="E107" s="335"/>
      <c r="F107" s="187"/>
    </row>
    <row r="108" spans="1:8" ht="36.75" hidden="1" customHeight="1" x14ac:dyDescent="0.2">
      <c r="A108" s="2109"/>
      <c r="B108" s="2181" t="s">
        <v>364</v>
      </c>
      <c r="C108" s="2182"/>
      <c r="D108" s="2182"/>
      <c r="E108" s="2183"/>
      <c r="F108" s="187"/>
    </row>
    <row r="109" spans="1:8" ht="33" hidden="1" customHeight="1" x14ac:dyDescent="0.2">
      <c r="A109" s="2109"/>
      <c r="B109" s="2184" t="s">
        <v>365</v>
      </c>
      <c r="C109" s="2185"/>
      <c r="D109" s="337">
        <f t="shared" ref="D109:D114" si="0">IF(E89&gt;0,H109,0)</f>
        <v>0.46546151574195266</v>
      </c>
      <c r="E109" s="2154" t="s">
        <v>367</v>
      </c>
      <c r="F109" s="187"/>
      <c r="H109" s="369">
        <f>E89/(E48+E98+E57-SUM(E62:E70)-SUM(E75:E79))</f>
        <v>0.46546151574195266</v>
      </c>
    </row>
    <row r="110" spans="1:8" ht="33" hidden="1" customHeight="1" x14ac:dyDescent="0.2">
      <c r="A110" s="2109"/>
      <c r="B110" s="2122" t="s">
        <v>370</v>
      </c>
      <c r="C110" s="2123"/>
      <c r="D110" s="337">
        <f t="shared" si="0"/>
        <v>0</v>
      </c>
      <c r="E110" s="2154"/>
      <c r="F110" s="187"/>
      <c r="H110" s="369">
        <f>E90/(E48+E98+E57-SUM(E62:E70)-SUM(E75:E79))</f>
        <v>0</v>
      </c>
    </row>
    <row r="111" spans="1:8" ht="32.25" hidden="1" customHeight="1" x14ac:dyDescent="0.2">
      <c r="A111" s="2109"/>
      <c r="B111" s="2025" t="s">
        <v>371</v>
      </c>
      <c r="C111" s="2026"/>
      <c r="D111" s="337">
        <f t="shared" si="0"/>
        <v>0</v>
      </c>
      <c r="E111" s="2134" t="str">
        <f>IF(D109&gt;=80%,"S",IF(D110&gt;=80%,"S",IF(D111&gt;=80%,"S",IF(D112&gt;=80%,"S",IF(D113&gt;=80%,"S",IF(D114&gt;=80%,"S","N"))))))</f>
        <v>N</v>
      </c>
      <c r="F111" s="187"/>
      <c r="H111" s="369">
        <f>E91/(E48+E98+E57-SUM(E62:E70)-SUM(E75:E79))</f>
        <v>0</v>
      </c>
    </row>
    <row r="112" spans="1:8" ht="32.25" hidden="1" customHeight="1" x14ac:dyDescent="0.2">
      <c r="A112" s="2109"/>
      <c r="B112" s="2179" t="s">
        <v>369</v>
      </c>
      <c r="C112" s="2180"/>
      <c r="D112" s="337">
        <f t="shared" si="0"/>
        <v>0</v>
      </c>
      <c r="E112" s="2134"/>
      <c r="F112" s="187"/>
      <c r="H112" s="369">
        <f>E92/(E48+E98+E57-SUM(E62:E70)-SUM(E75:E79))</f>
        <v>0</v>
      </c>
    </row>
    <row r="113" spans="1:28" ht="17.25" hidden="1" customHeight="1" x14ac:dyDescent="0.2">
      <c r="A113" s="2109"/>
      <c r="B113" s="2122" t="s">
        <v>394</v>
      </c>
      <c r="C113" s="2123"/>
      <c r="D113" s="337">
        <f t="shared" si="0"/>
        <v>0</v>
      </c>
      <c r="E113" s="2134"/>
      <c r="F113" s="187"/>
      <c r="H113" s="369">
        <f>E93/(E48+E98+E57-SUM(E62:E70)-SUM(E75:E79))</f>
        <v>0</v>
      </c>
    </row>
    <row r="114" spans="1:28" ht="34.5" hidden="1" customHeight="1" thickBot="1" x14ac:dyDescent="0.25">
      <c r="A114" s="2109"/>
      <c r="B114" s="2132" t="s">
        <v>395</v>
      </c>
      <c r="C114" s="2133"/>
      <c r="D114" s="336">
        <f t="shared" si="0"/>
        <v>0</v>
      </c>
      <c r="E114" s="2135"/>
      <c r="F114" s="187"/>
      <c r="H114" s="369">
        <f>E94/(E48+E98+E57-SUM(E62:E70)-SUM(E75:E79))</f>
        <v>0</v>
      </c>
      <c r="AB114" s="163"/>
    </row>
    <row r="115" spans="1:28" ht="14.25" hidden="1" customHeight="1" thickBot="1" x14ac:dyDescent="0.25">
      <c r="A115" s="2109"/>
      <c r="B115" s="223"/>
      <c r="C115" s="223"/>
      <c r="D115" s="223"/>
      <c r="E115" s="223"/>
      <c r="F115" s="187"/>
      <c r="AB115" s="163"/>
    </row>
    <row r="116" spans="1:28" ht="30.75" customHeight="1" thickBot="1" x14ac:dyDescent="0.25">
      <c r="A116" s="2109"/>
      <c r="B116" s="2117" t="s">
        <v>157</v>
      </c>
      <c r="C116" s="2118"/>
      <c r="D116" s="2118"/>
      <c r="E116" s="2119"/>
      <c r="F116" s="187"/>
      <c r="AB116" s="163"/>
    </row>
    <row r="117" spans="1:28" ht="39" customHeight="1" x14ac:dyDescent="0.2">
      <c r="A117" s="2109"/>
      <c r="B117" s="224" t="s">
        <v>4</v>
      </c>
      <c r="C117" s="225" t="s">
        <v>25</v>
      </c>
      <c r="D117" s="325" t="s">
        <v>45</v>
      </c>
      <c r="E117" s="226">
        <f>IF((D117)=("S"),(E34),0)</f>
        <v>0</v>
      </c>
      <c r="F117" s="187"/>
      <c r="L117" s="163"/>
      <c r="AB117" s="163"/>
    </row>
    <row r="118" spans="1:28" ht="24" customHeight="1" x14ac:dyDescent="0.2">
      <c r="A118" s="2109"/>
      <c r="B118" s="2177" t="s">
        <v>516</v>
      </c>
      <c r="C118" s="891"/>
      <c r="D118" s="891"/>
      <c r="E118" s="2027">
        <f>SUM(C118:D120)</f>
        <v>4118000</v>
      </c>
      <c r="F118" s="187"/>
      <c r="L118" s="163"/>
      <c r="AB118" s="163"/>
    </row>
    <row r="119" spans="1:28" ht="22.5" customHeight="1" x14ac:dyDescent="0.2">
      <c r="A119" s="2109"/>
      <c r="B119" s="2177"/>
      <c r="C119" s="892"/>
      <c r="D119" s="892">
        <v>4118000</v>
      </c>
      <c r="E119" s="2027"/>
      <c r="F119" s="187"/>
      <c r="L119" s="163"/>
      <c r="AB119" s="163"/>
    </row>
    <row r="120" spans="1:28" ht="30" customHeight="1" x14ac:dyDescent="0.2">
      <c r="A120" s="2109"/>
      <c r="B120" s="2177"/>
      <c r="C120" s="892"/>
      <c r="D120" s="893"/>
      <c r="E120" s="2027"/>
      <c r="F120" s="187"/>
      <c r="L120" s="163"/>
      <c r="AB120" s="163"/>
    </row>
    <row r="121" spans="1:28" ht="27" customHeight="1" x14ac:dyDescent="0.2">
      <c r="A121" s="2109"/>
      <c r="B121" s="2178" t="s">
        <v>778</v>
      </c>
      <c r="C121" s="891"/>
      <c r="D121" s="891"/>
      <c r="E121" s="2027">
        <f>SUM(C121:D123)</f>
        <v>5118000</v>
      </c>
      <c r="F121" s="187"/>
      <c r="L121" s="163"/>
      <c r="AB121" s="163"/>
    </row>
    <row r="122" spans="1:28" ht="26.25" customHeight="1" x14ac:dyDescent="0.2">
      <c r="A122" s="2109"/>
      <c r="B122" s="2178"/>
      <c r="C122" s="892"/>
      <c r="D122" s="892">
        <v>5118000</v>
      </c>
      <c r="E122" s="2027"/>
      <c r="F122" s="187"/>
      <c r="L122" s="163"/>
      <c r="AB122" s="163"/>
    </row>
    <row r="123" spans="1:28" ht="31.5" customHeight="1" x14ac:dyDescent="0.2">
      <c r="A123" s="2109"/>
      <c r="B123" s="2178"/>
      <c r="C123" s="892"/>
      <c r="D123" s="893"/>
      <c r="E123" s="2027"/>
      <c r="F123" s="187"/>
      <c r="L123" s="163"/>
      <c r="AB123" s="163"/>
    </row>
    <row r="124" spans="1:28" ht="36.75" customHeight="1" x14ac:dyDescent="0.2">
      <c r="A124" s="2109"/>
      <c r="B124" s="2171" t="s">
        <v>17</v>
      </c>
      <c r="C124" s="891"/>
      <c r="D124" s="891">
        <v>2540000</v>
      </c>
      <c r="E124" s="2027">
        <f>SUM(C124:D125)</f>
        <v>2540000</v>
      </c>
      <c r="F124" s="187"/>
      <c r="L124" s="163"/>
      <c r="AB124" s="163"/>
    </row>
    <row r="125" spans="1:28" ht="28.5" customHeight="1" x14ac:dyDescent="0.2">
      <c r="A125" s="2109"/>
      <c r="B125" s="2171"/>
      <c r="C125" s="892"/>
      <c r="D125" s="892"/>
      <c r="E125" s="2027"/>
      <c r="F125" s="187"/>
      <c r="L125" s="163"/>
      <c r="AB125" s="163"/>
    </row>
    <row r="126" spans="1:28" ht="22.5" customHeight="1" x14ac:dyDescent="0.2">
      <c r="A126" s="2109"/>
      <c r="B126" s="2028" t="s">
        <v>755</v>
      </c>
      <c r="C126" s="2029"/>
      <c r="D126" s="2029"/>
      <c r="E126" s="894">
        <f>IF(E47&gt;0,E47,0)</f>
        <v>0</v>
      </c>
      <c r="F126" s="187"/>
      <c r="L126" s="163"/>
      <c r="AB126" s="163"/>
    </row>
    <row r="127" spans="1:28" s="163" customFormat="1" ht="23.25" customHeight="1" x14ac:dyDescent="0.2">
      <c r="A127" s="2109"/>
      <c r="B127" s="2028" t="s">
        <v>757</v>
      </c>
      <c r="C127" s="2029"/>
      <c r="D127" s="2029"/>
      <c r="E127" s="227">
        <f>IF(E71&gt;0,E71,0)</f>
        <v>0</v>
      </c>
      <c r="F127" s="199"/>
      <c r="J127" s="138"/>
      <c r="K127" s="138"/>
      <c r="M127" s="138"/>
      <c r="N127" s="138"/>
      <c r="O127" s="138"/>
      <c r="P127" s="138"/>
      <c r="Q127" s="138"/>
      <c r="R127" s="138"/>
      <c r="S127" s="138"/>
      <c r="T127" s="138"/>
      <c r="U127" s="138"/>
      <c r="V127" s="138"/>
      <c r="W127" s="138"/>
      <c r="X127" s="138"/>
      <c r="Y127" s="138"/>
      <c r="Z127" s="138"/>
      <c r="AA127" s="138"/>
    </row>
    <row r="128" spans="1:28" s="163" customFormat="1" ht="20.25" customHeight="1" x14ac:dyDescent="0.2">
      <c r="A128" s="2109"/>
      <c r="B128" s="2130" t="str">
        <f>+B72</f>
        <v>VENTA DE INMUEBLES A ENTIDAD TERRITORIAL PARA OBRAS DE UTILIDAD COMUN-MEDIANTE NEGOCIACION DIRECTA</v>
      </c>
      <c r="C128" s="2131"/>
      <c r="D128" s="2131"/>
      <c r="E128" s="227">
        <f>IF((E72)&gt;0,E72,0)</f>
        <v>0</v>
      </c>
      <c r="F128" s="199"/>
      <c r="J128" s="138"/>
      <c r="K128" s="138"/>
    </row>
    <row r="129" spans="1:28" s="163" customFormat="1" ht="21" customHeight="1" x14ac:dyDescent="0.2">
      <c r="A129" s="2109"/>
      <c r="B129" s="2004" t="s">
        <v>178</v>
      </c>
      <c r="C129" s="2005"/>
      <c r="D129" s="2005"/>
      <c r="E129" s="227">
        <f>IF(E73&gt;0,E73,0)</f>
        <v>0</v>
      </c>
      <c r="F129" s="199"/>
      <c r="J129" s="138"/>
      <c r="K129" s="138"/>
    </row>
    <row r="130" spans="1:28" s="163" customFormat="1" ht="21" customHeight="1" x14ac:dyDescent="0.2">
      <c r="A130" s="2109"/>
      <c r="B130" s="2004" t="s">
        <v>177</v>
      </c>
      <c r="C130" s="2005"/>
      <c r="D130" s="2005"/>
      <c r="E130" s="227">
        <f>IF(E74&gt;0,E74,0)</f>
        <v>0</v>
      </c>
      <c r="F130" s="199"/>
      <c r="J130" s="138"/>
      <c r="K130" s="138"/>
      <c r="AB130" s="138"/>
    </row>
    <row r="131" spans="1:28" s="163" customFormat="1" ht="22.5" customHeight="1" x14ac:dyDescent="0.2">
      <c r="A131" s="2109"/>
      <c r="B131" s="2261" t="s">
        <v>629</v>
      </c>
      <c r="C131" s="2262"/>
      <c r="D131" s="405" t="s">
        <v>45</v>
      </c>
      <c r="E131" s="227">
        <f>IF(D131="S",C86,0)</f>
        <v>0</v>
      </c>
      <c r="F131" s="199"/>
      <c r="J131" s="138"/>
      <c r="K131" s="138"/>
      <c r="AB131" s="138"/>
    </row>
    <row r="132" spans="1:28" s="163" customFormat="1" ht="21" customHeight="1" x14ac:dyDescent="0.2">
      <c r="A132" s="2109"/>
      <c r="B132" s="2004" t="s">
        <v>19</v>
      </c>
      <c r="C132" s="2005"/>
      <c r="D132" s="2005"/>
      <c r="E132" s="227">
        <f>+E43</f>
        <v>0</v>
      </c>
      <c r="F132" s="199"/>
      <c r="J132" s="138"/>
      <c r="K132" s="138"/>
      <c r="AB132" s="138"/>
    </row>
    <row r="133" spans="1:28" s="163" customFormat="1" ht="26.25" customHeight="1" x14ac:dyDescent="0.2">
      <c r="A133" s="2109"/>
      <c r="B133" s="2127" t="s">
        <v>312</v>
      </c>
      <c r="C133" s="2128"/>
      <c r="D133" s="168">
        <f>IF(E84&gt;0,E84*(1),0)</f>
        <v>69080000</v>
      </c>
      <c r="E133" s="599">
        <f>IF(E5="N",D133*66.71%,0)</f>
        <v>46083267.999999993</v>
      </c>
      <c r="F133" s="199"/>
      <c r="J133" s="138"/>
      <c r="K133" s="138"/>
      <c r="AB133" s="138"/>
    </row>
    <row r="134" spans="1:28" s="163" customFormat="1" ht="21" customHeight="1" x14ac:dyDescent="0.2">
      <c r="A134" s="2109"/>
      <c r="B134" s="2004" t="s">
        <v>606</v>
      </c>
      <c r="C134" s="2005"/>
      <c r="D134" s="2005"/>
      <c r="E134" s="2129">
        <f>SUM(B135:D135)</f>
        <v>0</v>
      </c>
      <c r="F134" s="199"/>
      <c r="J134" s="138"/>
      <c r="K134" s="138"/>
      <c r="L134" s="138"/>
      <c r="AB134" s="138"/>
    </row>
    <row r="135" spans="1:28" s="163" customFormat="1" ht="39" customHeight="1" x14ac:dyDescent="0.2">
      <c r="A135" s="2109"/>
      <c r="B135" s="653"/>
      <c r="C135" s="1055"/>
      <c r="D135" s="1037"/>
      <c r="E135" s="2129"/>
      <c r="F135" s="199"/>
      <c r="J135" s="138"/>
      <c r="K135" s="138"/>
      <c r="L135" s="138"/>
      <c r="AB135" s="138"/>
    </row>
    <row r="136" spans="1:28" ht="26.25" customHeight="1" thickBot="1" x14ac:dyDescent="0.25">
      <c r="A136" s="2109"/>
      <c r="B136" s="2120" t="s">
        <v>201</v>
      </c>
      <c r="C136" s="2121"/>
      <c r="D136" s="2121"/>
      <c r="E136" s="1023">
        <f>SUM(E117:E134)</f>
        <v>57859267.999999993</v>
      </c>
      <c r="F136" s="187"/>
      <c r="M136" s="163"/>
      <c r="N136" s="163"/>
      <c r="O136" s="163"/>
      <c r="P136" s="163"/>
      <c r="Q136" s="163"/>
      <c r="R136" s="163"/>
      <c r="S136" s="163"/>
      <c r="T136" s="163"/>
      <c r="U136" s="163"/>
      <c r="V136" s="163"/>
      <c r="W136" s="163"/>
      <c r="X136" s="163"/>
      <c r="Y136" s="163"/>
      <c r="Z136" s="163"/>
      <c r="AA136" s="163"/>
    </row>
    <row r="137" spans="1:28" ht="1.5" customHeight="1" thickBot="1" x14ac:dyDescent="0.25">
      <c r="A137" s="2109"/>
      <c r="B137" s="404"/>
      <c r="C137" s="404"/>
      <c r="D137" s="404"/>
      <c r="E137" s="655"/>
      <c r="F137" s="187"/>
    </row>
    <row r="138" spans="1:28" ht="1.5" hidden="1" customHeight="1" thickBot="1" x14ac:dyDescent="0.25">
      <c r="A138" s="2109"/>
      <c r="B138" s="404"/>
      <c r="C138" s="404"/>
      <c r="D138" s="404"/>
      <c r="E138" s="655"/>
      <c r="F138" s="187"/>
    </row>
    <row r="139" spans="1:28" ht="20.25" customHeight="1" x14ac:dyDescent="0.25">
      <c r="A139" s="2109"/>
      <c r="B139" s="2273" t="s">
        <v>607</v>
      </c>
      <c r="C139" s="2274"/>
      <c r="D139" s="2274"/>
      <c r="E139" s="2275"/>
      <c r="F139" s="187"/>
    </row>
    <row r="140" spans="1:28" ht="17.25" customHeight="1" thickBot="1" x14ac:dyDescent="0.3">
      <c r="A140" s="2109"/>
      <c r="B140" s="2276" t="s">
        <v>185</v>
      </c>
      <c r="C140" s="2081"/>
      <c r="D140" s="2081"/>
      <c r="E140" s="2277"/>
      <c r="F140" s="187"/>
    </row>
    <row r="141" spans="1:28" ht="15.75" customHeight="1" x14ac:dyDescent="0.25">
      <c r="A141" s="2109"/>
      <c r="B141" s="2030" t="s">
        <v>621</v>
      </c>
      <c r="C141" s="2031"/>
      <c r="D141" s="865" t="s">
        <v>46</v>
      </c>
      <c r="E141" s="228">
        <f>IF(D141="S",D142,IF(D141="N",D143,0))</f>
        <v>648888888</v>
      </c>
      <c r="F141" s="187"/>
    </row>
    <row r="142" spans="1:28" ht="15.75" customHeight="1" x14ac:dyDescent="0.25">
      <c r="A142" s="2109"/>
      <c r="B142" s="665" t="s">
        <v>622</v>
      </c>
      <c r="C142" s="650"/>
      <c r="D142" s="609">
        <f>IF(($E$89&gt;0),C142,0)</f>
        <v>0</v>
      </c>
      <c r="E142" s="2263"/>
      <c r="F142" s="187"/>
    </row>
    <row r="143" spans="1:28" ht="15.75" customHeight="1" x14ac:dyDescent="0.25">
      <c r="A143" s="2109"/>
      <c r="B143" s="2265" t="s">
        <v>620</v>
      </c>
      <c r="C143" s="2266"/>
      <c r="D143" s="168">
        <f>IF(($E$89&gt;0),(D148-D149),0)</f>
        <v>648888888</v>
      </c>
      <c r="E143" s="2263"/>
      <c r="F143" s="187"/>
    </row>
    <row r="144" spans="1:28" ht="15.75" customHeight="1" x14ac:dyDescent="0.2">
      <c r="A144" s="2109"/>
      <c r="B144" s="2018" t="s">
        <v>186</v>
      </c>
      <c r="C144" s="2019"/>
      <c r="D144" s="864">
        <v>340000000</v>
      </c>
      <c r="E144" s="2263"/>
      <c r="F144" s="187"/>
    </row>
    <row r="145" spans="1:6" ht="15.75" customHeight="1" x14ac:dyDescent="0.2">
      <c r="A145" s="2109"/>
      <c r="B145" s="2018" t="s">
        <v>187</v>
      </c>
      <c r="C145" s="2019"/>
      <c r="D145" s="229">
        <f>C146-C147</f>
        <v>648888888</v>
      </c>
      <c r="E145" s="2263"/>
      <c r="F145" s="187"/>
    </row>
    <row r="146" spans="1:6" ht="15.75" customHeight="1" x14ac:dyDescent="0.2">
      <c r="A146" s="2109"/>
      <c r="B146" s="230" t="s">
        <v>188</v>
      </c>
      <c r="C146" s="146">
        <v>648888888</v>
      </c>
      <c r="D146" s="2253"/>
      <c r="E146" s="2263"/>
      <c r="F146" s="187"/>
    </row>
    <row r="147" spans="1:6" ht="19.5" customHeight="1" x14ac:dyDescent="0.2">
      <c r="A147" s="2109"/>
      <c r="B147" s="230" t="s">
        <v>190</v>
      </c>
      <c r="C147" s="146"/>
      <c r="D147" s="2253"/>
      <c r="E147" s="2263"/>
      <c r="F147" s="187"/>
    </row>
    <row r="148" spans="1:6" ht="15.75" customHeight="1" x14ac:dyDescent="0.2">
      <c r="A148" s="2109"/>
      <c r="B148" s="2018" t="s">
        <v>189</v>
      </c>
      <c r="C148" s="2019"/>
      <c r="D148" s="229">
        <f>+D145+D144</f>
        <v>988888888</v>
      </c>
      <c r="E148" s="2263"/>
      <c r="F148" s="187"/>
    </row>
    <row r="149" spans="1:6" ht="15.75" customHeight="1" thickBot="1" x14ac:dyDescent="0.25">
      <c r="A149" s="2109"/>
      <c r="B149" s="2269" t="s">
        <v>186</v>
      </c>
      <c r="C149" s="2270"/>
      <c r="D149" s="890">
        <v>340000000</v>
      </c>
      <c r="E149" s="2264"/>
      <c r="F149" s="187"/>
    </row>
    <row r="150" spans="1:6" ht="9.75" customHeight="1" thickBot="1" x14ac:dyDescent="0.25">
      <c r="A150" s="2109"/>
      <c r="B150" s="2317"/>
      <c r="C150" s="2317"/>
      <c r="D150" s="2317"/>
      <c r="E150" s="2318"/>
      <c r="F150" s="187"/>
    </row>
    <row r="151" spans="1:6" ht="33" customHeight="1" x14ac:dyDescent="0.2">
      <c r="A151" s="2109"/>
      <c r="B151" s="2124" t="s">
        <v>392</v>
      </c>
      <c r="C151" s="2125"/>
      <c r="D151" s="2126"/>
      <c r="E151" s="228">
        <f>IF(($E$94&gt;0),(D156-D157),0)</f>
        <v>0</v>
      </c>
      <c r="F151" s="187"/>
    </row>
    <row r="152" spans="1:6" ht="16.5" customHeight="1" x14ac:dyDescent="0.2">
      <c r="A152" s="2109"/>
      <c r="B152" s="2018" t="s">
        <v>186</v>
      </c>
      <c r="C152" s="2019"/>
      <c r="D152" s="200"/>
      <c r="E152" s="1877"/>
      <c r="F152" s="187"/>
    </row>
    <row r="153" spans="1:6" ht="16.5" customHeight="1" x14ac:dyDescent="0.2">
      <c r="A153" s="2109"/>
      <c r="B153" s="2018" t="s">
        <v>187</v>
      </c>
      <c r="C153" s="2019"/>
      <c r="D153" s="229">
        <f>C154-C155</f>
        <v>0</v>
      </c>
      <c r="E153" s="1877"/>
      <c r="F153" s="187"/>
    </row>
    <row r="154" spans="1:6" ht="16.5" customHeight="1" x14ac:dyDescent="0.2">
      <c r="A154" s="2109"/>
      <c r="B154" s="230" t="s">
        <v>188</v>
      </c>
      <c r="C154" s="146"/>
      <c r="D154" s="2253"/>
      <c r="E154" s="1877"/>
      <c r="F154" s="187"/>
    </row>
    <row r="155" spans="1:6" ht="16.5" customHeight="1" x14ac:dyDescent="0.2">
      <c r="A155" s="2109"/>
      <c r="B155" s="230" t="s">
        <v>190</v>
      </c>
      <c r="C155" s="146"/>
      <c r="D155" s="2253"/>
      <c r="E155" s="1877"/>
      <c r="F155" s="187"/>
    </row>
    <row r="156" spans="1:6" ht="16.5" customHeight="1" x14ac:dyDescent="0.2">
      <c r="A156" s="2109"/>
      <c r="B156" s="2018" t="s">
        <v>189</v>
      </c>
      <c r="C156" s="2019"/>
      <c r="D156" s="229">
        <f>+D153+D152</f>
        <v>0</v>
      </c>
      <c r="E156" s="1877"/>
      <c r="F156" s="187"/>
    </row>
    <row r="157" spans="1:6" ht="16.5" customHeight="1" thickBot="1" x14ac:dyDescent="0.3">
      <c r="A157" s="2109"/>
      <c r="B157" s="2269" t="s">
        <v>186</v>
      </c>
      <c r="C157" s="2270"/>
      <c r="D157" s="201"/>
      <c r="E157" s="2022"/>
      <c r="F157" s="187"/>
    </row>
    <row r="158" spans="1:6" ht="12" customHeight="1" thickBot="1" x14ac:dyDescent="0.25">
      <c r="A158" s="2109"/>
      <c r="B158" s="2332"/>
      <c r="C158" s="2332"/>
      <c r="D158" s="2332"/>
      <c r="E158" s="2333"/>
      <c r="F158" s="187"/>
    </row>
    <row r="159" spans="1:6" ht="18" customHeight="1" x14ac:dyDescent="0.25">
      <c r="A159" s="2109"/>
      <c r="B159" s="2334" t="s">
        <v>388</v>
      </c>
      <c r="C159" s="2335"/>
      <c r="D159" s="2335"/>
      <c r="E159" s="228">
        <f>IF(($E$91&gt;0),SUM(D160:D164),0)</f>
        <v>0</v>
      </c>
      <c r="F159" s="187"/>
    </row>
    <row r="160" spans="1:6" s="163" customFormat="1" ht="15" customHeight="1" x14ac:dyDescent="0.2">
      <c r="A160" s="2109"/>
      <c r="B160" s="2267" t="s">
        <v>191</v>
      </c>
      <c r="C160" s="2268"/>
      <c r="D160" s="202"/>
      <c r="E160" s="2256"/>
      <c r="F160" s="199"/>
    </row>
    <row r="161" spans="1:6" s="163" customFormat="1" ht="15" customHeight="1" x14ac:dyDescent="0.2">
      <c r="A161" s="2109"/>
      <c r="B161" s="2267" t="s">
        <v>814</v>
      </c>
      <c r="C161" s="2268"/>
      <c r="D161" s="202"/>
      <c r="E161" s="2257"/>
      <c r="F161" s="199"/>
    </row>
    <row r="162" spans="1:6" s="163" customFormat="1" ht="15" customHeight="1" x14ac:dyDescent="0.2">
      <c r="A162" s="2109"/>
      <c r="B162" s="2018" t="s">
        <v>192</v>
      </c>
      <c r="C162" s="2019"/>
      <c r="D162" s="203"/>
      <c r="E162" s="2257"/>
      <c r="F162" s="199"/>
    </row>
    <row r="163" spans="1:6" s="163" customFormat="1" ht="15" customHeight="1" x14ac:dyDescent="0.2">
      <c r="A163" s="2109"/>
      <c r="B163" s="2018" t="s">
        <v>193</v>
      </c>
      <c r="C163" s="2019"/>
      <c r="D163" s="203"/>
      <c r="E163" s="2257"/>
      <c r="F163" s="199"/>
    </row>
    <row r="164" spans="1:6" s="163" customFormat="1" ht="21.75" customHeight="1" thickBot="1" x14ac:dyDescent="0.25">
      <c r="A164" s="2109"/>
      <c r="B164" s="2271" t="s">
        <v>194</v>
      </c>
      <c r="C164" s="2272"/>
      <c r="D164" s="204"/>
      <c r="E164" s="2258"/>
      <c r="F164" s="199"/>
    </row>
    <row r="165" spans="1:6" ht="9.75" customHeight="1" thickBot="1" x14ac:dyDescent="0.25">
      <c r="A165" s="2109"/>
      <c r="B165" s="2317"/>
      <c r="C165" s="2317"/>
      <c r="D165" s="2317"/>
      <c r="E165" s="2318"/>
      <c r="F165" s="187"/>
    </row>
    <row r="166" spans="1:6" ht="17.25" customHeight="1" x14ac:dyDescent="0.25">
      <c r="A166" s="2109"/>
      <c r="B166" s="2334" t="s">
        <v>535</v>
      </c>
      <c r="C166" s="2335"/>
      <c r="D166" s="2335"/>
      <c r="E166" s="228">
        <f>IF((E92)&gt;0,SUM(D167:D172),0)</f>
        <v>0</v>
      </c>
      <c r="F166" s="187"/>
    </row>
    <row r="167" spans="1:6" s="163" customFormat="1" ht="15.75" customHeight="1" x14ac:dyDescent="0.2">
      <c r="A167" s="2109"/>
      <c r="B167" s="2018" t="s">
        <v>616</v>
      </c>
      <c r="C167" s="2019"/>
      <c r="D167" s="205"/>
      <c r="E167" s="2259"/>
      <c r="F167" s="199"/>
    </row>
    <row r="168" spans="1:6" s="163" customFormat="1" ht="15.75" customHeight="1" x14ac:dyDescent="0.2">
      <c r="A168" s="2109"/>
      <c r="B168" s="2254" t="s">
        <v>419</v>
      </c>
      <c r="C168" s="2255"/>
      <c r="D168" s="598"/>
      <c r="E168" s="2256"/>
      <c r="F168" s="199"/>
    </row>
    <row r="169" spans="1:6" s="163" customFormat="1" ht="15.75" customHeight="1" x14ac:dyDescent="0.2">
      <c r="A169" s="2109"/>
      <c r="B169" s="2254" t="s">
        <v>812</v>
      </c>
      <c r="C169" s="2255"/>
      <c r="D169" s="598"/>
      <c r="E169" s="2256"/>
      <c r="F169" s="199"/>
    </row>
    <row r="170" spans="1:6" s="163" customFormat="1" ht="15.75" customHeight="1" x14ac:dyDescent="0.2">
      <c r="A170" s="2109"/>
      <c r="B170" s="2254" t="s">
        <v>813</v>
      </c>
      <c r="C170" s="2255"/>
      <c r="D170" s="598"/>
      <c r="E170" s="2256"/>
      <c r="F170" s="199"/>
    </row>
    <row r="171" spans="1:6" s="163" customFormat="1" ht="15.75" customHeight="1" x14ac:dyDescent="0.2">
      <c r="A171" s="2109"/>
      <c r="B171" s="2254" t="s">
        <v>615</v>
      </c>
      <c r="C171" s="2255"/>
      <c r="D171" s="598"/>
      <c r="E171" s="2256"/>
      <c r="F171" s="199"/>
    </row>
    <row r="172" spans="1:6" s="163" customFormat="1" ht="15.75" customHeight="1" thickBot="1" x14ac:dyDescent="0.25">
      <c r="A172" s="2109"/>
      <c r="B172" s="2269" t="s">
        <v>195</v>
      </c>
      <c r="C172" s="2270"/>
      <c r="D172" s="206"/>
      <c r="E172" s="2260"/>
      <c r="F172" s="199"/>
    </row>
    <row r="173" spans="1:6" ht="9" customHeight="1" thickBot="1" x14ac:dyDescent="0.3">
      <c r="A173" s="2109"/>
      <c r="B173" s="2081"/>
      <c r="C173" s="2081"/>
      <c r="D173" s="2081"/>
      <c r="E173" s="2081"/>
      <c r="F173" s="187"/>
    </row>
    <row r="174" spans="1:6" ht="17.25" customHeight="1" thickBot="1" x14ac:dyDescent="0.3">
      <c r="A174" s="2109"/>
      <c r="B174" s="2322" t="s">
        <v>361</v>
      </c>
      <c r="C174" s="2323"/>
      <c r="D174" s="985" t="s">
        <v>68</v>
      </c>
      <c r="E174" s="986" t="s">
        <v>888</v>
      </c>
      <c r="F174" s="187"/>
    </row>
    <row r="175" spans="1:6" s="163" customFormat="1" ht="16.5" customHeight="1" x14ac:dyDescent="0.2">
      <c r="A175" s="2109"/>
      <c r="B175" s="2324" t="str">
        <f>+B62</f>
        <v>VENTA DE ACTIVOS FIJOS # 1</v>
      </c>
      <c r="C175" s="2325"/>
      <c r="D175" s="987"/>
      <c r="E175" s="988">
        <v>50000000</v>
      </c>
      <c r="F175" s="199"/>
    </row>
    <row r="176" spans="1:6" s="163" customFormat="1" ht="16.5" customHeight="1" thickBot="1" x14ac:dyDescent="0.25">
      <c r="A176" s="2109"/>
      <c r="B176" s="2326" t="str">
        <f>+B64</f>
        <v>VENTA DE ACTIVOS FIJOS # 2</v>
      </c>
      <c r="C176" s="2327"/>
      <c r="D176" s="989"/>
      <c r="E176" s="208">
        <v>50000000</v>
      </c>
      <c r="F176" s="199"/>
    </row>
    <row r="177" spans="1:6" s="163" customFormat="1" ht="10.5" customHeight="1" thickBot="1" x14ac:dyDescent="0.25">
      <c r="A177" s="2109"/>
      <c r="B177" s="2091"/>
      <c r="C177" s="2091"/>
      <c r="D177" s="2091"/>
      <c r="E177" s="2091"/>
      <c r="F177" s="199"/>
    </row>
    <row r="178" spans="1:6" ht="17.25" customHeight="1" x14ac:dyDescent="0.25">
      <c r="A178" s="2109"/>
      <c r="B178" s="2319" t="s">
        <v>635</v>
      </c>
      <c r="C178" s="2320"/>
      <c r="D178" s="2320"/>
      <c r="E178" s="2321"/>
      <c r="F178" s="187"/>
    </row>
    <row r="179" spans="1:6" s="163" customFormat="1" ht="16.5" customHeight="1" x14ac:dyDescent="0.2">
      <c r="A179" s="2109"/>
      <c r="B179" s="2330" t="s">
        <v>304</v>
      </c>
      <c r="C179" s="1881"/>
      <c r="D179" s="1882"/>
      <c r="E179" s="207"/>
      <c r="F179" s="199"/>
    </row>
    <row r="180" spans="1:6" s="163" customFormat="1" ht="16.5" customHeight="1" thickBot="1" x14ac:dyDescent="0.25">
      <c r="A180" s="2109"/>
      <c r="B180" s="2331"/>
      <c r="C180" s="2331"/>
      <c r="D180" s="2331"/>
      <c r="E180" s="2331"/>
      <c r="F180" s="199"/>
    </row>
    <row r="181" spans="1:6" s="163" customFormat="1" ht="18.75" customHeight="1" x14ac:dyDescent="0.2">
      <c r="A181" s="2109"/>
      <c r="B181" s="2012" t="s">
        <v>418</v>
      </c>
      <c r="C181" s="2013"/>
      <c r="D181" s="2013"/>
      <c r="E181" s="167">
        <f>IF((E93)&gt;0,SUM(D182:D187),0)</f>
        <v>0</v>
      </c>
      <c r="F181" s="199"/>
    </row>
    <row r="182" spans="1:6" s="163" customFormat="1" ht="14.25" customHeight="1" x14ac:dyDescent="0.2">
      <c r="A182" s="2109"/>
      <c r="B182" s="2014" t="s">
        <v>419</v>
      </c>
      <c r="C182" s="2015"/>
      <c r="D182" s="160"/>
      <c r="E182" s="1877"/>
      <c r="F182" s="199"/>
    </row>
    <row r="183" spans="1:6" s="163" customFormat="1" ht="14.25" customHeight="1" x14ac:dyDescent="0.2">
      <c r="A183" s="2109"/>
      <c r="B183" s="2014" t="s">
        <v>610</v>
      </c>
      <c r="C183" s="2015"/>
      <c r="D183" s="160"/>
      <c r="E183" s="1877"/>
      <c r="F183" s="199"/>
    </row>
    <row r="184" spans="1:6" s="163" customFormat="1" ht="14.25" customHeight="1" x14ac:dyDescent="0.2">
      <c r="A184" s="2109"/>
      <c r="B184" s="2014" t="s">
        <v>624</v>
      </c>
      <c r="C184" s="2015"/>
      <c r="D184" s="160"/>
      <c r="E184" s="1877"/>
      <c r="F184" s="199"/>
    </row>
    <row r="185" spans="1:6" s="163" customFormat="1" ht="14.25" customHeight="1" x14ac:dyDescent="0.2">
      <c r="A185" s="2109"/>
      <c r="B185" s="2014" t="s">
        <v>421</v>
      </c>
      <c r="C185" s="2015"/>
      <c r="D185" s="160"/>
      <c r="E185" s="1877"/>
      <c r="F185" s="199"/>
    </row>
    <row r="186" spans="1:6" s="163" customFormat="1" ht="14.25" customHeight="1" x14ac:dyDescent="0.2">
      <c r="A186" s="2109"/>
      <c r="B186" s="2014" t="s">
        <v>420</v>
      </c>
      <c r="C186" s="2015"/>
      <c r="D186" s="160"/>
      <c r="E186" s="1877"/>
      <c r="F186" s="199"/>
    </row>
    <row r="187" spans="1:6" s="163" customFormat="1" ht="14.25" customHeight="1" thickBot="1" x14ac:dyDescent="0.25">
      <c r="A187" s="2109"/>
      <c r="B187" s="2016" t="s">
        <v>304</v>
      </c>
      <c r="C187" s="2017"/>
      <c r="D187" s="592"/>
      <c r="E187" s="2022"/>
      <c r="F187" s="199"/>
    </row>
    <row r="188" spans="1:6" s="163" customFormat="1" ht="10.5" customHeight="1" thickBot="1" x14ac:dyDescent="0.25">
      <c r="A188" s="2109"/>
      <c r="B188" s="385"/>
      <c r="C188" s="385"/>
      <c r="D188" s="385"/>
      <c r="E188" s="385"/>
      <c r="F188" s="199"/>
    </row>
    <row r="189" spans="1:6" s="163" customFormat="1" ht="16.5" customHeight="1" x14ac:dyDescent="0.2">
      <c r="A189" s="2109"/>
      <c r="B189" s="2328" t="s">
        <v>509</v>
      </c>
      <c r="C189" s="2329"/>
      <c r="D189" s="2329"/>
      <c r="E189" s="291">
        <f>IF((E88)&gt;0,SUM(D190:D196),0)</f>
        <v>0</v>
      </c>
      <c r="F189" s="199"/>
    </row>
    <row r="190" spans="1:6" s="163" customFormat="1" ht="11.25" customHeight="1" x14ac:dyDescent="0.2">
      <c r="A190" s="2109"/>
      <c r="B190" s="2014" t="s">
        <v>510</v>
      </c>
      <c r="C190" s="2015"/>
      <c r="D190" s="650"/>
      <c r="E190" s="1877"/>
      <c r="F190" s="199"/>
    </row>
    <row r="191" spans="1:6" s="163" customFormat="1" ht="11.25" customHeight="1" x14ac:dyDescent="0.2">
      <c r="A191" s="2109"/>
      <c r="B191" s="2014" t="s">
        <v>512</v>
      </c>
      <c r="C191" s="2015"/>
      <c r="D191" s="650"/>
      <c r="E191" s="1877"/>
      <c r="F191" s="199"/>
    </row>
    <row r="192" spans="1:6" s="163" customFormat="1" ht="11.25" customHeight="1" x14ac:dyDescent="0.2">
      <c r="A192" s="2109"/>
      <c r="B192" s="2014" t="s">
        <v>625</v>
      </c>
      <c r="C192" s="2015"/>
      <c r="D192" s="650"/>
      <c r="E192" s="1877"/>
      <c r="F192" s="199"/>
    </row>
    <row r="193" spans="1:6" s="163" customFormat="1" ht="11.25" customHeight="1" x14ac:dyDescent="0.2">
      <c r="A193" s="2109"/>
      <c r="B193" s="2014" t="s">
        <v>511</v>
      </c>
      <c r="C193" s="2015"/>
      <c r="D193" s="650"/>
      <c r="E193" s="1877"/>
      <c r="F193" s="199"/>
    </row>
    <row r="194" spans="1:6" s="163" customFormat="1" ht="11.25" customHeight="1" x14ac:dyDescent="0.2">
      <c r="A194" s="2109"/>
      <c r="B194" s="2014" t="s">
        <v>513</v>
      </c>
      <c r="C194" s="2015"/>
      <c r="D194" s="650"/>
      <c r="E194" s="1877"/>
      <c r="F194" s="199"/>
    </row>
    <row r="195" spans="1:6" s="163" customFormat="1" ht="11.25" customHeight="1" x14ac:dyDescent="0.2">
      <c r="A195" s="2109"/>
      <c r="B195" s="2014" t="s">
        <v>514</v>
      </c>
      <c r="C195" s="2015"/>
      <c r="D195" s="650"/>
      <c r="E195" s="1877"/>
      <c r="F195" s="199"/>
    </row>
    <row r="196" spans="1:6" s="163" customFormat="1" ht="11.25" customHeight="1" thickBot="1" x14ac:dyDescent="0.25">
      <c r="A196" s="2109"/>
      <c r="B196" s="2016" t="s">
        <v>304</v>
      </c>
      <c r="C196" s="2017"/>
      <c r="D196" s="651"/>
      <c r="E196" s="2022"/>
      <c r="F196" s="199"/>
    </row>
    <row r="197" spans="1:6" s="163" customFormat="1" ht="16.5" customHeight="1" x14ac:dyDescent="0.25">
      <c r="A197" s="2109"/>
      <c r="B197" s="2000" t="s">
        <v>368</v>
      </c>
      <c r="C197" s="2001"/>
      <c r="D197" s="2001"/>
      <c r="E197" s="358">
        <f>IF((E90)&gt;0,SUM(+D198),0)</f>
        <v>0</v>
      </c>
      <c r="F197" s="199"/>
    </row>
    <row r="198" spans="1:6" s="163" customFormat="1" ht="15" customHeight="1" x14ac:dyDescent="0.25">
      <c r="A198" s="2109"/>
      <c r="B198" s="1975" t="s">
        <v>357</v>
      </c>
      <c r="C198" s="1976"/>
      <c r="D198" s="672">
        <f>IF((E90)&gt;0,SUM(D199:D205),0)</f>
        <v>0</v>
      </c>
      <c r="E198" s="1977"/>
      <c r="F198" s="199"/>
    </row>
    <row r="199" spans="1:6" s="163" customFormat="1" ht="12.75" customHeight="1" x14ac:dyDescent="0.2">
      <c r="A199" s="2109"/>
      <c r="B199" s="1980" t="s">
        <v>933</v>
      </c>
      <c r="C199" s="1981"/>
      <c r="D199" s="209">
        <v>36000000</v>
      </c>
      <c r="E199" s="1978"/>
      <c r="F199" s="199"/>
    </row>
    <row r="200" spans="1:6" s="163" customFormat="1" ht="12.75" customHeight="1" x14ac:dyDescent="0.2">
      <c r="A200" s="2109"/>
      <c r="B200" s="1982" t="s">
        <v>934</v>
      </c>
      <c r="C200" s="1983"/>
      <c r="D200" s="209">
        <v>109000000</v>
      </c>
      <c r="E200" s="1978"/>
      <c r="F200" s="199"/>
    </row>
    <row r="201" spans="1:6" s="163" customFormat="1" ht="16.5" customHeight="1" x14ac:dyDescent="0.2">
      <c r="A201" s="2109"/>
      <c r="B201" s="1984" t="s">
        <v>935</v>
      </c>
      <c r="C201" s="1985"/>
      <c r="D201" s="209">
        <v>34908000</v>
      </c>
      <c r="E201" s="1978"/>
      <c r="F201" s="199"/>
    </row>
    <row r="202" spans="1:6" s="163" customFormat="1" ht="18.75" customHeight="1" x14ac:dyDescent="0.2">
      <c r="A202" s="2109"/>
      <c r="B202" s="1984" t="s">
        <v>936</v>
      </c>
      <c r="C202" s="1985"/>
      <c r="D202" s="209">
        <v>8708345</v>
      </c>
      <c r="E202" s="1978"/>
      <c r="F202" s="199"/>
    </row>
    <row r="203" spans="1:6" s="163" customFormat="1" ht="12.75" customHeight="1" x14ac:dyDescent="0.2">
      <c r="A203" s="2109"/>
      <c r="B203" s="1986" t="s">
        <v>937</v>
      </c>
      <c r="C203" s="1987"/>
      <c r="D203" s="209">
        <v>24079000</v>
      </c>
      <c r="E203" s="1978"/>
      <c r="F203" s="199"/>
    </row>
    <row r="204" spans="1:6" s="163" customFormat="1" ht="12.75" customHeight="1" x14ac:dyDescent="0.2">
      <c r="A204" s="2109"/>
      <c r="B204" s="1986" t="s">
        <v>277</v>
      </c>
      <c r="C204" s="1987"/>
      <c r="D204" s="209"/>
      <c r="E204" s="1978"/>
      <c r="F204" s="199"/>
    </row>
    <row r="205" spans="1:6" s="163" customFormat="1" ht="12.75" customHeight="1" thickBot="1" x14ac:dyDescent="0.25">
      <c r="A205" s="2109"/>
      <c r="B205" s="1988" t="s">
        <v>807</v>
      </c>
      <c r="C205" s="1989"/>
      <c r="D205" s="1056">
        <v>0</v>
      </c>
      <c r="E205" s="1979"/>
      <c r="F205" s="199"/>
    </row>
    <row r="206" spans="1:6" s="163" customFormat="1" ht="12.75" customHeight="1" thickBot="1" x14ac:dyDescent="0.25">
      <c r="A206" s="2109"/>
      <c r="B206" s="385"/>
      <c r="C206" s="385"/>
      <c r="D206" s="385"/>
      <c r="E206" s="385"/>
      <c r="F206" s="199"/>
    </row>
    <row r="207" spans="1:6" s="163" customFormat="1" ht="20.25" customHeight="1" x14ac:dyDescent="0.25">
      <c r="A207" s="2109"/>
      <c r="B207" s="2000" t="s">
        <v>313</v>
      </c>
      <c r="C207" s="2001"/>
      <c r="D207" s="2001"/>
      <c r="E207" s="358">
        <f>IF((E53+E55)&gt;0,SUM(+D208+D215),0)</f>
        <v>227648915</v>
      </c>
      <c r="F207" s="199"/>
    </row>
    <row r="208" spans="1:6" s="163" customFormat="1" ht="20.25" customHeight="1" x14ac:dyDescent="0.25">
      <c r="A208" s="2109"/>
      <c r="B208" s="1975" t="s">
        <v>357</v>
      </c>
      <c r="C208" s="1976"/>
      <c r="D208" s="672">
        <f>IF((E53+E55)&gt;0,SUM(D209:D214),0)</f>
        <v>212695345</v>
      </c>
      <c r="E208" s="1977"/>
      <c r="F208" s="199"/>
    </row>
    <row r="209" spans="1:6" s="163" customFormat="1" ht="15" customHeight="1" x14ac:dyDescent="0.2">
      <c r="A209" s="2109"/>
      <c r="B209" s="1980" t="s">
        <v>597</v>
      </c>
      <c r="C209" s="1981"/>
      <c r="D209" s="209">
        <v>36000000</v>
      </c>
      <c r="E209" s="1978"/>
      <c r="F209" s="199"/>
    </row>
    <row r="210" spans="1:6" s="163" customFormat="1" ht="15" customHeight="1" x14ac:dyDescent="0.2">
      <c r="A210" s="2109"/>
      <c r="B210" s="1982" t="s">
        <v>599</v>
      </c>
      <c r="C210" s="1983"/>
      <c r="D210" s="209">
        <v>109000000</v>
      </c>
      <c r="E210" s="1978"/>
      <c r="F210" s="199"/>
    </row>
    <row r="211" spans="1:6" s="163" customFormat="1" ht="18" customHeight="1" x14ac:dyDescent="0.2">
      <c r="A211" s="2109"/>
      <c r="B211" s="1984" t="s">
        <v>600</v>
      </c>
      <c r="C211" s="1985"/>
      <c r="D211" s="209">
        <v>34908000</v>
      </c>
      <c r="E211" s="1978"/>
      <c r="F211" s="199"/>
    </row>
    <row r="212" spans="1:6" s="163" customFormat="1" ht="18" customHeight="1" x14ac:dyDescent="0.2">
      <c r="A212" s="2109"/>
      <c r="B212" s="1984" t="s">
        <v>601</v>
      </c>
      <c r="C212" s="1985"/>
      <c r="D212" s="209">
        <v>8708345</v>
      </c>
      <c r="E212" s="1978"/>
      <c r="F212" s="199"/>
    </row>
    <row r="213" spans="1:6" s="163" customFormat="1" ht="13.5" customHeight="1" x14ac:dyDescent="0.2">
      <c r="A213" s="2109"/>
      <c r="B213" s="1986" t="s">
        <v>598</v>
      </c>
      <c r="C213" s="1987"/>
      <c r="D213" s="209">
        <v>24079000</v>
      </c>
      <c r="E213" s="1978"/>
      <c r="F213" s="199"/>
    </row>
    <row r="214" spans="1:6" s="163" customFormat="1" ht="15.75" customHeight="1" x14ac:dyDescent="0.2">
      <c r="A214" s="2109"/>
      <c r="B214" s="1986" t="s">
        <v>807</v>
      </c>
      <c r="C214" s="1987"/>
      <c r="D214" s="209">
        <v>0</v>
      </c>
      <c r="E214" s="1978"/>
      <c r="F214" s="199"/>
    </row>
    <row r="215" spans="1:6" s="163" customFormat="1" ht="15.75" customHeight="1" x14ac:dyDescent="0.25">
      <c r="A215" s="2109"/>
      <c r="B215" s="1975" t="s">
        <v>637</v>
      </c>
      <c r="C215" s="1976"/>
      <c r="D215" s="674">
        <f>IF((E53+E55)&gt;0,SUM(D216:D220),0)</f>
        <v>14953569.999999998</v>
      </c>
      <c r="E215" s="1978"/>
      <c r="F215" s="199"/>
    </row>
    <row r="216" spans="1:6" s="163" customFormat="1" ht="15.75" customHeight="1" x14ac:dyDescent="0.2">
      <c r="A216" s="2109"/>
      <c r="B216" s="1982" t="s">
        <v>520</v>
      </c>
      <c r="C216" s="1983"/>
      <c r="D216" s="209">
        <v>2397600</v>
      </c>
      <c r="E216" s="1978"/>
      <c r="F216" s="199"/>
    </row>
    <row r="217" spans="1:6" s="163" customFormat="1" ht="15.75" customHeight="1" x14ac:dyDescent="0.2">
      <c r="A217" s="2109"/>
      <c r="B217" s="1982" t="s">
        <v>473</v>
      </c>
      <c r="C217" s="1983"/>
      <c r="D217" s="209"/>
      <c r="E217" s="1978"/>
      <c r="F217" s="199"/>
    </row>
    <row r="218" spans="1:6" s="163" customFormat="1" ht="15.75" customHeight="1" x14ac:dyDescent="0.2">
      <c r="A218" s="2109"/>
      <c r="B218" s="1982" t="s">
        <v>808</v>
      </c>
      <c r="C218" s="1983"/>
      <c r="D218" s="209"/>
      <c r="E218" s="1978"/>
      <c r="F218" s="199"/>
    </row>
    <row r="219" spans="1:6" s="163" customFormat="1" ht="15.75" customHeight="1" x14ac:dyDescent="0.2">
      <c r="A219" s="2109"/>
      <c r="B219" s="863" t="s">
        <v>549</v>
      </c>
      <c r="C219" s="888">
        <v>19820000</v>
      </c>
      <c r="D219" s="674">
        <f>IF(C219&gt;0,(C219*(1-0.3665)),0)</f>
        <v>12555969.999999998</v>
      </c>
      <c r="E219" s="1978"/>
      <c r="F219" s="199"/>
    </row>
    <row r="220" spans="1:6" s="163" customFormat="1" ht="15.75" customHeight="1" thickBot="1" x14ac:dyDescent="0.25">
      <c r="A220" s="2109"/>
      <c r="B220" s="1982" t="s">
        <v>424</v>
      </c>
      <c r="C220" s="1983"/>
      <c r="D220" s="209"/>
      <c r="E220" s="1979"/>
      <c r="F220" s="199"/>
    </row>
    <row r="221" spans="1:6" s="163" customFormat="1" ht="15.75" customHeight="1" thickBot="1" x14ac:dyDescent="0.3">
      <c r="A221" s="2109"/>
      <c r="B221" s="2279" t="s">
        <v>748</v>
      </c>
      <c r="C221" s="2280"/>
      <c r="D221" s="2316"/>
      <c r="E221" s="675">
        <f>+D208+D215</f>
        <v>227648915</v>
      </c>
      <c r="F221" s="199"/>
    </row>
    <row r="222" spans="1:6" s="163" customFormat="1" ht="16.5" customHeight="1" thickBot="1" x14ac:dyDescent="0.3">
      <c r="A222" s="2109"/>
      <c r="B222" s="2307" t="s">
        <v>642</v>
      </c>
      <c r="C222" s="2308"/>
      <c r="D222" s="2309"/>
      <c r="E222" s="1156">
        <f>+E207+E175+E176+E166+E159+E141+E151+E181+E189+E197+E179</f>
        <v>976537803</v>
      </c>
      <c r="F222" s="199"/>
    </row>
    <row r="223" spans="1:6" s="163" customFormat="1" ht="12.75" customHeight="1" thickBot="1" x14ac:dyDescent="0.25">
      <c r="A223" s="2109"/>
      <c r="B223" s="1844"/>
      <c r="C223" s="1844"/>
      <c r="D223" s="1844"/>
      <c r="E223" s="1844"/>
      <c r="F223" s="199"/>
    </row>
    <row r="224" spans="1:6" ht="18" customHeight="1" thickBot="1" x14ac:dyDescent="0.3">
      <c r="A224" s="2109"/>
      <c r="B224" s="2298" t="s">
        <v>515</v>
      </c>
      <c r="C224" s="2299"/>
      <c r="D224" s="2299"/>
      <c r="E224" s="2300"/>
      <c r="F224" s="187"/>
    </row>
    <row r="225" spans="1:6" ht="18.75" customHeight="1" x14ac:dyDescent="0.2">
      <c r="A225" s="2109"/>
      <c r="B225" s="2167" t="s">
        <v>135</v>
      </c>
      <c r="C225" s="2168"/>
      <c r="D225" s="2168"/>
      <c r="E225" s="1065"/>
      <c r="F225" s="187"/>
    </row>
    <row r="226" spans="1:6" ht="24.75" customHeight="1" x14ac:dyDescent="0.2">
      <c r="A226" s="2109"/>
      <c r="B226" s="2089" t="s">
        <v>518</v>
      </c>
      <c r="C226" s="1069"/>
      <c r="D226" s="1069"/>
      <c r="E226" s="2080">
        <f>SUM(C226:D227)</f>
        <v>2</v>
      </c>
      <c r="F226" s="187"/>
    </row>
    <row r="227" spans="1:6" ht="24" customHeight="1" x14ac:dyDescent="0.2">
      <c r="A227" s="2109"/>
      <c r="B227" s="2090"/>
      <c r="C227" s="1058">
        <v>1</v>
      </c>
      <c r="D227" s="1058">
        <v>1</v>
      </c>
      <c r="E227" s="2080"/>
      <c r="F227" s="187"/>
    </row>
    <row r="228" spans="1:6" ht="28.5" customHeight="1" x14ac:dyDescent="0.2">
      <c r="A228" s="2109"/>
      <c r="B228" s="1059" t="s">
        <v>519</v>
      </c>
      <c r="C228" s="1058"/>
      <c r="D228" s="1058">
        <v>1</v>
      </c>
      <c r="E228" s="1057">
        <f>SUM(C228:D228)</f>
        <v>1</v>
      </c>
      <c r="F228" s="187"/>
    </row>
    <row r="229" spans="1:6" ht="25.5" customHeight="1" x14ac:dyDescent="0.2">
      <c r="A229" s="2109"/>
      <c r="B229" s="1060" t="s">
        <v>522</v>
      </c>
      <c r="C229" s="1058"/>
      <c r="D229" s="1058"/>
      <c r="E229" s="1057">
        <f t="shared" ref="E229:E237" si="1">SUM(C229:D229)</f>
        <v>0</v>
      </c>
      <c r="F229" s="187"/>
    </row>
    <row r="230" spans="1:6" ht="24.75" customHeight="1" x14ac:dyDescent="0.2">
      <c r="A230" s="2109"/>
      <c r="B230" s="1061" t="s">
        <v>521</v>
      </c>
      <c r="C230" s="1058"/>
      <c r="D230" s="1058"/>
      <c r="E230" s="1057">
        <f t="shared" si="1"/>
        <v>0</v>
      </c>
      <c r="F230" s="187"/>
    </row>
    <row r="231" spans="1:6" ht="24.75" customHeight="1" x14ac:dyDescent="0.2">
      <c r="A231" s="2109"/>
      <c r="B231" s="1061" t="s">
        <v>939</v>
      </c>
      <c r="C231" s="1058"/>
      <c r="D231" s="1058"/>
      <c r="E231" s="1057">
        <f t="shared" si="1"/>
        <v>0</v>
      </c>
      <c r="F231" s="187"/>
    </row>
    <row r="232" spans="1:6" ht="33" customHeight="1" x14ac:dyDescent="0.2">
      <c r="A232" s="2109"/>
      <c r="B232" s="1066" t="s">
        <v>940</v>
      </c>
      <c r="C232" s="1058"/>
      <c r="D232" s="1058"/>
      <c r="E232" s="1057">
        <f t="shared" si="1"/>
        <v>0</v>
      </c>
      <c r="F232" s="187"/>
    </row>
    <row r="233" spans="1:6" ht="33" customHeight="1" x14ac:dyDescent="0.2">
      <c r="A233" s="2109"/>
      <c r="B233" s="1066" t="s">
        <v>942</v>
      </c>
      <c r="C233" s="1058"/>
      <c r="D233" s="1058"/>
      <c r="E233" s="1057">
        <f t="shared" si="1"/>
        <v>0</v>
      </c>
      <c r="F233" s="187"/>
    </row>
    <row r="234" spans="1:6" ht="33" customHeight="1" x14ac:dyDescent="0.2">
      <c r="A234" s="2109"/>
      <c r="B234" s="1066" t="s">
        <v>941</v>
      </c>
      <c r="C234" s="1058"/>
      <c r="D234" s="1058"/>
      <c r="E234" s="1057">
        <f t="shared" si="1"/>
        <v>0</v>
      </c>
      <c r="F234" s="187"/>
    </row>
    <row r="235" spans="1:6" ht="25.5" customHeight="1" x14ac:dyDescent="0.2">
      <c r="A235" s="2109"/>
      <c r="B235" s="1067" t="s">
        <v>473</v>
      </c>
      <c r="C235" s="1058"/>
      <c r="D235" s="1058"/>
      <c r="E235" s="1057">
        <f t="shared" si="1"/>
        <v>0</v>
      </c>
      <c r="F235" s="187"/>
    </row>
    <row r="236" spans="1:6" ht="28.5" customHeight="1" x14ac:dyDescent="0.2">
      <c r="A236" s="2109"/>
      <c r="B236" s="1067" t="s">
        <v>523</v>
      </c>
      <c r="C236" s="1058"/>
      <c r="D236" s="1058"/>
      <c r="E236" s="1057">
        <f t="shared" si="1"/>
        <v>0</v>
      </c>
      <c r="F236" s="187"/>
    </row>
    <row r="237" spans="1:6" ht="28.5" customHeight="1" x14ac:dyDescent="0.2">
      <c r="A237" s="2109"/>
      <c r="B237" s="1067" t="s">
        <v>938</v>
      </c>
      <c r="C237" s="1058"/>
      <c r="D237" s="1058"/>
      <c r="E237" s="1057">
        <f t="shared" si="1"/>
        <v>0</v>
      </c>
      <c r="F237" s="187"/>
    </row>
    <row r="238" spans="1:6" ht="27" customHeight="1" thickBot="1" x14ac:dyDescent="0.25">
      <c r="A238" s="2109"/>
      <c r="B238" s="1068" t="s">
        <v>424</v>
      </c>
      <c r="C238" s="1062"/>
      <c r="D238" s="1063"/>
      <c r="E238" s="1064">
        <f>SUM(C238:D238)</f>
        <v>0</v>
      </c>
      <c r="F238" s="187"/>
    </row>
    <row r="239" spans="1:6" ht="20.25" customHeight="1" thickBot="1" x14ac:dyDescent="0.3">
      <c r="A239" s="2109"/>
      <c r="B239" s="2304" t="s">
        <v>517</v>
      </c>
      <c r="C239" s="2305"/>
      <c r="D239" s="2305"/>
      <c r="E239" s="2306"/>
      <c r="F239" s="187"/>
    </row>
    <row r="240" spans="1:6" ht="20.25" hidden="1" customHeight="1" x14ac:dyDescent="0.2">
      <c r="A240" s="2109"/>
      <c r="B240" s="2310" t="s">
        <v>65</v>
      </c>
      <c r="C240" s="2311"/>
      <c r="D240" s="2312"/>
      <c r="E240" s="948"/>
      <c r="F240" s="187"/>
    </row>
    <row r="241" spans="1:9" ht="20.25" hidden="1" customHeight="1" x14ac:dyDescent="0.2">
      <c r="A241" s="2109"/>
      <c r="B241" s="1972" t="s">
        <v>58</v>
      </c>
      <c r="C241" s="1973"/>
      <c r="D241" s="1974"/>
      <c r="E241" s="210"/>
      <c r="F241" s="187"/>
    </row>
    <row r="242" spans="1:9" ht="20.25" hidden="1" customHeight="1" x14ac:dyDescent="0.2">
      <c r="A242" s="2109"/>
      <c r="B242" s="2104" t="s">
        <v>59</v>
      </c>
      <c r="C242" s="2105"/>
      <c r="D242" s="2106"/>
      <c r="E242" s="1111"/>
      <c r="F242" s="187"/>
    </row>
    <row r="243" spans="1:9" ht="27" customHeight="1" x14ac:dyDescent="0.2">
      <c r="A243" s="2109"/>
      <c r="B243" s="2313" t="s">
        <v>614</v>
      </c>
      <c r="C243" s="1142"/>
      <c r="D243" s="1143">
        <f>IF(C243&gt;0,(C243*(1-0.344)),0)</f>
        <v>0</v>
      </c>
      <c r="E243" s="1144">
        <f>IF(E5="N",D243,C243)</f>
        <v>0</v>
      </c>
      <c r="F243" s="187"/>
    </row>
    <row r="244" spans="1:9" ht="25.5" customHeight="1" x14ac:dyDescent="0.2">
      <c r="A244" s="2109"/>
      <c r="B244" s="2314"/>
      <c r="C244" s="1145"/>
      <c r="D244" s="1146">
        <f>IF(C244&gt;0,(C244*(1-0.344)),IF(C244&gt;0,(C244*(1-0.344)),0))</f>
        <v>0</v>
      </c>
      <c r="E244" s="1147">
        <f>IF(E5="N",D244,C244)</f>
        <v>0</v>
      </c>
      <c r="F244" s="187"/>
    </row>
    <row r="245" spans="1:9" ht="25.5" customHeight="1" x14ac:dyDescent="0.2">
      <c r="A245" s="2109"/>
      <c r="B245" s="2090" t="s">
        <v>14</v>
      </c>
      <c r="C245" s="1148"/>
      <c r="D245" s="1149"/>
      <c r="E245" s="1971">
        <f>IF((C245+C246+D246+D245)&lt;=(1200*C24),(+C245+C246+D246+D245),(1200*C24))</f>
        <v>0</v>
      </c>
      <c r="F245" s="187"/>
    </row>
    <row r="246" spans="1:9" ht="26.25" customHeight="1" x14ac:dyDescent="0.2">
      <c r="A246" s="2109"/>
      <c r="B246" s="2090"/>
      <c r="C246" s="1058"/>
      <c r="D246" s="1058"/>
      <c r="E246" s="1971"/>
      <c r="F246" s="187"/>
      <c r="G246" s="138">
        <v>0</v>
      </c>
      <c r="H246" s="594" t="s">
        <v>802</v>
      </c>
      <c r="I246" s="594" t="s">
        <v>45</v>
      </c>
    </row>
    <row r="247" spans="1:9" ht="36" customHeight="1" x14ac:dyDescent="0.2">
      <c r="A247" s="2109"/>
      <c r="B247" s="1150" t="s">
        <v>759</v>
      </c>
      <c r="C247" s="2297" t="s">
        <v>49</v>
      </c>
      <c r="D247" s="2297"/>
      <c r="E247" s="1173" t="str">
        <f>IF('RELACION DEPENDIENTES'!B29=1,"S","N")</f>
        <v>N</v>
      </c>
      <c r="F247" s="187"/>
      <c r="G247" s="138">
        <v>1</v>
      </c>
      <c r="H247" s="594" t="s">
        <v>795</v>
      </c>
      <c r="I247" s="594" t="s">
        <v>46</v>
      </c>
    </row>
    <row r="248" spans="1:9" ht="33" customHeight="1" x14ac:dyDescent="0.25">
      <c r="A248" s="2109"/>
      <c r="B248" s="1150" t="s">
        <v>760</v>
      </c>
      <c r="C248" s="1151" t="s">
        <v>800</v>
      </c>
      <c r="D248" s="1160">
        <f>+'RELACION DEPENDIENTES'!G29</f>
        <v>3</v>
      </c>
      <c r="E248" s="1152">
        <f>+D248*C24*72</f>
        <v>9160992</v>
      </c>
      <c r="F248" s="187"/>
      <c r="G248" s="138">
        <v>2</v>
      </c>
      <c r="H248" s="594" t="s">
        <v>762</v>
      </c>
    </row>
    <row r="249" spans="1:9" ht="31.5" customHeight="1" x14ac:dyDescent="0.2">
      <c r="A249" s="2109"/>
      <c r="B249" s="2085" t="s">
        <v>184</v>
      </c>
      <c r="C249" s="1148">
        <v>2578983</v>
      </c>
      <c r="D249" s="1149"/>
      <c r="E249" s="2080">
        <f>(C249+C250+D250+D249)*0.5</f>
        <v>1289491.5</v>
      </c>
      <c r="F249" s="187"/>
      <c r="G249" s="138">
        <v>3</v>
      </c>
      <c r="H249" s="594" t="s">
        <v>794</v>
      </c>
    </row>
    <row r="250" spans="1:9" ht="27.75" customHeight="1" x14ac:dyDescent="0.2">
      <c r="A250" s="2109"/>
      <c r="B250" s="2085"/>
      <c r="C250" s="1058"/>
      <c r="D250" s="1058"/>
      <c r="E250" s="2080"/>
      <c r="F250" s="187"/>
      <c r="G250" s="138">
        <v>4</v>
      </c>
      <c r="H250" s="594" t="s">
        <v>803</v>
      </c>
    </row>
    <row r="251" spans="1:9" ht="21" customHeight="1" x14ac:dyDescent="0.2">
      <c r="A251" s="2109"/>
      <c r="B251" s="2085" t="s">
        <v>47</v>
      </c>
      <c r="C251" s="2088"/>
      <c r="D251" s="1069">
        <f>IF(E251&lt;(192*C24),E251,192*C24)</f>
        <v>0</v>
      </c>
      <c r="E251" s="1153"/>
      <c r="F251" s="187"/>
      <c r="H251" s="594" t="s">
        <v>796</v>
      </c>
    </row>
    <row r="252" spans="1:9" ht="24" customHeight="1" x14ac:dyDescent="0.2">
      <c r="A252" s="2109"/>
      <c r="B252" s="2301" t="s">
        <v>773</v>
      </c>
      <c r="C252" s="1154"/>
      <c r="D252" s="1148"/>
      <c r="E252" s="2302">
        <f>+C252+D252+D253+C253</f>
        <v>0</v>
      </c>
      <c r="F252" s="187"/>
      <c r="H252" s="594" t="s">
        <v>797</v>
      </c>
    </row>
    <row r="253" spans="1:9" ht="27" customHeight="1" x14ac:dyDescent="0.2">
      <c r="A253" s="2109"/>
      <c r="B253" s="2301"/>
      <c r="C253" s="1154">
        <v>0</v>
      </c>
      <c r="D253" s="1148"/>
      <c r="E253" s="2303"/>
      <c r="F253" s="187"/>
      <c r="H253" s="594" t="s">
        <v>798</v>
      </c>
    </row>
    <row r="254" spans="1:9" ht="25.5" customHeight="1" x14ac:dyDescent="0.2">
      <c r="A254" s="2109"/>
      <c r="B254" s="2315" t="s">
        <v>836</v>
      </c>
      <c r="C254" s="1154"/>
      <c r="D254" s="1148"/>
      <c r="E254" s="2302">
        <f>+C254+D254+D255+C255</f>
        <v>0</v>
      </c>
      <c r="F254" s="187"/>
      <c r="H254" s="594" t="s">
        <v>799</v>
      </c>
    </row>
    <row r="255" spans="1:9" ht="27.75" customHeight="1" x14ac:dyDescent="0.2">
      <c r="A255" s="2109"/>
      <c r="B255" s="2315"/>
      <c r="C255" s="1154"/>
      <c r="D255" s="1148"/>
      <c r="E255" s="2303"/>
      <c r="F255" s="187"/>
      <c r="H255" s="594" t="s">
        <v>800</v>
      </c>
    </row>
    <row r="256" spans="1:9" ht="27" customHeight="1" thickBot="1" x14ac:dyDescent="0.25">
      <c r="A256" s="2109"/>
      <c r="B256" s="2070" t="s">
        <v>767</v>
      </c>
      <c r="C256" s="2071"/>
      <c r="D256" s="1062">
        <v>200000000</v>
      </c>
      <c r="E256" s="1155">
        <f>(+D256)*0.01</f>
        <v>2000000</v>
      </c>
      <c r="F256" s="187"/>
    </row>
    <row r="257" spans="1:8" ht="26.25" hidden="1" customHeight="1" x14ac:dyDescent="0.2">
      <c r="A257" s="2109"/>
      <c r="B257" s="2082" t="s">
        <v>453</v>
      </c>
      <c r="C257" s="2083"/>
      <c r="D257" s="2084"/>
      <c r="E257" s="1112"/>
      <c r="F257" s="187"/>
      <c r="H257" s="594" t="s">
        <v>801</v>
      </c>
    </row>
    <row r="258" spans="1:8" ht="0.75" hidden="1" customHeight="1" thickBot="1" x14ac:dyDescent="0.25">
      <c r="A258" s="2109"/>
      <c r="B258" s="2294" t="s">
        <v>454</v>
      </c>
      <c r="C258" s="2295"/>
      <c r="D258" s="2296"/>
      <c r="E258" s="520"/>
      <c r="F258" s="187"/>
      <c r="H258" s="594"/>
    </row>
    <row r="259" spans="1:8" ht="22.5" customHeight="1" thickBot="1" x14ac:dyDescent="0.3">
      <c r="A259" s="2109"/>
      <c r="B259" s="2037" t="s">
        <v>15</v>
      </c>
      <c r="C259" s="2038"/>
      <c r="D259" s="2039"/>
      <c r="E259" s="469">
        <f>SUM(E225:E258)</f>
        <v>12450486.5</v>
      </c>
      <c r="F259" s="187"/>
      <c r="H259" s="594"/>
    </row>
    <row r="260" spans="1:8" ht="22.5" customHeight="1" thickBot="1" x14ac:dyDescent="0.3">
      <c r="A260" s="2109"/>
      <c r="B260" s="2279" t="s">
        <v>359</v>
      </c>
      <c r="C260" s="2280"/>
      <c r="D260" s="2280"/>
      <c r="E260" s="238">
        <f>+E222+E259</f>
        <v>988988289.5</v>
      </c>
      <c r="F260" s="187"/>
      <c r="H260" s="594"/>
    </row>
    <row r="261" spans="1:8" x14ac:dyDescent="0.2">
      <c r="A261" s="2109"/>
      <c r="B261" s="198"/>
      <c r="C261" s="198"/>
      <c r="D261" s="198"/>
      <c r="E261" s="198"/>
      <c r="F261" s="187"/>
    </row>
    <row r="262" spans="1:8" x14ac:dyDescent="0.2">
      <c r="A262" s="2109"/>
      <c r="B262" s="198"/>
      <c r="C262" s="198"/>
      <c r="D262" s="198"/>
      <c r="E262" s="198"/>
      <c r="F262" s="187"/>
    </row>
    <row r="263" spans="1:8" x14ac:dyDescent="0.2">
      <c r="A263" s="2109"/>
      <c r="B263" s="198"/>
      <c r="C263" s="198"/>
      <c r="D263" s="198"/>
      <c r="E263" s="198"/>
      <c r="F263" s="187"/>
    </row>
    <row r="264" spans="1:8" ht="13.5" thickBot="1" x14ac:dyDescent="0.25">
      <c r="A264" s="2109"/>
      <c r="B264" s="198"/>
      <c r="C264" s="198"/>
      <c r="D264" s="198"/>
      <c r="E264" s="198"/>
      <c r="F264" s="187"/>
    </row>
    <row r="265" spans="1:8" hidden="1" x14ac:dyDescent="0.2">
      <c r="A265" s="2109"/>
      <c r="B265" s="198"/>
      <c r="C265" s="198"/>
      <c r="D265" s="198"/>
      <c r="E265" s="198"/>
      <c r="F265" s="187"/>
    </row>
    <row r="266" spans="1:8" hidden="1" x14ac:dyDescent="0.2">
      <c r="A266" s="2109"/>
      <c r="B266" s="198"/>
      <c r="C266" s="198"/>
      <c r="D266" s="198"/>
      <c r="E266" s="198"/>
      <c r="F266" s="187"/>
    </row>
    <row r="267" spans="1:8" hidden="1" x14ac:dyDescent="0.2">
      <c r="A267" s="2109"/>
      <c r="B267" s="198"/>
      <c r="C267" s="198"/>
      <c r="D267" s="198"/>
      <c r="E267" s="198"/>
      <c r="F267" s="187"/>
    </row>
    <row r="268" spans="1:8" ht="13.5" hidden="1" thickBot="1" x14ac:dyDescent="0.25">
      <c r="A268" s="2109"/>
      <c r="B268" s="198"/>
      <c r="C268" s="198"/>
      <c r="D268" s="198"/>
      <c r="E268" s="198"/>
      <c r="F268" s="187"/>
    </row>
    <row r="269" spans="1:8" hidden="1" x14ac:dyDescent="0.2">
      <c r="A269" s="2109"/>
      <c r="B269" s="198"/>
      <c r="C269" s="198"/>
      <c r="D269" s="198"/>
      <c r="E269" s="198"/>
      <c r="F269" s="187"/>
    </row>
    <row r="270" spans="1:8" hidden="1" x14ac:dyDescent="0.2">
      <c r="A270" s="2109"/>
      <c r="B270" s="198"/>
      <c r="C270" s="198"/>
      <c r="D270" s="198"/>
      <c r="E270" s="198"/>
      <c r="F270" s="187"/>
    </row>
    <row r="271" spans="1:8" hidden="1" x14ac:dyDescent="0.2">
      <c r="A271" s="2109"/>
      <c r="B271" s="198"/>
      <c r="C271" s="198"/>
      <c r="D271" s="198"/>
      <c r="E271" s="198"/>
      <c r="F271" s="187"/>
    </row>
    <row r="272" spans="1:8" hidden="1" x14ac:dyDescent="0.2">
      <c r="A272" s="2109"/>
      <c r="B272" s="198"/>
      <c r="C272" s="198"/>
      <c r="D272" s="198"/>
      <c r="E272" s="198"/>
      <c r="F272" s="187"/>
    </row>
    <row r="273" spans="1:6" hidden="1" x14ac:dyDescent="0.2">
      <c r="A273" s="2109"/>
      <c r="B273" s="198"/>
      <c r="C273" s="198"/>
      <c r="D273" s="198"/>
      <c r="E273" s="198"/>
      <c r="F273" s="187"/>
    </row>
    <row r="274" spans="1:6" hidden="1" x14ac:dyDescent="0.2">
      <c r="A274" s="2109"/>
      <c r="B274" s="198"/>
      <c r="C274" s="198"/>
      <c r="D274" s="198"/>
      <c r="E274" s="198"/>
      <c r="F274" s="187"/>
    </row>
    <row r="275" spans="1:6" hidden="1" x14ac:dyDescent="0.2">
      <c r="A275" s="2109"/>
      <c r="B275" s="198"/>
      <c r="C275" s="198"/>
      <c r="D275" s="198"/>
      <c r="E275" s="198"/>
      <c r="F275" s="187"/>
    </row>
    <row r="276" spans="1:6" hidden="1" x14ac:dyDescent="0.2">
      <c r="A276" s="2109"/>
      <c r="B276" s="198"/>
      <c r="C276" s="198"/>
      <c r="D276" s="198"/>
      <c r="E276" s="198"/>
      <c r="F276" s="187"/>
    </row>
    <row r="277" spans="1:6" hidden="1" x14ac:dyDescent="0.2">
      <c r="A277" s="2109"/>
      <c r="B277" s="198"/>
      <c r="C277" s="198"/>
      <c r="D277" s="198"/>
      <c r="E277" s="198"/>
      <c r="F277" s="187"/>
    </row>
    <row r="278" spans="1:6" hidden="1" x14ac:dyDescent="0.2">
      <c r="A278" s="2109"/>
      <c r="B278" s="198"/>
      <c r="C278" s="198"/>
      <c r="D278" s="198"/>
      <c r="E278" s="198"/>
      <c r="F278" s="187"/>
    </row>
    <row r="279" spans="1:6" hidden="1" x14ac:dyDescent="0.2">
      <c r="A279" s="2109"/>
      <c r="B279" s="198"/>
      <c r="C279" s="198"/>
      <c r="D279" s="198"/>
      <c r="E279" s="198"/>
      <c r="F279" s="187"/>
    </row>
    <row r="280" spans="1:6" hidden="1" x14ac:dyDescent="0.2">
      <c r="A280" s="2109"/>
      <c r="B280" s="198"/>
      <c r="C280" s="198"/>
      <c r="D280" s="198"/>
      <c r="E280" s="198"/>
      <c r="F280" s="187"/>
    </row>
    <row r="281" spans="1:6" hidden="1" x14ac:dyDescent="0.2">
      <c r="A281" s="2109"/>
      <c r="B281" s="198"/>
      <c r="C281" s="198"/>
      <c r="D281" s="198"/>
      <c r="E281" s="198"/>
      <c r="F281" s="187"/>
    </row>
    <row r="282" spans="1:6" hidden="1" x14ac:dyDescent="0.2">
      <c r="A282" s="2109"/>
      <c r="B282" s="198"/>
      <c r="C282" s="198"/>
      <c r="D282" s="198"/>
      <c r="E282" s="198"/>
      <c r="F282" s="187"/>
    </row>
    <row r="283" spans="1:6" ht="13.5" hidden="1" thickBot="1" x14ac:dyDescent="0.25">
      <c r="A283" s="2109"/>
      <c r="B283" s="198"/>
      <c r="C283" s="198"/>
      <c r="D283" s="198"/>
      <c r="E283" s="198"/>
      <c r="F283" s="187"/>
    </row>
    <row r="284" spans="1:6" ht="24" customHeight="1" x14ac:dyDescent="0.25">
      <c r="A284" s="2109"/>
      <c r="B284" s="2099" t="s">
        <v>156</v>
      </c>
      <c r="C284" s="2100"/>
      <c r="D284" s="2100"/>
      <c r="E284" s="2101"/>
      <c r="F284" s="187"/>
    </row>
    <row r="285" spans="1:6" ht="0.75" customHeight="1" x14ac:dyDescent="0.25">
      <c r="A285" s="2109"/>
      <c r="B285" s="2086" t="s">
        <v>422</v>
      </c>
      <c r="C285" s="1832"/>
      <c r="D285" s="1832"/>
      <c r="E285" s="2087"/>
      <c r="F285" s="187"/>
    </row>
    <row r="286" spans="1:6" ht="18.75" hidden="1" customHeight="1" x14ac:dyDescent="0.2">
      <c r="A286" s="2109"/>
      <c r="B286" s="2035" t="s">
        <v>455</v>
      </c>
      <c r="C286" s="2036"/>
      <c r="D286" s="652"/>
      <c r="E286" s="2116">
        <f>IF(SUM(D286:D292)+SUM(C288:C292)&lt;'FORMULARIO 2023 RENTA'!E108,SUM(D286:D292)+SUM(C288:C292),'FORMULARIO 2023 RENTA'!E108)</f>
        <v>6579000</v>
      </c>
      <c r="F286" s="187"/>
    </row>
    <row r="287" spans="1:6" ht="24" hidden="1" customHeight="1" x14ac:dyDescent="0.2">
      <c r="A287" s="2109"/>
      <c r="B287" s="2107" t="s">
        <v>456</v>
      </c>
      <c r="C287" s="2108"/>
      <c r="D287" s="652"/>
      <c r="E287" s="2116"/>
      <c r="F287" s="187"/>
    </row>
    <row r="288" spans="1:6" ht="26.25" customHeight="1" x14ac:dyDescent="0.2">
      <c r="A288" s="2109"/>
      <c r="B288" s="2059" t="s">
        <v>17</v>
      </c>
      <c r="C288" s="386">
        <v>0</v>
      </c>
      <c r="D288" s="386">
        <v>0</v>
      </c>
      <c r="E288" s="2116"/>
      <c r="F288" s="187"/>
    </row>
    <row r="289" spans="1:8" ht="26.25" customHeight="1" x14ac:dyDescent="0.2">
      <c r="A289" s="2109"/>
      <c r="B289" s="2060"/>
      <c r="C289" s="386">
        <v>0</v>
      </c>
      <c r="D289" s="386">
        <v>0</v>
      </c>
      <c r="E289" s="2116"/>
      <c r="F289" s="187"/>
    </row>
    <row r="290" spans="1:8" ht="25.5" customHeight="1" x14ac:dyDescent="0.2">
      <c r="A290" s="2109"/>
      <c r="B290" s="393" t="s">
        <v>425</v>
      </c>
      <c r="C290" s="406"/>
      <c r="D290" s="590"/>
      <c r="E290" s="2116"/>
      <c r="F290" s="187"/>
      <c r="H290" s="589">
        <f>IF((((E52+E54)/(E48+E98+E57-SUM(E62:E70))-SUM(E75:E79)))&gt;(0),((E52+E54)/(E48+E98+E57-SUM(E62:E70))-SUM(E75:E79)),(0))</f>
        <v>0</v>
      </c>
    </row>
    <row r="291" spans="1:8" ht="24.75" customHeight="1" x14ac:dyDescent="0.2">
      <c r="A291" s="2109"/>
      <c r="B291" s="2057" t="s">
        <v>766</v>
      </c>
      <c r="C291" s="386">
        <v>6579000</v>
      </c>
      <c r="D291" s="386"/>
      <c r="E291" s="2116"/>
      <c r="F291" s="187"/>
    </row>
    <row r="292" spans="1:8" ht="29.25" customHeight="1" x14ac:dyDescent="0.2">
      <c r="A292" s="2109"/>
      <c r="B292" s="2058"/>
      <c r="C292" s="386"/>
      <c r="D292" s="386"/>
      <c r="E292" s="843"/>
      <c r="F292" s="187"/>
    </row>
    <row r="293" spans="1:8" ht="24.75" customHeight="1" x14ac:dyDescent="0.2">
      <c r="A293" s="2109"/>
      <c r="B293" s="2061" t="s">
        <v>96</v>
      </c>
      <c r="C293" s="2062"/>
      <c r="D293" s="666">
        <f>IF(B37="S",E29*50%,IF(C37="S",E29*25%,IF(C38="S",E29*50%,0)))</f>
        <v>41376000</v>
      </c>
      <c r="E293" s="231">
        <f>IF(E36&lt;=D293,E36,D293)</f>
        <v>0</v>
      </c>
      <c r="F293" s="187"/>
    </row>
    <row r="294" spans="1:8" ht="18.75" customHeight="1" x14ac:dyDescent="0.2">
      <c r="A294" s="2109"/>
      <c r="B294" s="2028" t="s">
        <v>315</v>
      </c>
      <c r="C294" s="2029"/>
      <c r="D294" s="2029"/>
      <c r="E294" s="231">
        <f>IF((E83&lt;=(3250*C24)),E83,(3250*C24))</f>
        <v>120000000</v>
      </c>
      <c r="F294" s="187"/>
    </row>
    <row r="295" spans="1:8" ht="15.75" customHeight="1" x14ac:dyDescent="0.2">
      <c r="A295" s="2109"/>
      <c r="B295" s="2092" t="s">
        <v>26</v>
      </c>
      <c r="C295" s="2093"/>
      <c r="D295" s="2093"/>
      <c r="E295" s="231">
        <f>IF(E40&lt;=$E$23,E40,$E$23)</f>
        <v>0</v>
      </c>
      <c r="F295" s="187"/>
    </row>
    <row r="296" spans="1:8" ht="15.75" customHeight="1" x14ac:dyDescent="0.2">
      <c r="A296" s="2109"/>
      <c r="B296" s="2068" t="s">
        <v>98</v>
      </c>
      <c r="C296" s="2069"/>
      <c r="D296" s="2069"/>
      <c r="E296" s="231">
        <f>+E87</f>
        <v>0</v>
      </c>
      <c r="F296" s="187"/>
    </row>
    <row r="297" spans="1:8" ht="15.75" customHeight="1" x14ac:dyDescent="0.2">
      <c r="A297" s="2109"/>
      <c r="B297" s="2092" t="s">
        <v>27</v>
      </c>
      <c r="C297" s="2093"/>
      <c r="D297" s="2093"/>
      <c r="E297" s="231">
        <f>IF(E41&lt;=$E$23,E41,$E$23)</f>
        <v>0</v>
      </c>
      <c r="F297" s="187"/>
    </row>
    <row r="298" spans="1:8" ht="15.75" customHeight="1" x14ac:dyDescent="0.2">
      <c r="A298" s="2109"/>
      <c r="B298" s="2092" t="s">
        <v>28</v>
      </c>
      <c r="C298" s="2093"/>
      <c r="D298" s="2093"/>
      <c r="E298" s="231">
        <f>IF(E42&lt;=$E$23,E42,$E$23)</f>
        <v>0</v>
      </c>
      <c r="F298" s="187"/>
    </row>
    <row r="299" spans="1:8" ht="17.25" customHeight="1" x14ac:dyDescent="0.2">
      <c r="A299" s="2109"/>
      <c r="B299" s="2092" t="s">
        <v>449</v>
      </c>
      <c r="C299" s="2093"/>
      <c r="D299" s="2093"/>
      <c r="E299" s="231">
        <f>+E44*'DEPURACION ORDINARIO 2017'!O42</f>
        <v>7305729</v>
      </c>
      <c r="F299" s="187"/>
    </row>
    <row r="300" spans="1:8" ht="15.75" customHeight="1" x14ac:dyDescent="0.2">
      <c r="A300" s="2109"/>
      <c r="B300" s="2092" t="s">
        <v>411</v>
      </c>
      <c r="C300" s="2093"/>
      <c r="D300" s="2093"/>
      <c r="E300" s="231">
        <f>+E46*'DEPURACION ORDINARIO 2017'!O42</f>
        <v>4000000</v>
      </c>
      <c r="F300" s="187"/>
    </row>
    <row r="301" spans="1:8" ht="17.25" customHeight="1" x14ac:dyDescent="0.2">
      <c r="A301" s="2109"/>
      <c r="B301" s="2068" t="s">
        <v>181</v>
      </c>
      <c r="C301" s="2069"/>
      <c r="D301" s="2069"/>
      <c r="E301" s="231">
        <f>IF(E45&lt;=(12000*E24),E45,IF(E45&gt;(12000*E24),12000*E24,0))</f>
        <v>0</v>
      </c>
      <c r="F301" s="187"/>
    </row>
    <row r="302" spans="1:8" ht="17.25" customHeight="1" x14ac:dyDescent="0.2">
      <c r="A302" s="2109"/>
      <c r="B302" s="2028" t="s">
        <v>180</v>
      </c>
      <c r="C302" s="2029"/>
      <c r="D302" s="2029"/>
      <c r="E302" s="231">
        <f>+'DEPURACION ORDINARIO 2017'!K35</f>
        <v>0</v>
      </c>
      <c r="F302" s="187"/>
    </row>
    <row r="303" spans="1:8" ht="17.25" customHeight="1" x14ac:dyDescent="0.2">
      <c r="A303" s="2109"/>
      <c r="B303" s="2028" t="s">
        <v>452</v>
      </c>
      <c r="C303" s="2029"/>
      <c r="D303" s="2029"/>
      <c r="E303" s="231"/>
      <c r="F303" s="187"/>
      <c r="H303" s="138" t="b">
        <f>IF(E106="S",(E57-E258-D287))</f>
        <v>0</v>
      </c>
    </row>
    <row r="304" spans="1:8" ht="19.5" customHeight="1" x14ac:dyDescent="0.2">
      <c r="A304" s="2109"/>
      <c r="B304" s="2289" t="s">
        <v>317</v>
      </c>
      <c r="C304" s="2290"/>
      <c r="D304" s="2290"/>
      <c r="E304" s="231">
        <f>IF((E35)&gt;0,E35,0)</f>
        <v>0</v>
      </c>
      <c r="F304" s="187"/>
    </row>
    <row r="305" spans="1:6" ht="19.5" hidden="1" customHeight="1" x14ac:dyDescent="0.2">
      <c r="A305" s="2109"/>
      <c r="B305" s="2048"/>
      <c r="C305" s="2049"/>
      <c r="D305" s="2050"/>
      <c r="E305" s="232"/>
      <c r="F305" s="187"/>
    </row>
    <row r="306" spans="1:6" ht="21.75" customHeight="1" thickBot="1" x14ac:dyDescent="0.25">
      <c r="A306" s="2109"/>
      <c r="B306" s="2065" t="s">
        <v>97</v>
      </c>
      <c r="C306" s="2066"/>
      <c r="D306" s="2067"/>
      <c r="E306" s="1079">
        <f>SUM(E286:E305)</f>
        <v>137884729</v>
      </c>
      <c r="F306" s="187"/>
    </row>
    <row r="307" spans="1:6" ht="21.75" customHeight="1" x14ac:dyDescent="0.25">
      <c r="A307" s="2109"/>
      <c r="B307" s="2054" t="s">
        <v>423</v>
      </c>
      <c r="C307" s="2055"/>
      <c r="D307" s="2055"/>
      <c r="E307" s="2056"/>
      <c r="F307" s="187"/>
    </row>
    <row r="308" spans="1:6" ht="21.75" customHeight="1" x14ac:dyDescent="0.2">
      <c r="A308" s="2109"/>
      <c r="B308" s="2149" t="s">
        <v>825</v>
      </c>
      <c r="C308" s="2150"/>
      <c r="D308" s="2150"/>
      <c r="E308" s="231">
        <f>IF(C68&lt;=(13000*C24),C68,IF(C68&gt;(13000*C24),13000*C24,0))</f>
        <v>400000000</v>
      </c>
      <c r="F308" s="187"/>
    </row>
    <row r="309" spans="1:6" ht="21.75" customHeight="1" x14ac:dyDescent="0.2">
      <c r="A309" s="2109"/>
      <c r="B309" s="2006" t="s">
        <v>829</v>
      </c>
      <c r="C309" s="2007"/>
      <c r="D309" s="2007"/>
      <c r="E309" s="232">
        <f>IF(C70&lt;=(6500*C24),C70,IF(C70&gt;(6500*C24),6500*C24,0))</f>
        <v>275678000</v>
      </c>
      <c r="F309" s="187"/>
    </row>
    <row r="310" spans="1:6" ht="18" customHeight="1" x14ac:dyDescent="0.2">
      <c r="A310" s="2109"/>
      <c r="B310" s="2006" t="s">
        <v>70</v>
      </c>
      <c r="C310" s="2007"/>
      <c r="D310" s="2007"/>
      <c r="E310" s="232">
        <f>IF(E75&lt;=3250*$C$24,E75,3250*C24)</f>
        <v>137839000</v>
      </c>
      <c r="F310" s="187"/>
    </row>
    <row r="311" spans="1:6" ht="18" customHeight="1" x14ac:dyDescent="0.2">
      <c r="A311" s="2109"/>
      <c r="B311" s="2284" t="s">
        <v>830</v>
      </c>
      <c r="C311" s="2285"/>
      <c r="D311" s="2285"/>
      <c r="E311" s="232">
        <f>IF(E76&lt;=3250*$C$24,E76,3250*$C$24)</f>
        <v>137839000</v>
      </c>
      <c r="F311" s="187"/>
    </row>
    <row r="312" spans="1:6" ht="21" customHeight="1" x14ac:dyDescent="0.2">
      <c r="A312" s="2109"/>
      <c r="B312" s="2063" t="s">
        <v>831</v>
      </c>
      <c r="C312" s="2064"/>
      <c r="D312" s="667">
        <f>IF(E77&gt;0,E77*20%,0)</f>
        <v>80000000</v>
      </c>
      <c r="E312" s="2074">
        <f>MIN(D312:D313)</f>
        <v>68919500</v>
      </c>
      <c r="F312" s="187"/>
    </row>
    <row r="313" spans="1:6" ht="20.25" customHeight="1" x14ac:dyDescent="0.2">
      <c r="A313" s="2109"/>
      <c r="B313" s="2063"/>
      <c r="C313" s="2064"/>
      <c r="D313" s="568">
        <f>IF(E77&gt;0,1625*$C$24,0)</f>
        <v>68919500</v>
      </c>
      <c r="E313" s="2074"/>
      <c r="F313" s="187"/>
    </row>
    <row r="314" spans="1:6" ht="21" customHeight="1" x14ac:dyDescent="0.2">
      <c r="A314" s="2109"/>
      <c r="B314" s="2063" t="s">
        <v>71</v>
      </c>
      <c r="C314" s="2064"/>
      <c r="D314" s="668">
        <f>IF(E78&gt;0,E78*20%,0)</f>
        <v>80000000</v>
      </c>
      <c r="E314" s="2074">
        <f>MIN(D314:D315)</f>
        <v>68919500</v>
      </c>
      <c r="F314" s="187"/>
    </row>
    <row r="315" spans="1:6" ht="24" customHeight="1" thickBot="1" x14ac:dyDescent="0.25">
      <c r="A315" s="2109"/>
      <c r="B315" s="2072"/>
      <c r="C315" s="2073"/>
      <c r="D315" s="569">
        <f>IF(E78&gt;0,1625*$C$24,0)</f>
        <v>68919500</v>
      </c>
      <c r="E315" s="2075"/>
      <c r="F315" s="187"/>
    </row>
    <row r="316" spans="1:6" ht="18.75" customHeight="1" thickBot="1" x14ac:dyDescent="0.25">
      <c r="A316" s="2109"/>
      <c r="B316" s="2065" t="s">
        <v>94</v>
      </c>
      <c r="C316" s="2066"/>
      <c r="D316" s="2067"/>
      <c r="E316" s="1079">
        <f>SUM(E308:E315)</f>
        <v>1089195000</v>
      </c>
      <c r="F316" s="187"/>
    </row>
    <row r="317" spans="1:6" ht="9.75" customHeight="1" thickBot="1" x14ac:dyDescent="0.25">
      <c r="A317" s="2109"/>
      <c r="B317" s="198"/>
      <c r="C317" s="198"/>
      <c r="D317" s="198"/>
      <c r="E317" s="198"/>
      <c r="F317" s="187"/>
    </row>
    <row r="318" spans="1:6" ht="14.25" customHeight="1" thickBot="1" x14ac:dyDescent="0.3">
      <c r="A318" s="2109"/>
      <c r="B318" s="2099" t="s">
        <v>608</v>
      </c>
      <c r="C318" s="2100"/>
      <c r="D318" s="2100"/>
      <c r="E318" s="2101"/>
      <c r="F318" s="187"/>
    </row>
    <row r="319" spans="1:6" ht="14.25" customHeight="1" x14ac:dyDescent="0.2">
      <c r="A319" s="2109"/>
      <c r="B319" s="2102" t="s">
        <v>688</v>
      </c>
      <c r="C319" s="2103"/>
      <c r="D319" s="2103"/>
      <c r="E319" s="656"/>
      <c r="F319" s="187"/>
    </row>
    <row r="320" spans="1:6" ht="14.25" customHeight="1" x14ac:dyDescent="0.2">
      <c r="A320" s="2109"/>
      <c r="B320" s="2076" t="s">
        <v>689</v>
      </c>
      <c r="C320" s="2077"/>
      <c r="D320" s="2077"/>
      <c r="E320" s="772"/>
      <c r="F320" s="187"/>
    </row>
    <row r="321" spans="1:6" ht="14.25" customHeight="1" x14ac:dyDescent="0.2">
      <c r="A321" s="2109"/>
      <c r="B321" s="2076" t="s">
        <v>747</v>
      </c>
      <c r="C321" s="2077"/>
      <c r="D321" s="2077"/>
      <c r="E321" s="773"/>
      <c r="F321" s="187"/>
    </row>
    <row r="322" spans="1:6" ht="14.25" customHeight="1" x14ac:dyDescent="0.2">
      <c r="A322" s="2109"/>
      <c r="B322" s="2076" t="s">
        <v>690</v>
      </c>
      <c r="C322" s="2077"/>
      <c r="D322" s="2077"/>
      <c r="E322" s="773"/>
      <c r="F322" s="187"/>
    </row>
    <row r="323" spans="1:6" ht="14.25" customHeight="1" thickBot="1" x14ac:dyDescent="0.25">
      <c r="A323" s="2109"/>
      <c r="B323" s="586" t="s">
        <v>609</v>
      </c>
      <c r="C323" s="587"/>
      <c r="D323" s="588"/>
      <c r="E323" s="657"/>
      <c r="F323" s="187"/>
    </row>
    <row r="324" spans="1:6" ht="15.75" customHeight="1" thickBot="1" x14ac:dyDescent="0.25">
      <c r="A324" s="2109"/>
      <c r="B324" s="223"/>
      <c r="C324" s="223"/>
      <c r="D324" s="223"/>
      <c r="E324" s="223"/>
      <c r="F324" s="187"/>
    </row>
    <row r="325" spans="1:6" ht="15.75" x14ac:dyDescent="0.25">
      <c r="A325" s="2109"/>
      <c r="B325" s="2099" t="s">
        <v>204</v>
      </c>
      <c r="C325" s="2100"/>
      <c r="D325" s="2100"/>
      <c r="E325" s="2101"/>
      <c r="F325" s="187"/>
    </row>
    <row r="326" spans="1:6" ht="14.25" customHeight="1" x14ac:dyDescent="0.2">
      <c r="A326" s="2109"/>
      <c r="B326" s="2078" t="s">
        <v>211</v>
      </c>
      <c r="C326" s="2079"/>
      <c r="D326" s="2079"/>
      <c r="E326" s="233" t="s">
        <v>35</v>
      </c>
      <c r="F326" s="187"/>
    </row>
    <row r="327" spans="1:6" ht="11.25" customHeight="1" x14ac:dyDescent="0.2">
      <c r="A327" s="2109"/>
      <c r="B327" s="2096" t="s">
        <v>523</v>
      </c>
      <c r="C327" s="2097"/>
      <c r="D327" s="2098"/>
      <c r="E327" s="610">
        <v>18615000</v>
      </c>
      <c r="F327" s="187"/>
    </row>
    <row r="328" spans="1:6" ht="11.25" customHeight="1" x14ac:dyDescent="0.2">
      <c r="A328" s="2109"/>
      <c r="B328" s="2096"/>
      <c r="C328" s="2097"/>
      <c r="D328" s="2098"/>
      <c r="E328" s="610"/>
      <c r="F328" s="187"/>
    </row>
    <row r="329" spans="1:6" ht="11.25" customHeight="1" x14ac:dyDescent="0.2">
      <c r="A329" s="2109"/>
      <c r="B329" s="2096"/>
      <c r="C329" s="2097"/>
      <c r="D329" s="2098"/>
      <c r="E329" s="610"/>
      <c r="F329" s="187"/>
    </row>
    <row r="330" spans="1:6" ht="11.25" customHeight="1" x14ac:dyDescent="0.2">
      <c r="A330" s="2109"/>
      <c r="B330" s="2096"/>
      <c r="C330" s="2097"/>
      <c r="D330" s="2098"/>
      <c r="E330" s="610"/>
      <c r="F330" s="187"/>
    </row>
    <row r="331" spans="1:6" ht="11.25" customHeight="1" x14ac:dyDescent="0.2">
      <c r="A331" s="2109"/>
      <c r="B331" s="2096"/>
      <c r="C331" s="2097"/>
      <c r="D331" s="2098"/>
      <c r="E331" s="610">
        <v>0</v>
      </c>
      <c r="F331" s="187"/>
    </row>
    <row r="332" spans="1:6" ht="13.5" customHeight="1" x14ac:dyDescent="0.2">
      <c r="A332" s="2109"/>
      <c r="B332" s="2286" t="s">
        <v>213</v>
      </c>
      <c r="C332" s="2287"/>
      <c r="D332" s="2288"/>
      <c r="E332" s="234">
        <f>SUM(E327:E331)</f>
        <v>18615000</v>
      </c>
      <c r="F332" s="187"/>
    </row>
    <row r="333" spans="1:6" ht="13.5" customHeight="1" x14ac:dyDescent="0.2">
      <c r="A333" s="2109"/>
      <c r="B333" s="2078" t="s">
        <v>212</v>
      </c>
      <c r="C333" s="2079"/>
      <c r="D333" s="2079"/>
      <c r="E333" s="233" t="s">
        <v>35</v>
      </c>
      <c r="F333" s="187"/>
    </row>
    <row r="334" spans="1:6" ht="11.25" customHeight="1" x14ac:dyDescent="0.2">
      <c r="A334" s="2109"/>
      <c r="B334" s="2094" t="s">
        <v>217</v>
      </c>
      <c r="C334" s="2095"/>
      <c r="D334" s="2095"/>
      <c r="E334" s="210">
        <v>0</v>
      </c>
      <c r="F334" s="187"/>
    </row>
    <row r="335" spans="1:6" ht="11.25" customHeight="1" x14ac:dyDescent="0.2">
      <c r="A335" s="2109"/>
      <c r="B335" s="2094"/>
      <c r="C335" s="2095"/>
      <c r="D335" s="2095"/>
      <c r="E335" s="210">
        <v>0</v>
      </c>
      <c r="F335" s="187"/>
    </row>
    <row r="336" spans="1:6" ht="11.25" customHeight="1" x14ac:dyDescent="0.2">
      <c r="A336" s="2109"/>
      <c r="B336" s="2094"/>
      <c r="C336" s="2095"/>
      <c r="D336" s="2095"/>
      <c r="E336" s="210">
        <v>0</v>
      </c>
      <c r="F336" s="187"/>
    </row>
    <row r="337" spans="1:6" ht="14.25" customHeight="1" thickBot="1" x14ac:dyDescent="0.25">
      <c r="A337" s="2109"/>
      <c r="B337" s="2291" t="s">
        <v>214</v>
      </c>
      <c r="C337" s="2292"/>
      <c r="D337" s="2293"/>
      <c r="E337" s="235">
        <f>SUM(E334:E336)</f>
        <v>0</v>
      </c>
      <c r="F337" s="187"/>
    </row>
    <row r="338" spans="1:6" ht="15" customHeight="1" thickBot="1" x14ac:dyDescent="0.25">
      <c r="A338" s="2109"/>
      <c r="B338" s="2281" t="s">
        <v>167</v>
      </c>
      <c r="C338" s="2282"/>
      <c r="D338" s="2283"/>
      <c r="E338" s="321">
        <v>0</v>
      </c>
      <c r="F338" s="187"/>
    </row>
    <row r="339" spans="1:6" ht="14.25" customHeight="1" thickBot="1" x14ac:dyDescent="0.25">
      <c r="A339" s="2109"/>
      <c r="B339" s="2051" t="s">
        <v>922</v>
      </c>
      <c r="C339" s="2052"/>
      <c r="D339" s="2053"/>
      <c r="E339" s="236">
        <f>IF((E332+E337)&gt;0,(E332+E337),0)</f>
        <v>18615000</v>
      </c>
      <c r="F339" s="187"/>
    </row>
    <row r="340" spans="1:6" ht="3" hidden="1" customHeight="1" thickBot="1" x14ac:dyDescent="0.25">
      <c r="A340" s="2109"/>
      <c r="B340" s="2114"/>
      <c r="C340" s="2114"/>
      <c r="D340" s="2114"/>
      <c r="E340" s="2115"/>
      <c r="F340" s="187"/>
    </row>
    <row r="341" spans="1:6" ht="15.75" x14ac:dyDescent="0.25">
      <c r="A341" s="2109"/>
      <c r="B341" s="2099" t="s">
        <v>324</v>
      </c>
      <c r="C341" s="2100"/>
      <c r="D341" s="2100"/>
      <c r="E341" s="2101"/>
      <c r="F341" s="187"/>
    </row>
    <row r="342" spans="1:6" ht="14.25" customHeight="1" x14ac:dyDescent="0.2">
      <c r="A342" s="2109"/>
      <c r="B342" s="2078" t="s">
        <v>211</v>
      </c>
      <c r="C342" s="2079"/>
      <c r="D342" s="2079"/>
      <c r="E342" s="233" t="s">
        <v>35</v>
      </c>
      <c r="F342" s="187"/>
    </row>
    <row r="343" spans="1:6" ht="12.75" customHeight="1" x14ac:dyDescent="0.2">
      <c r="A343" s="2109"/>
      <c r="B343" s="2045" t="s">
        <v>160</v>
      </c>
      <c r="C343" s="2046"/>
      <c r="D343" s="2047"/>
      <c r="E343" s="320"/>
      <c r="F343" s="187"/>
    </row>
    <row r="344" spans="1:6" ht="12.75" customHeight="1" x14ac:dyDescent="0.2">
      <c r="A344" s="2109"/>
      <c r="B344" s="2045" t="s">
        <v>161</v>
      </c>
      <c r="C344" s="2046"/>
      <c r="D344" s="2047"/>
      <c r="E344" s="320"/>
      <c r="F344" s="187"/>
    </row>
    <row r="345" spans="1:6" ht="12.75" customHeight="1" x14ac:dyDescent="0.2">
      <c r="A345" s="2109"/>
      <c r="B345" s="2045" t="s">
        <v>162</v>
      </c>
      <c r="C345" s="2046"/>
      <c r="D345" s="2047"/>
      <c r="E345" s="320"/>
      <c r="F345" s="187"/>
    </row>
    <row r="346" spans="1:6" ht="18" customHeight="1" x14ac:dyDescent="0.2">
      <c r="A346" s="2109"/>
      <c r="B346" s="2032" t="s">
        <v>832</v>
      </c>
      <c r="C346" s="2033"/>
      <c r="D346" s="2034"/>
      <c r="E346" s="776"/>
      <c r="F346" s="187"/>
    </row>
    <row r="347" spans="1:6" ht="18" customHeight="1" x14ac:dyDescent="0.2">
      <c r="A347" s="2109"/>
      <c r="B347" s="2032" t="s">
        <v>923</v>
      </c>
      <c r="C347" s="2033"/>
      <c r="D347" s="2034"/>
      <c r="E347" s="1017">
        <f>+'DESC. TRIB. DIVIDENDOS'!E6:F6</f>
        <v>10216475</v>
      </c>
      <c r="F347" s="187"/>
    </row>
    <row r="348" spans="1:6" ht="12.75" customHeight="1" x14ac:dyDescent="0.2">
      <c r="A348" s="2109"/>
      <c r="B348" s="2042" t="s">
        <v>163</v>
      </c>
      <c r="C348" s="2043"/>
      <c r="D348" s="2044"/>
      <c r="E348" s="776"/>
      <c r="F348" s="187"/>
    </row>
    <row r="349" spans="1:6" ht="29.25" customHeight="1" thickBot="1" x14ac:dyDescent="0.25">
      <c r="A349" s="2109"/>
      <c r="B349" s="2040" t="s">
        <v>691</v>
      </c>
      <c r="C349" s="2041"/>
      <c r="D349" s="651"/>
      <c r="E349" s="777">
        <f>D349*25%</f>
        <v>0</v>
      </c>
      <c r="F349" s="187"/>
    </row>
    <row r="350" spans="1:6" ht="15" customHeight="1" thickBot="1" x14ac:dyDescent="0.25">
      <c r="A350" s="2109"/>
      <c r="B350" s="2111" t="s">
        <v>325</v>
      </c>
      <c r="C350" s="2112"/>
      <c r="D350" s="2113"/>
      <c r="E350" s="237">
        <f>SUM(E343:E349)</f>
        <v>10216475</v>
      </c>
      <c r="F350" s="187"/>
    </row>
    <row r="351" spans="1:6" ht="25.5" customHeight="1" thickBot="1" x14ac:dyDescent="0.25">
      <c r="A351" s="2110"/>
      <c r="B351" s="2278"/>
      <c r="C351" s="2278"/>
      <c r="D351" s="2278"/>
      <c r="E351" s="658"/>
      <c r="F351" s="211"/>
    </row>
    <row r="352" spans="1:6" ht="13.5" hidden="1" thickTop="1" x14ac:dyDescent="0.2"/>
    <row r="353" spans="2:3" hidden="1" x14ac:dyDescent="0.2">
      <c r="B353" s="138" t="s">
        <v>48</v>
      </c>
    </row>
    <row r="354" spans="2:3" ht="165.75" hidden="1" x14ac:dyDescent="0.2">
      <c r="B354" s="595" t="s">
        <v>806</v>
      </c>
    </row>
    <row r="355" spans="2:3" ht="89.25" hidden="1" x14ac:dyDescent="0.2">
      <c r="B355" s="361" t="s">
        <v>49</v>
      </c>
    </row>
    <row r="356" spans="2:3" ht="165.75" hidden="1" x14ac:dyDescent="0.2">
      <c r="B356" s="595" t="s">
        <v>804</v>
      </c>
    </row>
    <row r="357" spans="2:3" ht="140.25" hidden="1" x14ac:dyDescent="0.2">
      <c r="B357" s="595" t="s">
        <v>805</v>
      </c>
    </row>
    <row r="358" spans="2:3" hidden="1" x14ac:dyDescent="0.2"/>
    <row r="359" spans="2:3" hidden="1" x14ac:dyDescent="0.2">
      <c r="B359" s="594" t="s">
        <v>611</v>
      </c>
    </row>
    <row r="360" spans="2:3" ht="38.25" hidden="1" x14ac:dyDescent="0.2">
      <c r="B360" s="595" t="s">
        <v>925</v>
      </c>
    </row>
    <row r="361" spans="2:3" hidden="1" x14ac:dyDescent="0.2">
      <c r="B361" s="361" t="s">
        <v>205</v>
      </c>
      <c r="C361" s="159" t="s">
        <v>215</v>
      </c>
    </row>
    <row r="362" spans="2:3" hidden="1" x14ac:dyDescent="0.2">
      <c r="B362" s="595" t="s">
        <v>523</v>
      </c>
      <c r="C362" s="142" t="s">
        <v>216</v>
      </c>
    </row>
    <row r="363" spans="2:3" ht="25.5" hidden="1" x14ac:dyDescent="0.2">
      <c r="B363" s="361" t="s">
        <v>206</v>
      </c>
      <c r="C363" s="142" t="s">
        <v>217</v>
      </c>
    </row>
    <row r="364" spans="2:3" hidden="1" x14ac:dyDescent="0.2">
      <c r="B364" s="361" t="s">
        <v>207</v>
      </c>
    </row>
    <row r="365" spans="2:3" hidden="1" x14ac:dyDescent="0.2">
      <c r="B365" s="361" t="s">
        <v>118</v>
      </c>
      <c r="C365" s="142" t="s">
        <v>160</v>
      </c>
    </row>
    <row r="366" spans="2:3" hidden="1" x14ac:dyDescent="0.2">
      <c r="B366" s="361" t="s">
        <v>208</v>
      </c>
      <c r="C366" s="142" t="s">
        <v>161</v>
      </c>
    </row>
    <row r="367" spans="2:3" ht="25.5" hidden="1" x14ac:dyDescent="0.2">
      <c r="B367" s="361" t="s">
        <v>209</v>
      </c>
      <c r="C367" s="142" t="s">
        <v>162</v>
      </c>
    </row>
    <row r="368" spans="2:3" hidden="1" x14ac:dyDescent="0.2">
      <c r="B368" s="595" t="s">
        <v>612</v>
      </c>
      <c r="C368" s="142" t="s">
        <v>163</v>
      </c>
    </row>
    <row r="369" spans="2:2" hidden="1" x14ac:dyDescent="0.2">
      <c r="B369" s="361" t="s">
        <v>210</v>
      </c>
    </row>
    <row r="370" spans="2:2" hidden="1" x14ac:dyDescent="0.2"/>
    <row r="371" spans="2:2" hidden="1" x14ac:dyDescent="0.2"/>
    <row r="372" spans="2:2" ht="13.5" thickTop="1" x14ac:dyDescent="0.2"/>
  </sheetData>
  <sheetProtection algorithmName="SHA-512" hashValue="94TQJEjJvqFexnG6UfjtRC5BK+VxaeFeUEEUN4f4VrXw+RyIi7J/VRoRugLQgU6fRet2ablp2waXUeXkH4gfGQ==" saltValue="cCYenFKrd8h+bOdg4E1Y4A==" spinCount="100000" sheet="1" objects="1" scenarios="1"/>
  <protectedRanges>
    <protectedRange sqref="I22" name="Rango1"/>
  </protectedRanges>
  <dataConsolidate/>
  <mergeCells count="293">
    <mergeCell ref="B192:C192"/>
    <mergeCell ref="B194:C194"/>
    <mergeCell ref="B214:C214"/>
    <mergeCell ref="B150:E150"/>
    <mergeCell ref="B165:E165"/>
    <mergeCell ref="B160:C160"/>
    <mergeCell ref="B163:C163"/>
    <mergeCell ref="B178:E178"/>
    <mergeCell ref="B195:C195"/>
    <mergeCell ref="B174:C174"/>
    <mergeCell ref="B175:C175"/>
    <mergeCell ref="B176:C176"/>
    <mergeCell ref="B183:C183"/>
    <mergeCell ref="B189:D189"/>
    <mergeCell ref="B179:D179"/>
    <mergeCell ref="B180:E180"/>
    <mergeCell ref="E190:E196"/>
    <mergeCell ref="B191:C191"/>
    <mergeCell ref="B196:C196"/>
    <mergeCell ref="B184:C184"/>
    <mergeCell ref="B158:E158"/>
    <mergeCell ref="B159:D159"/>
    <mergeCell ref="B172:C172"/>
    <mergeCell ref="B166:D166"/>
    <mergeCell ref="B258:D258"/>
    <mergeCell ref="C247:D247"/>
    <mergeCell ref="B209:C209"/>
    <mergeCell ref="B224:E224"/>
    <mergeCell ref="B252:B253"/>
    <mergeCell ref="E252:E253"/>
    <mergeCell ref="B239:E239"/>
    <mergeCell ref="B222:D222"/>
    <mergeCell ref="B240:D240"/>
    <mergeCell ref="B243:B244"/>
    <mergeCell ref="B210:C210"/>
    <mergeCell ref="B254:B255"/>
    <mergeCell ref="E254:E255"/>
    <mergeCell ref="B220:C220"/>
    <mergeCell ref="E208:E220"/>
    <mergeCell ref="B221:D221"/>
    <mergeCell ref="B213:C213"/>
    <mergeCell ref="B208:C208"/>
    <mergeCell ref="B215:C215"/>
    <mergeCell ref="B216:C216"/>
    <mergeCell ref="B217:C217"/>
    <mergeCell ref="B211:C211"/>
    <mergeCell ref="B212:C212"/>
    <mergeCell ref="B245:B246"/>
    <mergeCell ref="B351:D351"/>
    <mergeCell ref="B260:D260"/>
    <mergeCell ref="B338:D338"/>
    <mergeCell ref="B294:D294"/>
    <mergeCell ref="B310:D310"/>
    <mergeCell ref="B306:D306"/>
    <mergeCell ref="B311:D311"/>
    <mergeCell ref="B332:D332"/>
    <mergeCell ref="B304:D304"/>
    <mergeCell ref="B302:D302"/>
    <mergeCell ref="B295:D295"/>
    <mergeCell ref="B297:D297"/>
    <mergeCell ref="B303:D303"/>
    <mergeCell ref="B345:D345"/>
    <mergeCell ref="B335:D335"/>
    <mergeCell ref="B336:D336"/>
    <mergeCell ref="B337:D337"/>
    <mergeCell ref="B331:D331"/>
    <mergeCell ref="B284:E284"/>
    <mergeCell ref="B322:D322"/>
    <mergeCell ref="E312:E313"/>
    <mergeCell ref="B321:D321"/>
    <mergeCell ref="B308:D308"/>
    <mergeCell ref="B346:D346"/>
    <mergeCell ref="B153:C153"/>
    <mergeCell ref="D154:D155"/>
    <mergeCell ref="B127:D127"/>
    <mergeCell ref="B168:C168"/>
    <mergeCell ref="B171:C171"/>
    <mergeCell ref="E160:E164"/>
    <mergeCell ref="B162:C162"/>
    <mergeCell ref="E167:E172"/>
    <mergeCell ref="B131:C131"/>
    <mergeCell ref="E142:E149"/>
    <mergeCell ref="B143:C143"/>
    <mergeCell ref="B130:D130"/>
    <mergeCell ref="B129:D129"/>
    <mergeCell ref="B169:C169"/>
    <mergeCell ref="B170:C170"/>
    <mergeCell ref="B161:C161"/>
    <mergeCell ref="B156:C156"/>
    <mergeCell ref="B157:C157"/>
    <mergeCell ref="B149:C149"/>
    <mergeCell ref="D146:D147"/>
    <mergeCell ref="B145:C145"/>
    <mergeCell ref="B164:C164"/>
    <mergeCell ref="B139:E139"/>
    <mergeCell ref="B140:E140"/>
    <mergeCell ref="B1:E1"/>
    <mergeCell ref="B2:E2"/>
    <mergeCell ref="B27:E27"/>
    <mergeCell ref="E62:E63"/>
    <mergeCell ref="D64:D65"/>
    <mergeCell ref="B64:C64"/>
    <mergeCell ref="B4:E4"/>
    <mergeCell ref="B46:C46"/>
    <mergeCell ref="B32:C32"/>
    <mergeCell ref="D9:D10"/>
    <mergeCell ref="B6:F6"/>
    <mergeCell ref="B34:C34"/>
    <mergeCell ref="B33:C33"/>
    <mergeCell ref="B52:D52"/>
    <mergeCell ref="B53:D53"/>
    <mergeCell ref="E9:E10"/>
    <mergeCell ref="B30:C30"/>
    <mergeCell ref="B9:B10"/>
    <mergeCell ref="B40:C40"/>
    <mergeCell ref="B28:C28"/>
    <mergeCell ref="B41:C41"/>
    <mergeCell ref="D36:D38"/>
    <mergeCell ref="E36:E38"/>
    <mergeCell ref="B8:E8"/>
    <mergeCell ref="B36:C36"/>
    <mergeCell ref="B71:C71"/>
    <mergeCell ref="B47:C47"/>
    <mergeCell ref="B57:D57"/>
    <mergeCell ref="E67:E68"/>
    <mergeCell ref="B62:C62"/>
    <mergeCell ref="B39:C39"/>
    <mergeCell ref="B43:C43"/>
    <mergeCell ref="B12:E12"/>
    <mergeCell ref="B26:F26"/>
    <mergeCell ref="B31:C31"/>
    <mergeCell ref="B19:E19"/>
    <mergeCell ref="B44:C44"/>
    <mergeCell ref="B29:C29"/>
    <mergeCell ref="B35:C35"/>
    <mergeCell ref="E69:E70"/>
    <mergeCell ref="B55:D55"/>
    <mergeCell ref="B56:D56"/>
    <mergeCell ref="B50:E50"/>
    <mergeCell ref="B51:D51"/>
    <mergeCell ref="B54:D54"/>
    <mergeCell ref="D69:D70"/>
    <mergeCell ref="B328:D328"/>
    <mergeCell ref="B330:D330"/>
    <mergeCell ref="B84:C84"/>
    <mergeCell ref="D85:D86"/>
    <mergeCell ref="B225:D225"/>
    <mergeCell ref="B92:C92"/>
    <mergeCell ref="B85:C85"/>
    <mergeCell ref="B87:C87"/>
    <mergeCell ref="B124:B125"/>
    <mergeCell ref="B89:C89"/>
    <mergeCell ref="B104:E104"/>
    <mergeCell ref="B106:C106"/>
    <mergeCell ref="B118:B120"/>
    <mergeCell ref="E118:E120"/>
    <mergeCell ref="B121:B123"/>
    <mergeCell ref="E121:E123"/>
    <mergeCell ref="B112:C112"/>
    <mergeCell ref="B108:E108"/>
    <mergeCell ref="B109:C109"/>
    <mergeCell ref="B93:C93"/>
    <mergeCell ref="E85:E86"/>
    <mergeCell ref="B88:C88"/>
    <mergeCell ref="B96:C96"/>
    <mergeCell ref="B105:C105"/>
    <mergeCell ref="B110:C110"/>
    <mergeCell ref="B94:C94"/>
    <mergeCell ref="B91:C91"/>
    <mergeCell ref="B61:C61"/>
    <mergeCell ref="D62:D63"/>
    <mergeCell ref="B83:C83"/>
    <mergeCell ref="B76:C76"/>
    <mergeCell ref="B66:C66"/>
    <mergeCell ref="B67:C67"/>
    <mergeCell ref="B98:D98"/>
    <mergeCell ref="B102:E102"/>
    <mergeCell ref="E109:E110"/>
    <mergeCell ref="B101:E101"/>
    <mergeCell ref="B97:C97"/>
    <mergeCell ref="B99:D99"/>
    <mergeCell ref="B90:C90"/>
    <mergeCell ref="E81:E82"/>
    <mergeCell ref="B77:C77"/>
    <mergeCell ref="B78:C78"/>
    <mergeCell ref="B74:C74"/>
    <mergeCell ref="B299:D299"/>
    <mergeCell ref="B242:D242"/>
    <mergeCell ref="B287:C287"/>
    <mergeCell ref="A341:A351"/>
    <mergeCell ref="B350:D350"/>
    <mergeCell ref="A340:E340"/>
    <mergeCell ref="E286:E291"/>
    <mergeCell ref="B341:E341"/>
    <mergeCell ref="B333:D333"/>
    <mergeCell ref="B325:E325"/>
    <mergeCell ref="B326:D326"/>
    <mergeCell ref="B327:D327"/>
    <mergeCell ref="A27:A339"/>
    <mergeCell ref="B134:D134"/>
    <mergeCell ref="B116:E116"/>
    <mergeCell ref="B136:D136"/>
    <mergeCell ref="B113:C113"/>
    <mergeCell ref="B151:D151"/>
    <mergeCell ref="B133:C133"/>
    <mergeCell ref="E134:E135"/>
    <mergeCell ref="B128:D128"/>
    <mergeCell ref="B114:C114"/>
    <mergeCell ref="E111:E114"/>
    <mergeCell ref="B73:C73"/>
    <mergeCell ref="B314:C315"/>
    <mergeCell ref="E314:E315"/>
    <mergeCell ref="B320:D320"/>
    <mergeCell ref="B186:C186"/>
    <mergeCell ref="B342:D342"/>
    <mergeCell ref="E226:E227"/>
    <mergeCell ref="B173:E173"/>
    <mergeCell ref="B257:D257"/>
    <mergeCell ref="B223:E223"/>
    <mergeCell ref="B249:B250"/>
    <mergeCell ref="E249:E250"/>
    <mergeCell ref="B285:E285"/>
    <mergeCell ref="B218:C218"/>
    <mergeCell ref="B251:C251"/>
    <mergeCell ref="B226:B227"/>
    <mergeCell ref="B190:C190"/>
    <mergeCell ref="B177:E177"/>
    <mergeCell ref="B300:D300"/>
    <mergeCell ref="B298:D298"/>
    <mergeCell ref="B334:D334"/>
    <mergeCell ref="B329:D329"/>
    <mergeCell ref="B318:E318"/>
    <mergeCell ref="B319:D319"/>
    <mergeCell ref="B296:D296"/>
    <mergeCell ref="B144:C144"/>
    <mergeCell ref="B126:D126"/>
    <mergeCell ref="B141:C141"/>
    <mergeCell ref="B347:D347"/>
    <mergeCell ref="B286:C286"/>
    <mergeCell ref="B259:D259"/>
    <mergeCell ref="B349:C349"/>
    <mergeCell ref="B348:D348"/>
    <mergeCell ref="E182:E187"/>
    <mergeCell ref="B344:D344"/>
    <mergeCell ref="B305:D305"/>
    <mergeCell ref="B339:D339"/>
    <mergeCell ref="B307:E307"/>
    <mergeCell ref="B343:D343"/>
    <mergeCell ref="B291:B292"/>
    <mergeCell ref="B288:B289"/>
    <mergeCell ref="B193:C193"/>
    <mergeCell ref="B293:C293"/>
    <mergeCell ref="B312:C313"/>
    <mergeCell ref="B316:D316"/>
    <mergeCell ref="B309:D309"/>
    <mergeCell ref="B301:D301"/>
    <mergeCell ref="B256:C256"/>
    <mergeCell ref="B197:D197"/>
    <mergeCell ref="B3:E3"/>
    <mergeCell ref="B42:C42"/>
    <mergeCell ref="B60:E60"/>
    <mergeCell ref="B48:D48"/>
    <mergeCell ref="B69:C69"/>
    <mergeCell ref="B207:D207"/>
    <mergeCell ref="B79:C79"/>
    <mergeCell ref="B132:D132"/>
    <mergeCell ref="B75:C75"/>
    <mergeCell ref="D67:D68"/>
    <mergeCell ref="E64:E65"/>
    <mergeCell ref="B45:C45"/>
    <mergeCell ref="B181:D181"/>
    <mergeCell ref="B182:C182"/>
    <mergeCell ref="B185:C185"/>
    <mergeCell ref="B187:C187"/>
    <mergeCell ref="B167:C167"/>
    <mergeCell ref="B72:C72"/>
    <mergeCell ref="E152:E157"/>
    <mergeCell ref="B95:C95"/>
    <mergeCell ref="B152:C152"/>
    <mergeCell ref="B111:C111"/>
    <mergeCell ref="E124:E125"/>
    <mergeCell ref="B148:C148"/>
    <mergeCell ref="E245:E246"/>
    <mergeCell ref="B241:D241"/>
    <mergeCell ref="B198:C198"/>
    <mergeCell ref="E198:E205"/>
    <mergeCell ref="B199:C199"/>
    <mergeCell ref="B200:C200"/>
    <mergeCell ref="B201:C201"/>
    <mergeCell ref="B202:C202"/>
    <mergeCell ref="B203:C203"/>
    <mergeCell ref="B205:C205"/>
    <mergeCell ref="B204:C204"/>
  </mergeCells>
  <phoneticPr fontId="0" type="noConversion"/>
  <dataValidations count="10">
    <dataValidation type="list" allowBlank="1" showInputMessage="1" showErrorMessage="1" sqref="C247:D247" xr:uid="{00000000-0002-0000-0A00-000000000000}">
      <formula1>$B$352:$B$357</formula1>
    </dataValidation>
    <dataValidation type="list" allowBlank="1" showInputMessage="1" showErrorMessage="1" sqref="B334:D336" xr:uid="{00000000-0002-0000-0A00-000001000000}">
      <formula1>$C$361:$C$363</formula1>
    </dataValidation>
    <dataValidation type="list" allowBlank="1" showInputMessage="1" showErrorMessage="1" sqref="D69 D87:D97 D75:D80 D66:D67 D83:D85" xr:uid="{00000000-0002-0000-0A00-000002000000}">
      <formula1>$G$62:$G$66</formula1>
    </dataValidation>
    <dataValidation type="list" allowBlank="1" showInputMessage="1" showErrorMessage="1" sqref="C15:C16 E14 C13 E16" xr:uid="{00000000-0002-0000-0A00-000003000000}">
      <formula1>$H$22:$H$24</formula1>
    </dataValidation>
    <dataValidation type="list" allowBlank="1" showInputMessage="1" showErrorMessage="1" sqref="E5 D141" xr:uid="{00000000-0002-0000-0A00-000005000000}">
      <formula1>$H$23:$H$24</formula1>
    </dataValidation>
    <dataValidation type="list" allowBlank="1" showInputMessage="1" showErrorMessage="1" sqref="D131" xr:uid="{00000000-0002-0000-0A00-000006000000}">
      <formula1>$G$64:$G$66</formula1>
    </dataValidation>
    <dataValidation type="list" allowBlank="1" showInputMessage="1" showErrorMessage="1" sqref="B37 C37:C38" xr:uid="{6B5690F0-AFDC-4FE3-9378-2A67ACC148F6}">
      <formula1>$G$37:$G$38</formula1>
    </dataValidation>
    <dataValidation type="list" allowBlank="1" showInputMessage="1" showErrorMessage="1" sqref="B343:D345" xr:uid="{DA731C6C-BB71-4C87-8B41-C2612B959409}">
      <formula1>$C$365:$C$367</formula1>
    </dataValidation>
    <dataValidation type="list" allowBlank="1" showInputMessage="1" showErrorMessage="1" sqref="B327:D331" xr:uid="{00000000-0002-0000-0A00-000004000000}">
      <formula1>$B$359:$B$369</formula1>
    </dataValidation>
    <dataValidation type="list" allowBlank="1" showInputMessage="1" showErrorMessage="1" sqref="C248" xr:uid="{E00E05E9-7621-40C3-918E-4C103E8DDF7D}">
      <formula1>$H$246:$H$257</formula1>
    </dataValidation>
  </dataValidations>
  <pageMargins left="0.15748031496062992" right="0.15748031496062992" top="0.39370078740157483" bottom="0.39370078740157483" header="0" footer="0"/>
  <pageSetup scale="70" orientation="portrait" r:id="rId1"/>
  <headerFooter alignWithMargins="0"/>
  <rowBreaks count="5" manualBreakCount="5">
    <brk id="26" max="5" man="1"/>
    <brk id="59" max="5" man="1"/>
    <brk id="100" max="5" man="1"/>
    <brk id="136" max="5" man="1"/>
    <brk id="196" max="5" man="1"/>
  </rowBreaks>
  <ignoredErrors>
    <ignoredError sqref="K24 E252 E254 E248" unlockedFormula="1"/>
    <ignoredError sqref="E128" formula="1"/>
  </ignoredErrors>
  <drawing r:id="rId2"/>
  <legacyDrawing r:id="rId3"/>
  <picture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1865E2"/>
  </sheetPr>
  <dimension ref="A1:H60"/>
  <sheetViews>
    <sheetView showGridLines="0" view="pageBreakPreview" topLeftCell="A16" zoomScale="115" zoomScaleNormal="100" zoomScaleSheetLayoutView="115" workbookViewId="0">
      <selection activeCell="D35" sqref="D35"/>
    </sheetView>
  </sheetViews>
  <sheetFormatPr baseColWidth="10" defaultRowHeight="12.75" x14ac:dyDescent="0.2"/>
  <cols>
    <col min="1" max="1" width="4.140625" customWidth="1"/>
    <col min="2" max="2" width="9.85546875" customWidth="1"/>
    <col min="3" max="3" width="51.7109375" customWidth="1"/>
    <col min="4" max="4" width="21.140625" customWidth="1"/>
    <col min="5" max="5" width="5.28515625" customWidth="1"/>
    <col min="6" max="6" width="16" customWidth="1"/>
    <col min="7" max="7" width="15.7109375" hidden="1" customWidth="1"/>
    <col min="8" max="8" width="16" hidden="1" customWidth="1"/>
    <col min="9" max="10" width="16" customWidth="1"/>
  </cols>
  <sheetData>
    <row r="1" spans="1:6" ht="17.25" customHeight="1" x14ac:dyDescent="0.25">
      <c r="A1" s="2372" t="s">
        <v>727</v>
      </c>
      <c r="B1" s="2373"/>
      <c r="C1" s="2373"/>
      <c r="D1" s="2373"/>
      <c r="E1" s="2373"/>
      <c r="F1" s="2374"/>
    </row>
    <row r="2" spans="1:6" x14ac:dyDescent="0.2">
      <c r="A2" s="2375" t="s">
        <v>491</v>
      </c>
      <c r="B2" s="1350"/>
      <c r="C2" s="513" t="str">
        <f>+'DATOS PARA DEPURAR'!C7</f>
        <v>RIOJAS QUINTERO MAIRA ALEJANDRA</v>
      </c>
      <c r="D2" s="512" t="s">
        <v>347</v>
      </c>
      <c r="E2" s="2376">
        <f>+'DATOS PARA DEPURAR'!E7</f>
        <v>1065263869</v>
      </c>
      <c r="F2" s="2377"/>
    </row>
    <row r="3" spans="1:6" ht="13.5" thickBot="1" x14ac:dyDescent="0.25">
      <c r="A3" s="2378" t="s">
        <v>770</v>
      </c>
      <c r="B3" s="2379"/>
      <c r="C3" s="2379"/>
      <c r="D3" s="2379"/>
      <c r="E3" s="2379"/>
      <c r="F3" s="2380"/>
    </row>
    <row r="4" spans="1:6" ht="17.25" customHeight="1" x14ac:dyDescent="0.25">
      <c r="A4" s="2343" t="s">
        <v>771</v>
      </c>
      <c r="B4" s="2383" t="s">
        <v>472</v>
      </c>
      <c r="C4" s="2384"/>
      <c r="D4" s="2384"/>
      <c r="E4" s="1087">
        <v>32</v>
      </c>
      <c r="F4" s="1088">
        <f>IF(SUM(D5:D12)+SUM(D15:D24)&gt;0,SUM(D5:D12)+SUM(D15:D24),0)</f>
        <v>104803729</v>
      </c>
    </row>
    <row r="5" spans="1:6" ht="12.75" customHeight="1" x14ac:dyDescent="0.2">
      <c r="A5" s="2344"/>
      <c r="B5" s="2382"/>
      <c r="C5" s="1113" t="s">
        <v>362</v>
      </c>
      <c r="D5" s="916">
        <f>+'DATOS PARA DEPURAR'!E29</f>
        <v>82752000</v>
      </c>
      <c r="E5" s="2381" t="s">
        <v>492</v>
      </c>
      <c r="F5" s="2387"/>
    </row>
    <row r="6" spans="1:6" ht="12.75" customHeight="1" x14ac:dyDescent="0.2">
      <c r="A6" s="2344"/>
      <c r="B6" s="2382"/>
      <c r="C6" s="1113" t="s">
        <v>413</v>
      </c>
      <c r="D6" s="916">
        <f>+'DATOS PARA DEPURAR'!E31</f>
        <v>0</v>
      </c>
      <c r="E6" s="2381"/>
      <c r="F6" s="2387"/>
    </row>
    <row r="7" spans="1:6" ht="12.75" customHeight="1" x14ac:dyDescent="0.2">
      <c r="A7" s="2344"/>
      <c r="B7" s="2382"/>
      <c r="C7" s="1113" t="s">
        <v>754</v>
      </c>
      <c r="D7" s="916">
        <f>+'DATOS PARA DEPURAR'!E30</f>
        <v>0</v>
      </c>
      <c r="E7" s="2381"/>
      <c r="F7" s="2387"/>
    </row>
    <row r="8" spans="1:6" ht="12.75" customHeight="1" x14ac:dyDescent="0.2">
      <c r="A8" s="2344"/>
      <c r="B8" s="2382"/>
      <c r="C8" s="1113" t="s">
        <v>310</v>
      </c>
      <c r="D8" s="916">
        <f>+'DATOS PARA DEPURAR'!E32</f>
        <v>10746000</v>
      </c>
      <c r="E8" s="2381"/>
      <c r="F8" s="2387"/>
    </row>
    <row r="9" spans="1:6" ht="12.75" customHeight="1" x14ac:dyDescent="0.2">
      <c r="A9" s="2344"/>
      <c r="B9" s="2382"/>
      <c r="C9" s="1113" t="s">
        <v>311</v>
      </c>
      <c r="D9" s="916">
        <f>+'DATOS PARA DEPURAR'!E33</f>
        <v>0</v>
      </c>
      <c r="E9" s="2381"/>
      <c r="F9" s="2387"/>
    </row>
    <row r="10" spans="1:6" ht="12.75" customHeight="1" x14ac:dyDescent="0.2">
      <c r="A10" s="2344"/>
      <c r="B10" s="2382"/>
      <c r="C10" s="1113" t="s">
        <v>4</v>
      </c>
      <c r="D10" s="916">
        <f>+'DATOS PARA DEPURAR'!E34</f>
        <v>0</v>
      </c>
      <c r="E10" s="2381"/>
      <c r="F10" s="2387"/>
    </row>
    <row r="11" spans="1:6" ht="19.5" customHeight="1" x14ac:dyDescent="0.2">
      <c r="A11" s="2344"/>
      <c r="B11" s="2382"/>
      <c r="C11" s="899" t="s">
        <v>317</v>
      </c>
      <c r="D11" s="916">
        <f>+'DATOS PARA DEPURAR'!E35</f>
        <v>0</v>
      </c>
      <c r="E11" s="2381"/>
      <c r="F11" s="2387"/>
    </row>
    <row r="12" spans="1:6" ht="17.25" customHeight="1" x14ac:dyDescent="0.2">
      <c r="A12" s="2344"/>
      <c r="B12" s="2382"/>
      <c r="C12" s="899" t="s">
        <v>43</v>
      </c>
      <c r="D12" s="916">
        <f>+'DATOS PARA DEPURAR'!E36</f>
        <v>0</v>
      </c>
      <c r="E12" s="2381"/>
      <c r="F12" s="2387"/>
    </row>
    <row r="13" spans="1:6" ht="24.75" customHeight="1" x14ac:dyDescent="0.3">
      <c r="A13" s="2344"/>
      <c r="B13" s="2382"/>
      <c r="C13" s="900" t="str">
        <f>+'DATOS PARA DEPURAR'!B37</f>
        <v>S</v>
      </c>
      <c r="D13" s="1021" t="str">
        <f>+'DATOS PARA DEPURAR'!C37</f>
        <v>N</v>
      </c>
      <c r="E13" s="2381"/>
      <c r="F13" s="2387"/>
    </row>
    <row r="14" spans="1:6" ht="24.75" customHeight="1" x14ac:dyDescent="0.2">
      <c r="A14" s="2344"/>
      <c r="B14" s="2382"/>
      <c r="C14" s="901"/>
      <c r="D14" s="1022" t="str">
        <f>'DATOS PARA DEPURAR'!C38</f>
        <v>N</v>
      </c>
      <c r="E14" s="2381"/>
      <c r="F14" s="2387"/>
    </row>
    <row r="15" spans="1:6" ht="15.75" customHeight="1" x14ac:dyDescent="0.2">
      <c r="A15" s="2344"/>
      <c r="B15" s="2382"/>
      <c r="C15" s="899" t="s">
        <v>44</v>
      </c>
      <c r="D15" s="916">
        <f>+'DATOS PARA DEPURAR'!E39</f>
        <v>0</v>
      </c>
      <c r="E15" s="2381"/>
      <c r="F15" s="2387"/>
    </row>
    <row r="16" spans="1:6" ht="12.75" customHeight="1" x14ac:dyDescent="0.2">
      <c r="A16" s="2344"/>
      <c r="B16" s="2382"/>
      <c r="C16" s="898" t="s">
        <v>316</v>
      </c>
      <c r="D16" s="916">
        <f>+'DATOS PARA DEPURAR'!E40</f>
        <v>0</v>
      </c>
      <c r="E16" s="2381"/>
      <c r="F16" s="2387"/>
    </row>
    <row r="17" spans="1:8" ht="12.75" customHeight="1" x14ac:dyDescent="0.2">
      <c r="A17" s="2344"/>
      <c r="B17" s="2382"/>
      <c r="C17" s="898" t="s">
        <v>27</v>
      </c>
      <c r="D17" s="916">
        <f>+'DATOS PARA DEPURAR'!E41</f>
        <v>0</v>
      </c>
      <c r="E17" s="2381"/>
      <c r="F17" s="2387"/>
    </row>
    <row r="18" spans="1:8" ht="12.75" customHeight="1" x14ac:dyDescent="0.2">
      <c r="A18" s="2344"/>
      <c r="B18" s="2382"/>
      <c r="C18" s="898" t="s">
        <v>28</v>
      </c>
      <c r="D18" s="916">
        <f>+'DATOS PARA DEPURAR'!E42</f>
        <v>0</v>
      </c>
      <c r="E18" s="2381"/>
      <c r="F18" s="2387"/>
    </row>
    <row r="19" spans="1:8" ht="12.75" customHeight="1" x14ac:dyDescent="0.2">
      <c r="A19" s="2344"/>
      <c r="B19" s="2382"/>
      <c r="C19" s="898" t="s">
        <v>19</v>
      </c>
      <c r="D19" s="916">
        <f>+'DATOS PARA DEPURAR'!E43</f>
        <v>0</v>
      </c>
      <c r="E19" s="2381"/>
      <c r="F19" s="2387"/>
    </row>
    <row r="20" spans="1:8" ht="12.75" customHeight="1" x14ac:dyDescent="0.2">
      <c r="A20" s="2344"/>
      <c r="B20" s="2382"/>
      <c r="C20" s="898" t="s">
        <v>699</v>
      </c>
      <c r="D20" s="916">
        <f>+'DATOS PARA DEPURAR'!E46</f>
        <v>4000000</v>
      </c>
      <c r="E20" s="2381"/>
      <c r="F20" s="2387"/>
    </row>
    <row r="21" spans="1:8" ht="12.75" customHeight="1" x14ac:dyDescent="0.2">
      <c r="A21" s="2344"/>
      <c r="B21" s="2382"/>
      <c r="C21" s="898" t="s">
        <v>449</v>
      </c>
      <c r="D21" s="916">
        <f>+'DATOS PARA DEPURAR'!E44</f>
        <v>7305729</v>
      </c>
      <c r="E21" s="2381"/>
      <c r="F21" s="2387"/>
    </row>
    <row r="22" spans="1:8" ht="12.75" customHeight="1" x14ac:dyDescent="0.2">
      <c r="A22" s="2344"/>
      <c r="B22" s="917"/>
      <c r="C22" s="898" t="s">
        <v>755</v>
      </c>
      <c r="D22" s="916">
        <f>+'DATOS PARA DEPURAR'!E47</f>
        <v>0</v>
      </c>
      <c r="E22" s="2381"/>
      <c r="F22" s="2387"/>
    </row>
    <row r="23" spans="1:8" ht="17.25" customHeight="1" x14ac:dyDescent="0.25">
      <c r="A23" s="2344"/>
      <c r="B23" s="2385" t="s">
        <v>756</v>
      </c>
      <c r="C23" s="2386"/>
      <c r="D23" s="2386"/>
      <c r="E23" s="2381"/>
      <c r="F23" s="2387"/>
    </row>
    <row r="24" spans="1:8" ht="20.25" customHeight="1" x14ac:dyDescent="0.2">
      <c r="A24" s="2344"/>
      <c r="B24" s="1105" t="s">
        <v>952</v>
      </c>
      <c r="C24" s="1084" t="s">
        <v>953</v>
      </c>
      <c r="D24" s="1085">
        <f>+'DATOS PARA DEPURAR'!E52+'DATOS PARA DEPURAR'!E54</f>
        <v>0</v>
      </c>
      <c r="E24" s="2381"/>
      <c r="F24" s="2387"/>
    </row>
    <row r="25" spans="1:8" ht="18.75" customHeight="1" x14ac:dyDescent="0.2">
      <c r="A25" s="2344"/>
      <c r="B25" s="2360" t="s">
        <v>474</v>
      </c>
      <c r="C25" s="2361"/>
      <c r="D25" s="2361"/>
      <c r="E25" s="1089">
        <v>33</v>
      </c>
      <c r="F25" s="1090">
        <f>IF(SUM(D26:D30)&gt;0,SUM(D26:D30),0)</f>
        <v>0</v>
      </c>
    </row>
    <row r="26" spans="1:8" ht="15" customHeight="1" x14ac:dyDescent="0.25">
      <c r="A26" s="2344"/>
      <c r="B26" s="928"/>
      <c r="C26" s="908" t="s">
        <v>516</v>
      </c>
      <c r="D26" s="913">
        <f>+'DATOS PARA DEPURAR'!C118</f>
        <v>0</v>
      </c>
      <c r="E26" s="2366"/>
      <c r="F26" s="2367"/>
    </row>
    <row r="27" spans="1:8" ht="15" customHeight="1" x14ac:dyDescent="0.25">
      <c r="A27" s="2344"/>
      <c r="B27" s="928"/>
      <c r="C27" s="908" t="s">
        <v>959</v>
      </c>
      <c r="D27" s="913">
        <f>+'DATOS PARA DEPURAR'!C121</f>
        <v>0</v>
      </c>
      <c r="E27" s="2368"/>
      <c r="F27" s="2369"/>
    </row>
    <row r="28" spans="1:8" ht="15" customHeight="1" x14ac:dyDescent="0.25">
      <c r="A28" s="2344"/>
      <c r="B28" s="928"/>
      <c r="C28" s="908" t="s">
        <v>960</v>
      </c>
      <c r="D28" s="913">
        <f>MIN(H28:H31)</f>
        <v>0</v>
      </c>
      <c r="E28" s="2368"/>
      <c r="F28" s="2369"/>
      <c r="H28" s="1">
        <f>+'DATOS PARA DEPURAR'!C124</f>
        <v>0</v>
      </c>
    </row>
    <row r="29" spans="1:8" ht="15" customHeight="1" x14ac:dyDescent="0.25">
      <c r="A29" s="2344"/>
      <c r="B29" s="928"/>
      <c r="C29" s="902" t="s">
        <v>755</v>
      </c>
      <c r="D29" s="913">
        <f>+'DATOS PARA DEPURAR'!E126</f>
        <v>0</v>
      </c>
      <c r="E29" s="2368"/>
      <c r="F29" s="2369"/>
      <c r="H29" s="1"/>
    </row>
    <row r="30" spans="1:8" ht="15" customHeight="1" x14ac:dyDescent="0.25">
      <c r="A30" s="2344"/>
      <c r="B30" s="928"/>
      <c r="C30" s="908" t="s">
        <v>4</v>
      </c>
      <c r="D30" s="913">
        <f>+'DATOS PARA DEPURAR'!E117</f>
        <v>0</v>
      </c>
      <c r="E30" s="2370"/>
      <c r="F30" s="2371"/>
      <c r="H30" s="1">
        <f>F4*25%</f>
        <v>26200932.25</v>
      </c>
    </row>
    <row r="31" spans="1:8" ht="17.25" customHeight="1" x14ac:dyDescent="0.25">
      <c r="A31" s="2344"/>
      <c r="B31" s="757" t="s">
        <v>962</v>
      </c>
      <c r="C31" s="758"/>
      <c r="D31" s="758"/>
      <c r="E31" s="1089">
        <v>34</v>
      </c>
      <c r="F31" s="1090">
        <f>IF((F4-F25)&gt;0,F4-F25,0)</f>
        <v>104803729</v>
      </c>
      <c r="H31" s="1">
        <f>2500*'DATOS PARA DEPURAR'!C24</f>
        <v>106030000</v>
      </c>
    </row>
    <row r="32" spans="1:8" ht="15.75" customHeight="1" thickBot="1" x14ac:dyDescent="0.3">
      <c r="A32" s="2344"/>
      <c r="B32" s="2363" t="s">
        <v>476</v>
      </c>
      <c r="C32" s="2364"/>
      <c r="D32" s="2364"/>
      <c r="E32" s="1089">
        <v>40</v>
      </c>
      <c r="F32" s="1091">
        <f>+D33+D39</f>
        <v>41581597.625</v>
      </c>
    </row>
    <row r="33" spans="1:8" ht="18" customHeight="1" thickTop="1" x14ac:dyDescent="0.25">
      <c r="A33" s="2344"/>
      <c r="B33" s="1106"/>
      <c r="C33" s="918" t="s">
        <v>477</v>
      </c>
      <c r="D33" s="1114">
        <f>SUM(D34:D38)</f>
        <v>1289491.5</v>
      </c>
      <c r="E33" s="2358"/>
      <c r="F33" s="2359"/>
    </row>
    <row r="34" spans="1:8" ht="15.75" customHeight="1" x14ac:dyDescent="0.2">
      <c r="A34" s="2344"/>
      <c r="B34" s="2355" t="s">
        <v>482</v>
      </c>
      <c r="C34" s="908" t="s">
        <v>504</v>
      </c>
      <c r="D34" s="916">
        <f>IF('DATOS PARA DEPURAR'!C245&lt;=1200*'DATOS PARA DEPURAR'!C24,'DATOS PARA DEPURAR'!C245,1200*'DATOS PARA DEPURAR'!C24)</f>
        <v>0</v>
      </c>
      <c r="E34" s="2358"/>
      <c r="F34" s="2359"/>
    </row>
    <row r="35" spans="1:8" ht="13.5" customHeight="1" x14ac:dyDescent="0.2">
      <c r="A35" s="2344"/>
      <c r="B35" s="2355"/>
      <c r="C35" s="1086" t="s">
        <v>761</v>
      </c>
      <c r="D35" s="916">
        <f>+'DEPURACION ORDINARIO 2017'!E23</f>
        <v>0</v>
      </c>
      <c r="E35" s="2358"/>
      <c r="F35" s="2359"/>
    </row>
    <row r="36" spans="1:8" ht="13.5" customHeight="1" x14ac:dyDescent="0.2">
      <c r="A36" s="2344"/>
      <c r="B36" s="2355"/>
      <c r="C36" s="1086" t="s">
        <v>478</v>
      </c>
      <c r="D36" s="916">
        <f>+'DATOS PARA DEPURAR'!D251</f>
        <v>0</v>
      </c>
      <c r="E36" s="2358"/>
      <c r="F36" s="2359"/>
    </row>
    <row r="37" spans="1:8" ht="18.75" customHeight="1" x14ac:dyDescent="0.2">
      <c r="A37" s="2344"/>
      <c r="B37" s="1107" t="s">
        <v>943</v>
      </c>
      <c r="C37" s="1118" t="s">
        <v>944</v>
      </c>
      <c r="D37" s="916">
        <f>+'DATOS PARA DEPURAR'!C254</f>
        <v>0</v>
      </c>
      <c r="E37" s="2358"/>
      <c r="F37" s="2359"/>
    </row>
    <row r="38" spans="1:8" ht="13.5" customHeight="1" thickBot="1" x14ac:dyDescent="0.25">
      <c r="A38" s="2344"/>
      <c r="B38" s="635" t="s">
        <v>483</v>
      </c>
      <c r="C38" s="1086" t="s">
        <v>184</v>
      </c>
      <c r="D38" s="916">
        <f>IF('DATOS PARA DEPURAR'!C249&gt;0,'DATOS PARA DEPURAR'!C249*0.5,0)</f>
        <v>1289491.5</v>
      </c>
      <c r="E38" s="2358"/>
      <c r="F38" s="2359"/>
    </row>
    <row r="39" spans="1:8" ht="14.25" customHeight="1" thickTop="1" x14ac:dyDescent="0.25">
      <c r="A39" s="2344"/>
      <c r="B39" s="1106"/>
      <c r="C39" s="918" t="s">
        <v>479</v>
      </c>
      <c r="D39" s="919">
        <f>MIN(D42:D44)+SUM(D45:D52)</f>
        <v>40292106.125</v>
      </c>
      <c r="E39" s="2358"/>
      <c r="F39" s="2359"/>
    </row>
    <row r="40" spans="1:8" x14ac:dyDescent="0.2">
      <c r="A40" s="2344"/>
      <c r="B40" s="635" t="s">
        <v>484</v>
      </c>
      <c r="C40" s="905" t="s">
        <v>979</v>
      </c>
      <c r="D40" s="638">
        <f>+'DATOS PARA DEPURAR'!C288</f>
        <v>0</v>
      </c>
      <c r="E40" s="2358"/>
      <c r="F40" s="2359"/>
      <c r="H40" s="535" t="s">
        <v>565</v>
      </c>
    </row>
    <row r="41" spans="1:8" x14ac:dyDescent="0.2">
      <c r="A41" s="2344"/>
      <c r="B41" s="635" t="s">
        <v>485</v>
      </c>
      <c r="C41" s="905" t="s">
        <v>765</v>
      </c>
      <c r="D41" s="638">
        <f>+'DATOS PARA DEPURAR'!C291</f>
        <v>6579000</v>
      </c>
      <c r="E41" s="2358"/>
      <c r="F41" s="2359"/>
      <c r="H41" s="1">
        <f>IF(F31&gt;0,((F31-D33-SUM(D45:D50))-MIN(D42:D44))*0.25,0)</f>
        <v>22407377.125</v>
      </c>
    </row>
    <row r="42" spans="1:8" ht="12.75" customHeight="1" x14ac:dyDescent="0.2">
      <c r="A42" s="2344"/>
      <c r="B42" s="2362" t="s">
        <v>20</v>
      </c>
      <c r="C42" s="906" t="s">
        <v>764</v>
      </c>
      <c r="D42" s="914">
        <f>SUM(D40:D41)</f>
        <v>6579000</v>
      </c>
      <c r="E42" s="2358"/>
      <c r="F42" s="2359"/>
      <c r="H42" s="1">
        <f>790*'DATOS PARA DEPURAR'!C24</f>
        <v>33505480</v>
      </c>
    </row>
    <row r="43" spans="1:8" ht="11.25" customHeight="1" x14ac:dyDescent="0.2">
      <c r="A43" s="2344"/>
      <c r="B43" s="2362"/>
      <c r="C43" s="907" t="s">
        <v>763</v>
      </c>
      <c r="D43" s="915">
        <f>IF(D42&gt;0,(F4*30%),0)</f>
        <v>31441118.699999999</v>
      </c>
      <c r="E43" s="2358"/>
      <c r="F43" s="2359"/>
      <c r="H43" s="1"/>
    </row>
    <row r="44" spans="1:8" ht="10.5" customHeight="1" x14ac:dyDescent="0.2">
      <c r="A44" s="2344"/>
      <c r="B44" s="2362"/>
      <c r="C44" s="907" t="s">
        <v>628</v>
      </c>
      <c r="D44" s="915">
        <f>IF(D42&gt;0,(3800*'DATOS PARA DEPURAR'!C24),0)</f>
        <v>161165600</v>
      </c>
      <c r="E44" s="2358"/>
      <c r="F44" s="2359"/>
      <c r="H44" s="1"/>
    </row>
    <row r="45" spans="1:8" ht="10.5" customHeight="1" x14ac:dyDescent="0.2">
      <c r="A45" s="2344"/>
      <c r="B45" s="2365" t="s">
        <v>486</v>
      </c>
      <c r="C45" s="908" t="s">
        <v>43</v>
      </c>
      <c r="D45" s="916">
        <f>+'DATOS PARA DEPURAR'!E293</f>
        <v>0</v>
      </c>
      <c r="E45" s="2358"/>
      <c r="F45" s="2359"/>
      <c r="H45" s="591">
        <f>+(F31-D33-SUM(D45:D50)-MIN(D42:D44))</f>
        <v>89629508.5</v>
      </c>
    </row>
    <row r="46" spans="1:8" ht="12" customHeight="1" x14ac:dyDescent="0.2">
      <c r="A46" s="2344"/>
      <c r="B46" s="2365"/>
      <c r="C46" s="909" t="s">
        <v>26</v>
      </c>
      <c r="D46" s="916">
        <f>+'DATOS PARA DEPURAR'!E295</f>
        <v>0</v>
      </c>
      <c r="E46" s="2358"/>
      <c r="F46" s="2359"/>
    </row>
    <row r="47" spans="1:8" ht="15.75" customHeight="1" x14ac:dyDescent="0.2">
      <c r="A47" s="2344"/>
      <c r="B47" s="2365"/>
      <c r="C47" s="909" t="s">
        <v>27</v>
      </c>
      <c r="D47" s="916">
        <f>+'DATOS PARA DEPURAR'!E297</f>
        <v>0</v>
      </c>
      <c r="E47" s="2358"/>
      <c r="F47" s="2359"/>
    </row>
    <row r="48" spans="1:8" ht="21" customHeight="1" x14ac:dyDescent="0.2">
      <c r="A48" s="2344"/>
      <c r="B48" s="2365"/>
      <c r="C48" s="909" t="s">
        <v>317</v>
      </c>
      <c r="D48" s="916">
        <f>+'DATOS PARA DEPURAR'!E304</f>
        <v>0</v>
      </c>
      <c r="E48" s="2358"/>
      <c r="F48" s="2359"/>
    </row>
    <row r="49" spans="1:6" ht="15" customHeight="1" x14ac:dyDescent="0.2">
      <c r="A49" s="2344"/>
      <c r="B49" s="2365"/>
      <c r="C49" s="1086" t="s">
        <v>449</v>
      </c>
      <c r="D49" s="916">
        <f>+'DATOS PARA DEPURAR'!E299</f>
        <v>7305729</v>
      </c>
      <c r="E49" s="2358"/>
      <c r="F49" s="2359"/>
    </row>
    <row r="50" spans="1:6" ht="13.5" customHeight="1" x14ac:dyDescent="0.2">
      <c r="A50" s="2344"/>
      <c r="B50" s="2365"/>
      <c r="C50" s="1086" t="s">
        <v>28</v>
      </c>
      <c r="D50" s="916">
        <f>+'DATOS PARA DEPURAR'!E298</f>
        <v>0</v>
      </c>
      <c r="E50" s="2358"/>
      <c r="F50" s="2359"/>
    </row>
    <row r="51" spans="1:6" ht="10.5" customHeight="1" x14ac:dyDescent="0.2">
      <c r="A51" s="2344"/>
      <c r="B51" s="2365"/>
      <c r="C51" s="909" t="s">
        <v>452</v>
      </c>
      <c r="D51" s="1100">
        <f>MIN(H41:H42)</f>
        <v>22407377.125</v>
      </c>
      <c r="E51" s="2358"/>
      <c r="F51" s="2359"/>
    </row>
    <row r="52" spans="1:6" ht="14.25" customHeight="1" thickBot="1" x14ac:dyDescent="0.25">
      <c r="A52" s="2344"/>
      <c r="B52" s="1108" t="s">
        <v>487</v>
      </c>
      <c r="C52" s="1115" t="s">
        <v>411</v>
      </c>
      <c r="D52" s="1116">
        <f>IF((D20&gt;0),('DATOS PARA DEPURAR'!E300),0)</f>
        <v>4000000</v>
      </c>
      <c r="E52" s="2358"/>
      <c r="F52" s="2359"/>
    </row>
    <row r="53" spans="1:6" ht="20.25" customHeight="1" thickTop="1" x14ac:dyDescent="0.2">
      <c r="A53" s="2344"/>
      <c r="B53" s="2352" t="s">
        <v>488</v>
      </c>
      <c r="C53" s="2353"/>
      <c r="D53" s="2354"/>
      <c r="E53" s="1092">
        <v>41</v>
      </c>
      <c r="F53" s="1091">
        <f>MIN(D54:D56)</f>
        <v>41581597.625</v>
      </c>
    </row>
    <row r="54" spans="1:6" ht="15" customHeight="1" x14ac:dyDescent="0.2">
      <c r="A54" s="2344"/>
      <c r="B54" s="637"/>
      <c r="C54" s="1104" t="s">
        <v>493</v>
      </c>
      <c r="D54" s="1098">
        <f>+F32</f>
        <v>41581597.625</v>
      </c>
      <c r="E54" s="2336"/>
      <c r="F54" s="2337"/>
    </row>
    <row r="55" spans="1:6" ht="15" customHeight="1" x14ac:dyDescent="0.2">
      <c r="A55" s="2344"/>
      <c r="B55" s="637"/>
      <c r="C55" s="1104" t="s">
        <v>955</v>
      </c>
      <c r="D55" s="916">
        <f>IF((F4-F25)&gt;0,(F4-F25)*40%,0)</f>
        <v>41921491.600000001</v>
      </c>
      <c r="E55" s="2338"/>
      <c r="F55" s="2339"/>
    </row>
    <row r="56" spans="1:6" ht="15" customHeight="1" x14ac:dyDescent="0.2">
      <c r="A56" s="2344"/>
      <c r="B56" s="637"/>
      <c r="C56" s="1104" t="s">
        <v>954</v>
      </c>
      <c r="D56" s="1100">
        <f>IF((F4-F25)&gt;0,1340*'DATOS PARA DEPURAR'!C24,0)</f>
        <v>56832080</v>
      </c>
      <c r="E56" s="2338"/>
      <c r="F56" s="2339"/>
    </row>
    <row r="57" spans="1:6" ht="21" customHeight="1" thickBot="1" x14ac:dyDescent="0.25">
      <c r="A57" s="2344"/>
      <c r="B57" s="2356" t="s">
        <v>961</v>
      </c>
      <c r="C57" s="2357"/>
      <c r="D57" s="2357"/>
      <c r="E57" s="1093">
        <v>42</v>
      </c>
      <c r="F57" s="1094">
        <f>+F31-F53</f>
        <v>63222131.375</v>
      </c>
    </row>
    <row r="58" spans="1:6" ht="16.5" customHeight="1" x14ac:dyDescent="0.2">
      <c r="A58" s="2344"/>
      <c r="B58" s="2340" t="s">
        <v>957</v>
      </c>
      <c r="C58" s="2341"/>
      <c r="D58" s="2341"/>
      <c r="E58" s="2341"/>
      <c r="F58" s="2342"/>
    </row>
    <row r="59" spans="1:6" x14ac:dyDescent="0.2">
      <c r="A59" s="2344"/>
      <c r="B59" s="2348"/>
      <c r="C59" s="1095" t="s">
        <v>768</v>
      </c>
      <c r="D59" s="1096">
        <f>+'DATOS PARA DEPURAR'!E248</f>
        <v>9160992</v>
      </c>
      <c r="E59" s="2350"/>
      <c r="F59" s="2351"/>
    </row>
    <row r="60" spans="1:6" ht="13.5" thickBot="1" x14ac:dyDescent="0.25">
      <c r="A60" s="2345"/>
      <c r="B60" s="2349"/>
      <c r="C60" s="1101" t="s">
        <v>956</v>
      </c>
      <c r="D60" s="1102"/>
      <c r="E60" s="2346">
        <f>IF(F4&gt;0,D59,0)</f>
        <v>9160992</v>
      </c>
      <c r="F60" s="2347"/>
    </row>
  </sheetData>
  <mergeCells count="24">
    <mergeCell ref="A1:F1"/>
    <mergeCell ref="A2:B2"/>
    <mergeCell ref="E2:F2"/>
    <mergeCell ref="A3:F3"/>
    <mergeCell ref="E5:E24"/>
    <mergeCell ref="B5:B21"/>
    <mergeCell ref="B4:D4"/>
    <mergeCell ref="B23:D23"/>
    <mergeCell ref="F5:F24"/>
    <mergeCell ref="E54:F56"/>
    <mergeCell ref="B58:F58"/>
    <mergeCell ref="A4:A60"/>
    <mergeCell ref="E60:F60"/>
    <mergeCell ref="B59:B60"/>
    <mergeCell ref="E59:F59"/>
    <mergeCell ref="B53:D53"/>
    <mergeCell ref="B34:B36"/>
    <mergeCell ref="B57:D57"/>
    <mergeCell ref="E33:F52"/>
    <mergeCell ref="B25:D25"/>
    <mergeCell ref="B42:B44"/>
    <mergeCell ref="B32:D32"/>
    <mergeCell ref="B45:B51"/>
    <mergeCell ref="E26:F30"/>
  </mergeCells>
  <hyperlinks>
    <hyperlink ref="A3" r:id="rId1" xr:uid="{86F4CEDD-8BC0-47BD-B98C-10B1F4B707BB}"/>
  </hyperlinks>
  <printOptions horizontalCentered="1" verticalCentered="1"/>
  <pageMargins left="0.11811023622047245" right="0.11811023622047245" top="0.15748031496062992" bottom="0.15748031496062992" header="0.31496062992125984" footer="0.31496062992125984"/>
  <pageSetup scale="80" orientation="portrait" r:id="rId2"/>
  <ignoredErrors>
    <ignoredError sqref="C13 D13:D14" unlockedFormula="1"/>
  </ignoredErrors>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EE1B-58E4-46EA-8510-14ED244D2AFB}">
  <sheetPr>
    <tabColor rgb="FFFF0000"/>
  </sheetPr>
  <dimension ref="A1:R30"/>
  <sheetViews>
    <sheetView showGridLines="0" view="pageBreakPreview" topLeftCell="A7" zoomScaleNormal="100" zoomScaleSheetLayoutView="100" workbookViewId="0">
      <selection activeCell="K33" sqref="K33"/>
    </sheetView>
  </sheetViews>
  <sheetFormatPr baseColWidth="10" defaultRowHeight="12.75" x14ac:dyDescent="0.2"/>
  <cols>
    <col min="1" max="1" width="0.85546875" customWidth="1"/>
    <col min="2" max="2" width="82.85546875" customWidth="1"/>
    <col min="3" max="3" width="41.7109375" customWidth="1"/>
    <col min="4" max="4" width="6.28515625" hidden="1" customWidth="1"/>
    <col min="5" max="6" width="7" hidden="1" customWidth="1"/>
    <col min="7" max="7" width="10.140625" hidden="1" customWidth="1"/>
    <col min="8" max="8" width="9.140625" customWidth="1"/>
    <col min="9" max="9" width="10" customWidth="1"/>
    <col min="10" max="10" width="8.5703125" customWidth="1"/>
    <col min="11" max="11" width="6.7109375" customWidth="1"/>
    <col min="12" max="12" width="6" customWidth="1"/>
    <col min="13" max="13" width="6.140625" customWidth="1"/>
    <col min="14" max="14" width="5" customWidth="1"/>
    <col min="15" max="15" width="8.28515625" customWidth="1"/>
    <col min="16" max="16" width="12.140625" customWidth="1"/>
    <col min="17" max="17" width="0.7109375" customWidth="1"/>
    <col min="18" max="18" width="11.42578125" hidden="1" customWidth="1"/>
  </cols>
  <sheetData>
    <row r="1" spans="1:7" ht="15.75" x14ac:dyDescent="0.25">
      <c r="A1" s="16"/>
      <c r="B1" s="964" t="s">
        <v>838</v>
      </c>
      <c r="C1" s="17"/>
      <c r="D1" s="21"/>
    </row>
    <row r="2" spans="1:7" ht="5.25" customHeight="1" thickBot="1" x14ac:dyDescent="0.25">
      <c r="A2" s="46"/>
      <c r="D2" s="47"/>
    </row>
    <row r="3" spans="1:7" ht="23.25" customHeight="1" x14ac:dyDescent="0.2">
      <c r="A3" s="46"/>
      <c r="B3" s="965" t="s">
        <v>839</v>
      </c>
      <c r="C3" s="966" t="s">
        <v>840</v>
      </c>
      <c r="D3" s="47"/>
    </row>
    <row r="4" spans="1:7" ht="23.25" customHeight="1" x14ac:dyDescent="0.2">
      <c r="A4" s="46"/>
      <c r="B4" s="1162" t="s">
        <v>846</v>
      </c>
      <c r="C4" s="1163">
        <v>1</v>
      </c>
      <c r="D4" s="47"/>
      <c r="E4" t="s">
        <v>842</v>
      </c>
      <c r="F4" s="535" t="s">
        <v>843</v>
      </c>
      <c r="G4">
        <f>IF(C4&gt;0,1,0)</f>
        <v>1</v>
      </c>
    </row>
    <row r="5" spans="1:7" ht="23.25" customHeight="1" x14ac:dyDescent="0.2">
      <c r="A5" s="46"/>
      <c r="B5" s="2388" t="s">
        <v>986</v>
      </c>
      <c r="C5" s="2389"/>
      <c r="D5" s="47"/>
      <c r="E5" t="s">
        <v>844</v>
      </c>
      <c r="F5" s="535" t="s">
        <v>845</v>
      </c>
    </row>
    <row r="6" spans="1:7" ht="23.25" customHeight="1" thickBot="1" x14ac:dyDescent="0.25">
      <c r="A6" s="46"/>
      <c r="B6" s="2390" t="s">
        <v>843</v>
      </c>
      <c r="C6" s="2391"/>
      <c r="D6" s="47"/>
      <c r="E6" t="s">
        <v>846</v>
      </c>
      <c r="F6" s="535" t="s">
        <v>847</v>
      </c>
    </row>
    <row r="7" spans="1:7" ht="13.5" thickBot="1" x14ac:dyDescent="0.25">
      <c r="A7" s="46"/>
      <c r="B7" s="2392"/>
      <c r="C7" s="2392"/>
      <c r="D7" s="47"/>
      <c r="E7" t="s">
        <v>848</v>
      </c>
      <c r="F7" s="535" t="s">
        <v>849</v>
      </c>
    </row>
    <row r="8" spans="1:7" ht="19.5" customHeight="1" x14ac:dyDescent="0.2">
      <c r="A8" s="46"/>
      <c r="B8" s="965" t="s">
        <v>850</v>
      </c>
      <c r="C8" s="966" t="s">
        <v>851</v>
      </c>
      <c r="D8" s="47"/>
      <c r="E8" t="s">
        <v>852</v>
      </c>
      <c r="F8" s="535" t="s">
        <v>853</v>
      </c>
    </row>
    <row r="9" spans="1:7" ht="19.5" customHeight="1" x14ac:dyDescent="0.2">
      <c r="A9" s="46"/>
      <c r="B9" s="1162" t="s">
        <v>841</v>
      </c>
      <c r="C9" s="1164">
        <v>1</v>
      </c>
      <c r="D9" s="47"/>
      <c r="E9" t="s">
        <v>854</v>
      </c>
      <c r="F9">
        <v>0</v>
      </c>
      <c r="G9">
        <f>IF(C9&gt;0,1,0)</f>
        <v>1</v>
      </c>
    </row>
    <row r="10" spans="1:7" ht="19.5" customHeight="1" x14ac:dyDescent="0.2">
      <c r="A10" s="46"/>
      <c r="B10" s="2388" t="s">
        <v>855</v>
      </c>
      <c r="C10" s="2389"/>
      <c r="D10" s="47"/>
      <c r="E10" t="s">
        <v>856</v>
      </c>
      <c r="F10">
        <v>1</v>
      </c>
    </row>
    <row r="11" spans="1:7" ht="19.5" customHeight="1" thickBot="1" x14ac:dyDescent="0.25">
      <c r="A11" s="46"/>
      <c r="B11" s="2390" t="s">
        <v>843</v>
      </c>
      <c r="C11" s="2391"/>
      <c r="D11" s="47"/>
      <c r="E11" t="s">
        <v>857</v>
      </c>
      <c r="F11">
        <v>2</v>
      </c>
    </row>
    <row r="12" spans="1:7" ht="13.5" thickBot="1" x14ac:dyDescent="0.25">
      <c r="A12" s="46"/>
      <c r="B12" s="2392"/>
      <c r="C12" s="2392"/>
      <c r="D12" s="47"/>
      <c r="E12" t="s">
        <v>858</v>
      </c>
      <c r="F12">
        <v>3</v>
      </c>
    </row>
    <row r="13" spans="1:7" ht="21.75" customHeight="1" x14ac:dyDescent="0.2">
      <c r="A13" s="46"/>
      <c r="B13" s="965" t="s">
        <v>859</v>
      </c>
      <c r="C13" s="966" t="s">
        <v>860</v>
      </c>
      <c r="D13" s="47"/>
      <c r="E13" t="s">
        <v>861</v>
      </c>
      <c r="F13">
        <v>4</v>
      </c>
    </row>
    <row r="14" spans="1:7" ht="18.75" customHeight="1" x14ac:dyDescent="0.2">
      <c r="A14" s="46"/>
      <c r="B14" s="1162" t="s">
        <v>841</v>
      </c>
      <c r="C14" s="1164">
        <v>1</v>
      </c>
      <c r="D14" s="47"/>
      <c r="F14">
        <v>5</v>
      </c>
      <c r="G14">
        <f>IF(C14&gt;0,1,0)</f>
        <v>1</v>
      </c>
    </row>
    <row r="15" spans="1:7" ht="18.75" customHeight="1" x14ac:dyDescent="0.2">
      <c r="A15" s="46"/>
      <c r="B15" s="2388" t="s">
        <v>862</v>
      </c>
      <c r="C15" s="2389"/>
      <c r="D15" s="47"/>
    </row>
    <row r="16" spans="1:7" ht="18.75" customHeight="1" thickBot="1" x14ac:dyDescent="0.25">
      <c r="A16" s="46"/>
      <c r="B16" s="2390" t="s">
        <v>845</v>
      </c>
      <c r="C16" s="2391"/>
      <c r="D16" s="47"/>
    </row>
    <row r="17" spans="1:7" ht="13.5" thickBot="1" x14ac:dyDescent="0.25">
      <c r="A17" s="46"/>
      <c r="B17" s="2392"/>
      <c r="C17" s="2392"/>
      <c r="D17" s="47"/>
    </row>
    <row r="18" spans="1:7" ht="21" customHeight="1" x14ac:dyDescent="0.2">
      <c r="A18" s="46"/>
      <c r="B18" s="965" t="s">
        <v>863</v>
      </c>
      <c r="C18" s="966" t="s">
        <v>864</v>
      </c>
      <c r="D18" s="47"/>
    </row>
    <row r="19" spans="1:7" ht="21" customHeight="1" x14ac:dyDescent="0.2">
      <c r="A19" s="46"/>
      <c r="B19" s="1162" t="s">
        <v>841</v>
      </c>
      <c r="C19" s="1164"/>
      <c r="D19" s="47"/>
      <c r="G19">
        <f>IF(C19&gt;0,1,0)</f>
        <v>0</v>
      </c>
    </row>
    <row r="20" spans="1:7" ht="21" customHeight="1" x14ac:dyDescent="0.2">
      <c r="A20" s="46"/>
      <c r="B20" s="2388" t="s">
        <v>865</v>
      </c>
      <c r="C20" s="2389"/>
      <c r="D20" s="47"/>
    </row>
    <row r="21" spans="1:7" ht="21" customHeight="1" thickBot="1" x14ac:dyDescent="0.25">
      <c r="A21" s="46"/>
      <c r="B21" s="2390" t="s">
        <v>843</v>
      </c>
      <c r="C21" s="2391"/>
      <c r="D21" s="47"/>
    </row>
    <row r="22" spans="1:7" ht="13.5" thickBot="1" x14ac:dyDescent="0.25">
      <c r="A22" s="46"/>
      <c r="B22" s="2392"/>
      <c r="C22" s="2392"/>
      <c r="D22" s="47"/>
    </row>
    <row r="23" spans="1:7" ht="24" x14ac:dyDescent="0.2">
      <c r="A23" s="46"/>
      <c r="B23" s="967" t="s">
        <v>866</v>
      </c>
      <c r="C23" s="968" t="s">
        <v>867</v>
      </c>
      <c r="D23" s="47"/>
    </row>
    <row r="24" spans="1:7" ht="19.5" customHeight="1" x14ac:dyDescent="0.2">
      <c r="A24" s="46"/>
      <c r="B24" s="1162" t="s">
        <v>841</v>
      </c>
      <c r="C24" s="1164"/>
      <c r="D24" s="47"/>
      <c r="G24">
        <f>IF(C24&gt;0,1,0)</f>
        <v>0</v>
      </c>
    </row>
    <row r="25" spans="1:7" ht="19.5" customHeight="1" x14ac:dyDescent="0.2">
      <c r="A25" s="46"/>
      <c r="B25" s="2388" t="s">
        <v>868</v>
      </c>
      <c r="C25" s="2389"/>
      <c r="D25" s="47"/>
    </row>
    <row r="26" spans="1:7" ht="19.5" customHeight="1" thickBot="1" x14ac:dyDescent="0.25">
      <c r="A26" s="46"/>
      <c r="B26" s="2390" t="s">
        <v>843</v>
      </c>
      <c r="C26" s="2391"/>
      <c r="D26" s="47"/>
    </row>
    <row r="27" spans="1:7" ht="13.5" thickBot="1" x14ac:dyDescent="0.25">
      <c r="A27" s="46"/>
      <c r="B27" s="2392"/>
      <c r="C27" s="2392"/>
      <c r="D27" s="47"/>
    </row>
    <row r="28" spans="1:7" ht="21" customHeight="1" x14ac:dyDescent="0.2">
      <c r="A28" s="46"/>
      <c r="B28" s="965" t="s">
        <v>869</v>
      </c>
      <c r="C28" s="969" t="s">
        <v>870</v>
      </c>
      <c r="D28" s="47"/>
    </row>
    <row r="29" spans="1:7" ht="19.5" customHeight="1" thickBot="1" x14ac:dyDescent="0.25">
      <c r="A29" s="46"/>
      <c r="B29" s="1110">
        <f>+G24</f>
        <v>0</v>
      </c>
      <c r="C29" s="1161">
        <f>+'FORMULARIO 2023 RENTA'!I44</f>
        <v>3</v>
      </c>
      <c r="D29" s="47"/>
      <c r="G29">
        <f>SUM(G4:G20)</f>
        <v>3</v>
      </c>
    </row>
    <row r="30" spans="1:7" ht="13.5" thickBot="1" x14ac:dyDescent="0.25">
      <c r="A30" s="67"/>
      <c r="B30" s="68"/>
      <c r="C30" s="68"/>
      <c r="D30" s="69"/>
    </row>
  </sheetData>
  <sheetProtection algorithmName="SHA-512" hashValue="U1VzfdsmlRdnu3phtZZ0Y7Y2xvzzK559fuowyjqpqnHP+D+o1edCcFltmdgZjmTbwdh/lW5rK+SqgUb1fuJafA==" saltValue="qCzp83Hw/UdnNoyGjhY42Q==" spinCount="100000" sheet="1" objects="1" scenarios="1"/>
  <mergeCells count="15">
    <mergeCell ref="B12:C12"/>
    <mergeCell ref="B5:C5"/>
    <mergeCell ref="B6:C6"/>
    <mergeCell ref="B7:C7"/>
    <mergeCell ref="B10:C10"/>
    <mergeCell ref="B11:C11"/>
    <mergeCell ref="B25:C25"/>
    <mergeCell ref="B26:C26"/>
    <mergeCell ref="B27:C27"/>
    <mergeCell ref="B15:C15"/>
    <mergeCell ref="B16:C16"/>
    <mergeCell ref="B17:C17"/>
    <mergeCell ref="B20:C20"/>
    <mergeCell ref="B21:C21"/>
    <mergeCell ref="B22:C22"/>
  </mergeCells>
  <dataValidations count="2">
    <dataValidation type="list" allowBlank="1" showInputMessage="1" showErrorMessage="1" sqref="B4 B9 B14 B19 B24" xr:uid="{C52A7C7C-262F-4CF2-B10E-77CB70C698D7}">
      <formula1>$E$4:$E$13</formula1>
    </dataValidation>
    <dataValidation type="list" allowBlank="1" showInputMessage="1" showErrorMessage="1" sqref="B6:C6 B11:C11 B16:C16 B21:C21 B26:C26" xr:uid="{8628ED44-3DA6-4821-95FE-C995BDCECA2F}">
      <formula1>$F$4:$F$8</formula1>
    </dataValidation>
  </dataValidations>
  <pageMargins left="0.7" right="0.7" top="0.75" bottom="0.75" header="0.3" footer="0.3"/>
  <pageSetup paperSize="9" scale="71"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H34"/>
  <sheetViews>
    <sheetView showGridLines="0" view="pageBreakPreview" topLeftCell="A4" zoomScale="130" zoomScaleNormal="100" zoomScaleSheetLayoutView="130" workbookViewId="0">
      <selection activeCell="A3" sqref="A3:F3"/>
    </sheetView>
  </sheetViews>
  <sheetFormatPr baseColWidth="10" defaultRowHeight="12.75" x14ac:dyDescent="0.2"/>
  <cols>
    <col min="1" max="1" width="5.28515625" customWidth="1"/>
    <col min="2" max="2" width="10.42578125" customWidth="1"/>
    <col min="3" max="3" width="42.5703125" customWidth="1"/>
    <col min="4" max="4" width="21.140625" customWidth="1"/>
    <col min="5" max="5" width="5.28515625" customWidth="1"/>
    <col min="6" max="6" width="12.7109375" customWidth="1"/>
    <col min="7" max="7" width="1.28515625" hidden="1" customWidth="1"/>
    <col min="8" max="8" width="36" hidden="1" customWidth="1"/>
    <col min="9" max="9" width="9.140625" customWidth="1"/>
  </cols>
  <sheetData>
    <row r="1" spans="1:8" ht="29.25" customHeight="1" thickBot="1" x14ac:dyDescent="0.25">
      <c r="A1" s="2410" t="s">
        <v>776</v>
      </c>
      <c r="B1" s="2411"/>
      <c r="C1" s="2411"/>
      <c r="D1" s="2411"/>
      <c r="E1" s="2411"/>
      <c r="F1" s="2412"/>
    </row>
    <row r="2" spans="1:8" ht="18" customHeight="1" thickBot="1" x14ac:dyDescent="0.25">
      <c r="A2" s="2413" t="s">
        <v>491</v>
      </c>
      <c r="B2" s="2414"/>
      <c r="C2" s="939" t="str">
        <f>+'DATOS PARA DEPURAR'!C7</f>
        <v>RIOJAS QUINTERO MAIRA ALEJANDRA</v>
      </c>
      <c r="D2" s="940" t="s">
        <v>347</v>
      </c>
      <c r="E2" s="2415">
        <f>+'DATOS PARA DEPURAR'!E7</f>
        <v>1065263869</v>
      </c>
      <c r="F2" s="2416"/>
    </row>
    <row r="3" spans="1:8" ht="13.5" thickBot="1" x14ac:dyDescent="0.25">
      <c r="A3" s="2417"/>
      <c r="B3" s="2418"/>
      <c r="C3" s="2418"/>
      <c r="D3" s="2418"/>
      <c r="E3" s="2418"/>
      <c r="F3" s="2419"/>
    </row>
    <row r="4" spans="1:8" ht="19.5" customHeight="1" x14ac:dyDescent="0.2">
      <c r="A4" s="2393" t="s">
        <v>790</v>
      </c>
      <c r="B4" s="2420" t="s">
        <v>791</v>
      </c>
      <c r="C4" s="2421"/>
      <c r="D4" s="2421"/>
      <c r="E4" s="755">
        <v>43</v>
      </c>
      <c r="F4" s="756">
        <f>IF(SUM(D5:D6)&gt;0,SUM(D5:D6),0)</f>
        <v>310000000</v>
      </c>
    </row>
    <row r="5" spans="1:8" ht="17.25" customHeight="1" x14ac:dyDescent="0.25">
      <c r="A5" s="2394"/>
      <c r="B5" s="2385" t="s">
        <v>793</v>
      </c>
      <c r="C5" s="2386"/>
      <c r="D5" s="2386"/>
      <c r="E5" s="2396"/>
      <c r="F5" s="2397"/>
    </row>
    <row r="6" spans="1:8" ht="26.25" customHeight="1" x14ac:dyDescent="0.25">
      <c r="A6" s="2394"/>
      <c r="B6" s="634"/>
      <c r="C6" s="931" t="s">
        <v>777</v>
      </c>
      <c r="D6" s="941">
        <f>+'DATOS PARA DEPURAR'!E53+'DATOS PARA DEPURAR'!E55</f>
        <v>310000000</v>
      </c>
      <c r="E6" s="2396"/>
      <c r="F6" s="2397"/>
    </row>
    <row r="7" spans="1:8" ht="18.75" customHeight="1" x14ac:dyDescent="0.2">
      <c r="A7" s="2394"/>
      <c r="B7" s="2360" t="s">
        <v>792</v>
      </c>
      <c r="C7" s="2361"/>
      <c r="D7" s="2361"/>
      <c r="E7" s="680">
        <v>44</v>
      </c>
      <c r="F7" s="759">
        <f>IF(SUM(D8:D10)&gt;0,SUM(D8:D10),0)</f>
        <v>2540000</v>
      </c>
    </row>
    <row r="8" spans="1:8" ht="15" customHeight="1" x14ac:dyDescent="0.25">
      <c r="A8" s="2394"/>
      <c r="B8" s="928"/>
      <c r="C8" s="908" t="s">
        <v>516</v>
      </c>
      <c r="D8" s="673">
        <f>+'DATOS PARA DEPURAR'!C120</f>
        <v>0</v>
      </c>
      <c r="E8" s="2403"/>
      <c r="F8" s="2369"/>
    </row>
    <row r="9" spans="1:8" ht="15" customHeight="1" x14ac:dyDescent="0.25">
      <c r="A9" s="2394"/>
      <c r="B9" s="928"/>
      <c r="C9" s="908" t="s">
        <v>963</v>
      </c>
      <c r="D9" s="673">
        <f>+'DATOS PARA DEPURAR'!C123</f>
        <v>0</v>
      </c>
      <c r="E9" s="670"/>
      <c r="F9" s="671"/>
    </row>
    <row r="10" spans="1:8" ht="15" customHeight="1" x14ac:dyDescent="0.25">
      <c r="A10" s="2394"/>
      <c r="B10" s="928"/>
      <c r="C10" s="908" t="s">
        <v>785</v>
      </c>
      <c r="D10" s="673">
        <f>MIN(H10:H12)</f>
        <v>2540000</v>
      </c>
      <c r="E10" s="670"/>
      <c r="F10" s="671"/>
      <c r="H10">
        <f>+'DATOS PARA DEPURAR'!D124</f>
        <v>2540000</v>
      </c>
    </row>
    <row r="11" spans="1:8" ht="19.5" customHeight="1" x14ac:dyDescent="0.25">
      <c r="A11" s="2394"/>
      <c r="B11" s="2404" t="s">
        <v>645</v>
      </c>
      <c r="C11" s="2405"/>
      <c r="D11" s="2405"/>
      <c r="E11" s="680">
        <v>45</v>
      </c>
      <c r="F11" s="768">
        <f>IF(SUM(D12:D13)&gt;0,SUM(D12:D13),0)</f>
        <v>227648915</v>
      </c>
      <c r="H11" s="591">
        <f>F4*25%</f>
        <v>77500000</v>
      </c>
    </row>
    <row r="12" spans="1:8" ht="15" customHeight="1" x14ac:dyDescent="0.25">
      <c r="A12" s="2394"/>
      <c r="B12" s="928"/>
      <c r="C12" s="1119" t="s">
        <v>638</v>
      </c>
      <c r="D12" s="673">
        <f>+'DATOS PARA DEPURAR'!D208</f>
        <v>212695345</v>
      </c>
      <c r="E12" s="670"/>
      <c r="F12" s="671"/>
      <c r="H12">
        <f>2500*'DATOS PARA DEPURAR'!C24</f>
        <v>106030000</v>
      </c>
    </row>
    <row r="13" spans="1:8" ht="15" customHeight="1" x14ac:dyDescent="0.25">
      <c r="A13" s="2394"/>
      <c r="B13" s="928"/>
      <c r="C13" s="1120" t="s">
        <v>643</v>
      </c>
      <c r="D13" s="673">
        <f>+'DATOS PARA DEPURAR'!D215</f>
        <v>14953569.999999998</v>
      </c>
      <c r="E13" s="670"/>
      <c r="F13" s="671"/>
    </row>
    <row r="14" spans="1:8" ht="17.25" customHeight="1" x14ac:dyDescent="0.25">
      <c r="A14" s="2394"/>
      <c r="B14" s="2400" t="s">
        <v>781</v>
      </c>
      <c r="C14" s="2401"/>
      <c r="D14" s="2401"/>
      <c r="E14" s="2401"/>
      <c r="F14" s="2402"/>
    </row>
    <row r="15" spans="1:8" ht="15.75" customHeight="1" x14ac:dyDescent="0.25">
      <c r="A15" s="2394"/>
      <c r="B15" s="929">
        <f>F11/F4</f>
        <v>0.73435133870967739</v>
      </c>
      <c r="C15" s="1109" t="str">
        <f>IF(B15&gt;60%,H16,H15)</f>
        <v>SUPERA EL TOPE, DEBO MARCAR</v>
      </c>
      <c r="D15" s="926" t="str">
        <f>IF(B15&gt;60%,"SI","NO")</f>
        <v>SI</v>
      </c>
      <c r="E15" s="2403"/>
      <c r="F15" s="2369"/>
      <c r="H15" s="535" t="s">
        <v>783</v>
      </c>
    </row>
    <row r="16" spans="1:8" ht="18" customHeight="1" x14ac:dyDescent="0.25">
      <c r="A16" s="2394"/>
      <c r="B16" s="757" t="s">
        <v>965</v>
      </c>
      <c r="C16" s="758"/>
      <c r="D16" s="758"/>
      <c r="E16" s="680">
        <v>46</v>
      </c>
      <c r="F16" s="759">
        <f>IF((F4-F7-F11)&gt;0,F4-F7-F11,0)</f>
        <v>79811085</v>
      </c>
      <c r="H16" s="535" t="s">
        <v>782</v>
      </c>
    </row>
    <row r="17" spans="1:8" ht="19.5" customHeight="1" x14ac:dyDescent="0.25">
      <c r="A17" s="2394"/>
      <c r="B17" s="2363" t="s">
        <v>728</v>
      </c>
      <c r="C17" s="2364"/>
      <c r="D17" s="2364"/>
      <c r="E17" s="680"/>
      <c r="F17" s="760">
        <f>+D18+D23</f>
        <v>0</v>
      </c>
    </row>
    <row r="18" spans="1:8" ht="17.25" customHeight="1" x14ac:dyDescent="0.25">
      <c r="A18" s="2394"/>
      <c r="B18" s="46"/>
      <c r="C18" s="922" t="s">
        <v>517</v>
      </c>
      <c r="D18" s="642">
        <f>SUM(D19:D22)</f>
        <v>0</v>
      </c>
      <c r="E18" s="2398"/>
      <c r="F18" s="2339"/>
    </row>
    <row r="19" spans="1:8" ht="18.75" customHeight="1" x14ac:dyDescent="0.2">
      <c r="A19" s="2394"/>
      <c r="B19" s="938" t="s">
        <v>482</v>
      </c>
      <c r="C19" s="1121" t="s">
        <v>504</v>
      </c>
      <c r="D19" s="642">
        <f>IF('DATOS PARA DEPURAR'!D245&lt;=1200*'DATOS PARA DEPURAR'!C24,'DATOS PARA DEPURAR'!D245,1200*'DATOS PARA DEPURAR'!C24)</f>
        <v>0</v>
      </c>
      <c r="E19" s="2398"/>
      <c r="F19" s="2339"/>
    </row>
    <row r="20" spans="1:8" ht="21.75" customHeight="1" x14ac:dyDescent="0.2">
      <c r="A20" s="2394"/>
      <c r="B20" s="1107" t="s">
        <v>943</v>
      </c>
      <c r="C20" s="1122" t="s">
        <v>944</v>
      </c>
      <c r="D20" s="642">
        <f>+'DATOS PARA DEPURAR'!D254</f>
        <v>0</v>
      </c>
      <c r="E20" s="2398"/>
      <c r="F20" s="2339"/>
    </row>
    <row r="21" spans="1:8" ht="14.25" customHeight="1" x14ac:dyDescent="0.2">
      <c r="A21" s="2394"/>
      <c r="B21" s="930" t="s">
        <v>483</v>
      </c>
      <c r="C21" s="904" t="s">
        <v>481</v>
      </c>
      <c r="D21" s="642">
        <f>+'DATOS PARA DEPURAR'!D249*50%</f>
        <v>0</v>
      </c>
      <c r="E21" s="2398"/>
      <c r="F21" s="2339"/>
    </row>
    <row r="22" spans="1:8" x14ac:dyDescent="0.2">
      <c r="A22" s="2394"/>
      <c r="B22" s="930" t="s">
        <v>484</v>
      </c>
      <c r="C22" s="933" t="s">
        <v>786</v>
      </c>
      <c r="D22" s="642">
        <f>MIN(H25:H27)</f>
        <v>0</v>
      </c>
      <c r="E22" s="2398"/>
      <c r="F22" s="2339"/>
      <c r="H22" s="1">
        <f>IF(F16&gt;0,((F16-D18-SUM(1))-MIN(D26:D28))*0.25,0)</f>
        <v>19952771</v>
      </c>
    </row>
    <row r="23" spans="1:8" ht="10.5" customHeight="1" x14ac:dyDescent="0.2">
      <c r="A23" s="2394"/>
      <c r="B23" s="46"/>
      <c r="C23" s="934" t="s">
        <v>787</v>
      </c>
      <c r="D23" s="642">
        <f>MIN(D26:D28)</f>
        <v>0</v>
      </c>
      <c r="E23" s="2398"/>
      <c r="F23" s="2339"/>
      <c r="H23" s="1"/>
    </row>
    <row r="24" spans="1:8" ht="13.5" customHeight="1" x14ac:dyDescent="0.2">
      <c r="A24" s="2394"/>
      <c r="B24" s="635" t="s">
        <v>484</v>
      </c>
      <c r="C24" s="903" t="s">
        <v>789</v>
      </c>
      <c r="D24" s="642">
        <f>+'DATOS PARA DEPURAR'!D288</f>
        <v>0</v>
      </c>
      <c r="E24" s="2398"/>
      <c r="F24" s="2339"/>
      <c r="H24" s="927" t="s">
        <v>788</v>
      </c>
    </row>
    <row r="25" spans="1:8" ht="13.5" customHeight="1" x14ac:dyDescent="0.2">
      <c r="A25" s="2394"/>
      <c r="B25" s="635" t="s">
        <v>485</v>
      </c>
      <c r="C25" s="903" t="s">
        <v>480</v>
      </c>
      <c r="D25" s="642">
        <f>+'DATOS PARA DEPURAR'!D291</f>
        <v>0</v>
      </c>
      <c r="E25" s="2398"/>
      <c r="F25" s="2339"/>
      <c r="H25" s="1">
        <f>+'DATOS PARA DEPURAR'!D252</f>
        <v>0</v>
      </c>
    </row>
    <row r="26" spans="1:8" ht="14.25" customHeight="1" x14ac:dyDescent="0.2">
      <c r="A26" s="2394"/>
      <c r="B26" s="2399" t="s">
        <v>20</v>
      </c>
      <c r="C26" s="935" t="s">
        <v>626</v>
      </c>
      <c r="D26" s="924">
        <f>SUM(D24:D25)</f>
        <v>0</v>
      </c>
      <c r="E26" s="2398"/>
      <c r="F26" s="2339"/>
      <c r="H26" s="591">
        <f>F4/12</f>
        <v>25833333.333333332</v>
      </c>
    </row>
    <row r="27" spans="1:8" ht="18" customHeight="1" x14ac:dyDescent="0.2">
      <c r="A27" s="2394"/>
      <c r="B27" s="2399"/>
      <c r="C27" s="907" t="s">
        <v>627</v>
      </c>
      <c r="D27" s="644">
        <f>IF(D26&gt;0,(F4*30%),0)</f>
        <v>0</v>
      </c>
      <c r="E27" s="2398"/>
      <c r="F27" s="2339"/>
      <c r="H27">
        <f>2500*'DATOS PARA DEPURAR'!C24</f>
        <v>106030000</v>
      </c>
    </row>
    <row r="28" spans="1:8" ht="15.75" customHeight="1" x14ac:dyDescent="0.2">
      <c r="A28" s="2394"/>
      <c r="B28" s="2399"/>
      <c r="C28" s="907" t="s">
        <v>628</v>
      </c>
      <c r="D28" s="644">
        <f>IF(D26&gt;0,(3800*'DATOS PARA DEPURAR'!C24),0)</f>
        <v>0</v>
      </c>
      <c r="E28" s="2398"/>
      <c r="F28" s="2339"/>
    </row>
    <row r="29" spans="1:8" ht="17.25" customHeight="1" x14ac:dyDescent="0.2">
      <c r="A29" s="2394"/>
      <c r="B29" s="2408" t="s">
        <v>488</v>
      </c>
      <c r="C29" s="2409"/>
      <c r="D29" s="2409"/>
      <c r="E29" s="761">
        <v>53</v>
      </c>
      <c r="F29" s="937">
        <f>MIN(D30,D31,D32)</f>
        <v>0</v>
      </c>
    </row>
    <row r="30" spans="1:8" ht="13.5" customHeight="1" x14ac:dyDescent="0.2">
      <c r="A30" s="2394"/>
      <c r="B30" s="637"/>
      <c r="C30" s="912" t="s">
        <v>493</v>
      </c>
      <c r="D30" s="770">
        <f>+F17</f>
        <v>0</v>
      </c>
      <c r="E30" s="2406"/>
      <c r="F30" s="2407"/>
    </row>
    <row r="31" spans="1:8" ht="15" customHeight="1" x14ac:dyDescent="0.2">
      <c r="A31" s="2394"/>
      <c r="B31" s="637"/>
      <c r="C31" s="1099" t="s">
        <v>769</v>
      </c>
      <c r="D31" s="1103">
        <f>IF((F4-F7-F11)&gt;0,(F16)*40%,0)</f>
        <v>31924434</v>
      </c>
      <c r="E31" s="2406"/>
      <c r="F31" s="2407"/>
    </row>
    <row r="32" spans="1:8" ht="17.25" customHeight="1" x14ac:dyDescent="0.2">
      <c r="A32" s="2394"/>
      <c r="B32" s="637"/>
      <c r="C32" s="1104" t="s">
        <v>779</v>
      </c>
      <c r="D32" s="936">
        <f>IF((F4)&gt;0,1340*'DATOS PARA DEPURAR'!C24,0)</f>
        <v>56832080</v>
      </c>
      <c r="E32" s="2406"/>
      <c r="F32" s="2407"/>
    </row>
    <row r="33" spans="1:6" ht="14.25" customHeight="1" thickBot="1" x14ac:dyDescent="0.25">
      <c r="A33" s="2395"/>
      <c r="B33" s="2356" t="s">
        <v>964</v>
      </c>
      <c r="C33" s="2357"/>
      <c r="D33" s="2357"/>
      <c r="E33" s="769">
        <v>57</v>
      </c>
      <c r="F33" s="765">
        <f>+F16-F29</f>
        <v>79811085</v>
      </c>
    </row>
    <row r="34" spans="1:6" ht="1.5" hidden="1" customHeight="1" x14ac:dyDescent="0.2"/>
  </sheetData>
  <sheetProtection algorithmName="SHA-512" hashValue="KPLb5cEhxaxYV1xYthfdrcAhzxIKawFveBCE+bN1k5Yvnw+UyQ5/jpHzdhyrUmYP22fgvYQNTL6Krm8VIPX7kQ==" saltValue="cg1aoysE93CmXBEXPhFQBQ==" spinCount="100000" sheet="1" objects="1" scenarios="1"/>
  <mergeCells count="19">
    <mergeCell ref="A1:F1"/>
    <mergeCell ref="A2:B2"/>
    <mergeCell ref="E2:F2"/>
    <mergeCell ref="A3:F3"/>
    <mergeCell ref="B4:D4"/>
    <mergeCell ref="B5:D5"/>
    <mergeCell ref="A4:A33"/>
    <mergeCell ref="E5:F6"/>
    <mergeCell ref="B17:D17"/>
    <mergeCell ref="E18:F28"/>
    <mergeCell ref="B26:B28"/>
    <mergeCell ref="B14:F14"/>
    <mergeCell ref="E15:F15"/>
    <mergeCell ref="B33:D33"/>
    <mergeCell ref="B7:D7"/>
    <mergeCell ref="E8:F8"/>
    <mergeCell ref="B11:D11"/>
    <mergeCell ref="E30:F32"/>
    <mergeCell ref="B29:D29"/>
  </mergeCells>
  <phoneticPr fontId="9" type="noConversion"/>
  <printOptions horizontalCentered="1" verticalCentered="1"/>
  <pageMargins left="0.11811023622047245" right="0.11811023622047245" top="0.15748031496062992" bottom="0.15748031496062992" header="0.31496062992125984" footer="0.31496062992125984"/>
  <pageSetup scale="8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A1:G89"/>
  <sheetViews>
    <sheetView showGridLines="0" view="pageBreakPreview" zoomScaleNormal="100" zoomScaleSheetLayoutView="100" workbookViewId="0">
      <selection activeCell="A3" sqref="A3:F3"/>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5703125" customWidth="1"/>
    <col min="7" max="7" width="23.28515625" hidden="1" customWidth="1"/>
  </cols>
  <sheetData>
    <row r="1" spans="1:6" ht="16.5" customHeight="1" thickBot="1" x14ac:dyDescent="0.25">
      <c r="A1" s="2422" t="s">
        <v>726</v>
      </c>
      <c r="B1" s="2423"/>
      <c r="C1" s="2423"/>
      <c r="D1" s="2423"/>
      <c r="E1" s="2423"/>
      <c r="F1" s="2424"/>
    </row>
    <row r="2" spans="1:6" ht="17.25" customHeight="1" x14ac:dyDescent="0.2">
      <c r="A2" s="2425" t="s">
        <v>491</v>
      </c>
      <c r="B2" s="2426"/>
      <c r="C2" s="627" t="str">
        <f>+'DATOS PARA DEPURAR'!C7</f>
        <v>RIOJAS QUINTERO MAIRA ALEJANDRA</v>
      </c>
      <c r="D2" s="628" t="s">
        <v>347</v>
      </c>
      <c r="E2" s="2427">
        <f>+'DATOS PARA DEPURAR'!E7</f>
        <v>1065263869</v>
      </c>
      <c r="F2" s="2428"/>
    </row>
    <row r="3" spans="1:6" ht="13.5" thickBot="1" x14ac:dyDescent="0.25">
      <c r="A3" s="2378" t="s">
        <v>1012</v>
      </c>
      <c r="B3" s="2379"/>
      <c r="C3" s="2379"/>
      <c r="D3" s="2379"/>
      <c r="E3" s="2379"/>
      <c r="F3" s="2380"/>
    </row>
    <row r="4" spans="1:6" ht="17.25" customHeight="1" x14ac:dyDescent="0.25">
      <c r="A4" s="2429" t="s">
        <v>568</v>
      </c>
      <c r="B4" s="2383" t="s">
        <v>534</v>
      </c>
      <c r="C4" s="2384"/>
      <c r="D4" s="2384"/>
      <c r="E4" s="755">
        <v>74</v>
      </c>
      <c r="F4" s="756">
        <f>IF(SUM(D5:D23)&gt;0,SUM(D5:D23),0)</f>
        <v>1043456789</v>
      </c>
    </row>
    <row r="5" spans="1:6" ht="15" customHeight="1" x14ac:dyDescent="0.2">
      <c r="A5" s="2429"/>
      <c r="B5" s="46"/>
      <c r="C5" s="1123" t="str">
        <f>+'DATOS PARA DEPURAR'!B89</f>
        <v>COMERCIO AL POR MENOR Y AL POR MAYOR</v>
      </c>
      <c r="D5" s="1103">
        <f>+'DATOS PARA DEPURAR'!E89</f>
        <v>700000000</v>
      </c>
      <c r="E5" s="2448" t="s">
        <v>536</v>
      </c>
      <c r="F5" s="47"/>
    </row>
    <row r="6" spans="1:6" ht="15" customHeight="1" x14ac:dyDescent="0.2">
      <c r="A6" s="2429"/>
      <c r="B6" s="46"/>
      <c r="C6" s="1123" t="str">
        <f>+'DATOS PARA DEPURAR'!B90</f>
        <v>SERVICIOS DE HOTELES, RESTAURANTES Y SIMILARES</v>
      </c>
      <c r="D6" s="1103">
        <f>+'DATOS PARA DEPURAR'!E90</f>
        <v>0</v>
      </c>
      <c r="E6" s="2448"/>
      <c r="F6" s="47"/>
    </row>
    <row r="7" spans="1:6" ht="15" customHeight="1" x14ac:dyDescent="0.2">
      <c r="A7" s="2429"/>
      <c r="B7" s="46"/>
      <c r="C7" s="1123" t="str">
        <f>+'DATOS PARA DEPURAR'!B91</f>
        <v>AGRICULTURA, SILVICULTURA Y PESCA</v>
      </c>
      <c r="D7" s="1103">
        <f>+'DATOS PARA DEPURAR'!E91</f>
        <v>0</v>
      </c>
      <c r="E7" s="2448"/>
      <c r="F7" s="47"/>
    </row>
    <row r="8" spans="1:6" ht="15" customHeight="1" x14ac:dyDescent="0.2">
      <c r="A8" s="2429"/>
      <c r="B8" s="46"/>
      <c r="C8" s="1123" t="str">
        <f>+'DATOS PARA DEPURAR'!B92</f>
        <v>ACTIVIDAD GANADERA</v>
      </c>
      <c r="D8" s="1103">
        <f>+'DATOS PARA DEPURAR'!E92</f>
        <v>0</v>
      </c>
      <c r="E8" s="2448"/>
      <c r="F8" s="47"/>
    </row>
    <row r="9" spans="1:6" ht="21" customHeight="1" x14ac:dyDescent="0.2">
      <c r="A9" s="2429"/>
      <c r="B9" s="46"/>
      <c r="C9" s="957" t="str">
        <f>+'DATOS PARA DEPURAR'!B93</f>
        <v>SERVICIO DE TRANSPORTE, ALMACENAMIENTO, COMUNICACIONES E INTERMEDIACION</v>
      </c>
      <c r="D9" s="1103">
        <f>+'DATOS PARA DEPURAR'!E93</f>
        <v>0</v>
      </c>
      <c r="E9" s="2448"/>
      <c r="F9" s="47"/>
    </row>
    <row r="10" spans="1:6" ht="23.25" customHeight="1" x14ac:dyDescent="0.2">
      <c r="A10" s="2429"/>
      <c r="B10" s="46"/>
      <c r="C10" s="898" t="str">
        <f>+'DATOS PARA DEPURAR'!B94</f>
        <v>COMERCIO DE VEHÍCULOS AUTOMOTORES, ACCESORIOS Y PRODUCTOS CONEXOS</v>
      </c>
      <c r="D10" s="1103">
        <f>+'DATOS PARA DEPURAR'!E94</f>
        <v>0</v>
      </c>
      <c r="E10" s="2448"/>
      <c r="F10" s="47"/>
    </row>
    <row r="11" spans="1:6" ht="23.25" customHeight="1" x14ac:dyDescent="0.2">
      <c r="A11" s="2429"/>
      <c r="B11" s="46"/>
      <c r="C11" s="898" t="s">
        <v>412</v>
      </c>
      <c r="D11" s="1103">
        <f>+'DATOS PARA DEPURAR'!E80</f>
        <v>0</v>
      </c>
      <c r="E11" s="2448"/>
      <c r="F11" s="47"/>
    </row>
    <row r="12" spans="1:6" ht="18.75" customHeight="1" x14ac:dyDescent="0.2">
      <c r="A12" s="2429"/>
      <c r="B12" s="46"/>
      <c r="C12" s="958" t="s">
        <v>632</v>
      </c>
      <c r="D12" s="1103">
        <f>'DATOS PARA DEPURAR'!C63+'DATOS PARA DEPURAR'!C65</f>
        <v>200000000</v>
      </c>
      <c r="E12" s="2448"/>
      <c r="F12" s="47"/>
    </row>
    <row r="13" spans="1:6" ht="17.25" customHeight="1" x14ac:dyDescent="0.2">
      <c r="A13" s="2429"/>
      <c r="B13" s="46"/>
      <c r="C13" s="1124" t="s">
        <v>5</v>
      </c>
      <c r="D13" s="1103">
        <f>+'DATOS PARA DEPURAR'!E56</f>
        <v>0</v>
      </c>
      <c r="E13" s="2448"/>
      <c r="F13" s="47"/>
    </row>
    <row r="14" spans="1:6" ht="18" customHeight="1" x14ac:dyDescent="0.2">
      <c r="A14" s="2429"/>
      <c r="B14" s="46"/>
      <c r="C14" s="1124" t="s">
        <v>633</v>
      </c>
      <c r="D14" s="1103">
        <f>+'DATOS PARA DEPURAR'!E97</f>
        <v>0</v>
      </c>
      <c r="E14" s="2448"/>
      <c r="F14" s="47"/>
    </row>
    <row r="15" spans="1:6" ht="18" customHeight="1" x14ac:dyDescent="0.2">
      <c r="A15" s="2429"/>
      <c r="B15" s="46"/>
      <c r="C15" s="1124" t="s">
        <v>833</v>
      </c>
      <c r="D15" s="1103">
        <f>+'DATOS PARA DEPURAR'!E71</f>
        <v>0</v>
      </c>
      <c r="E15" s="2448"/>
      <c r="F15" s="47"/>
    </row>
    <row r="16" spans="1:6" ht="21" customHeight="1" x14ac:dyDescent="0.2">
      <c r="A16" s="2429"/>
      <c r="B16" s="46"/>
      <c r="C16" s="957" t="s">
        <v>363</v>
      </c>
      <c r="D16" s="1103">
        <f>+'DATOS PARA DEPURAR'!E72</f>
        <v>0</v>
      </c>
      <c r="E16" s="2448"/>
      <c r="F16" s="47"/>
    </row>
    <row r="17" spans="1:7" ht="18" customHeight="1" x14ac:dyDescent="0.2">
      <c r="A17" s="2429"/>
      <c r="B17" s="46"/>
      <c r="C17" s="958" t="s">
        <v>178</v>
      </c>
      <c r="D17" s="1103">
        <f>+'DATOS PARA DEPURAR'!E73</f>
        <v>0</v>
      </c>
      <c r="E17" s="2448"/>
      <c r="F17" s="47"/>
    </row>
    <row r="18" spans="1:7" ht="17.25" customHeight="1" x14ac:dyDescent="0.2">
      <c r="A18" s="2429"/>
      <c r="B18" s="46"/>
      <c r="C18" s="958" t="s">
        <v>177</v>
      </c>
      <c r="D18" s="1103">
        <f>+'DATOS PARA DEPURAR'!E74</f>
        <v>0</v>
      </c>
      <c r="E18" s="2448"/>
      <c r="F18" s="47"/>
    </row>
    <row r="19" spans="1:7" ht="17.25" customHeight="1" x14ac:dyDescent="0.2">
      <c r="A19" s="2429"/>
      <c r="B19" s="46"/>
      <c r="C19" s="958" t="s">
        <v>411</v>
      </c>
      <c r="D19" s="1103">
        <f>+'DATOS PARA DEPURAR'!E79</f>
        <v>23456789</v>
      </c>
      <c r="E19" s="2448"/>
      <c r="F19" s="47"/>
    </row>
    <row r="20" spans="1:7" ht="17.25" customHeight="1" x14ac:dyDescent="0.2">
      <c r="A20" s="2429"/>
      <c r="B20" s="46"/>
      <c r="C20" s="958" t="s">
        <v>315</v>
      </c>
      <c r="D20" s="1103">
        <f>+'DATOS PARA DEPURAR'!E83</f>
        <v>120000000</v>
      </c>
      <c r="E20" s="2448"/>
      <c r="F20" s="47"/>
    </row>
    <row r="21" spans="1:7" ht="23.25" customHeight="1" x14ac:dyDescent="0.2">
      <c r="A21" s="2429"/>
      <c r="B21" s="46"/>
      <c r="C21" s="958" t="s">
        <v>630</v>
      </c>
      <c r="D21" s="1103">
        <f>+'DATOS PARA DEPURAR'!E85</f>
        <v>0</v>
      </c>
      <c r="E21" s="2448"/>
      <c r="F21" s="47"/>
    </row>
    <row r="22" spans="1:7" ht="23.25" customHeight="1" x14ac:dyDescent="0.2">
      <c r="A22" s="2429"/>
      <c r="B22" s="46"/>
      <c r="C22" s="958" t="s">
        <v>631</v>
      </c>
      <c r="D22" s="1103">
        <f>+'DATOS PARA DEPURAR'!E87</f>
        <v>0</v>
      </c>
      <c r="E22" s="2448"/>
      <c r="F22" s="47"/>
    </row>
    <row r="23" spans="1:7" ht="17.25" customHeight="1" thickBot="1" x14ac:dyDescent="0.25">
      <c r="A23" s="2429"/>
      <c r="B23" s="46"/>
      <c r="C23" s="958" t="s">
        <v>834</v>
      </c>
      <c r="D23" s="1125">
        <f>+'DATOS PARA DEPURAR'!E96</f>
        <v>0</v>
      </c>
      <c r="E23" s="2448"/>
      <c r="F23" s="47"/>
    </row>
    <row r="24" spans="1:7" ht="23.25" customHeight="1" x14ac:dyDescent="0.25">
      <c r="A24" s="2429"/>
      <c r="B24" s="757" t="s">
        <v>547</v>
      </c>
      <c r="C24" s="758"/>
      <c r="D24" s="758"/>
      <c r="E24" s="680">
        <f>+E4+1</f>
        <v>75</v>
      </c>
      <c r="F24" s="759">
        <f>IF(SUM(D25)&gt;0,SUM(D25),0)</f>
        <v>0</v>
      </c>
    </row>
    <row r="25" spans="1:7" ht="23.25" customHeight="1" thickBot="1" x14ac:dyDescent="0.25">
      <c r="A25" s="2429"/>
      <c r="B25" s="46"/>
      <c r="C25" s="1070" t="s">
        <v>547</v>
      </c>
      <c r="D25" s="514">
        <f>+'DATOS PARA DEPURAR'!E99</f>
        <v>0</v>
      </c>
      <c r="F25" s="47"/>
    </row>
    <row r="26" spans="1:7" ht="21" customHeight="1" x14ac:dyDescent="0.25">
      <c r="A26" s="2429"/>
      <c r="B26" s="757" t="s">
        <v>474</v>
      </c>
      <c r="C26" s="758"/>
      <c r="D26" s="758"/>
      <c r="E26" s="680">
        <f>+E24+1</f>
        <v>76</v>
      </c>
      <c r="F26" s="759">
        <f>IF(SUM(D27:D35)&gt;0,SUM(D27:D35),0)</f>
        <v>9236000</v>
      </c>
    </row>
    <row r="27" spans="1:7" ht="15.75" customHeight="1" x14ac:dyDescent="0.2">
      <c r="A27" s="2429"/>
      <c r="B27" s="2431"/>
      <c r="C27" s="1126" t="s">
        <v>516</v>
      </c>
      <c r="D27" s="639">
        <f>IF(F4&gt;0,'DATOS PARA DEPURAR'!D119,0)</f>
        <v>4118000</v>
      </c>
      <c r="E27" s="2432"/>
      <c r="F27" s="2433"/>
    </row>
    <row r="28" spans="1:7" ht="15.75" customHeight="1" x14ac:dyDescent="0.2">
      <c r="A28" s="2429"/>
      <c r="B28" s="2431"/>
      <c r="C28" s="1126" t="s">
        <v>959</v>
      </c>
      <c r="D28" s="639">
        <f>IF(F4&gt;0,'DATOS PARA DEPURAR'!D122,0)</f>
        <v>5118000</v>
      </c>
      <c r="E28" s="2432"/>
      <c r="F28" s="2433"/>
    </row>
    <row r="29" spans="1:7" ht="15.75" customHeight="1" x14ac:dyDescent="0.25">
      <c r="A29" s="2429"/>
      <c r="B29" s="632"/>
      <c r="C29" s="1126" t="s">
        <v>966</v>
      </c>
      <c r="D29" s="673">
        <f>MIN(G29:G31)</f>
        <v>0</v>
      </c>
      <c r="E29" s="622"/>
      <c r="F29" s="629"/>
      <c r="G29">
        <f>+'DATOS PARA DEPURAR'!D125</f>
        <v>0</v>
      </c>
    </row>
    <row r="30" spans="1:7" ht="15.75" customHeight="1" x14ac:dyDescent="0.25">
      <c r="A30" s="2429"/>
      <c r="B30" s="632"/>
      <c r="C30" s="1127" t="s">
        <v>537</v>
      </c>
      <c r="D30" s="639"/>
      <c r="E30" s="622"/>
      <c r="F30" s="629"/>
      <c r="G30" s="591">
        <f>E6*25%</f>
        <v>0</v>
      </c>
    </row>
    <row r="31" spans="1:7" ht="15.75" customHeight="1" x14ac:dyDescent="0.25">
      <c r="A31" s="2429"/>
      <c r="B31" s="632"/>
      <c r="C31" s="959" t="s">
        <v>835</v>
      </c>
      <c r="D31" s="639">
        <f>+'DATOS PARA DEPURAR'!E127</f>
        <v>0</v>
      </c>
      <c r="E31" s="622"/>
      <c r="F31" s="629"/>
      <c r="G31">
        <f>2500*'DATOS PARA DEPURAR'!C24</f>
        <v>106030000</v>
      </c>
    </row>
    <row r="32" spans="1:7" ht="26.25" customHeight="1" x14ac:dyDescent="0.25">
      <c r="A32" s="2429"/>
      <c r="B32" s="632"/>
      <c r="C32" s="1128" t="s">
        <v>363</v>
      </c>
      <c r="D32" s="639">
        <f>+'DATOS PARA DEPURAR'!E128</f>
        <v>0</v>
      </c>
      <c r="E32" s="622"/>
      <c r="F32" s="629"/>
    </row>
    <row r="33" spans="1:6" ht="21" customHeight="1" x14ac:dyDescent="0.25">
      <c r="A33" s="2429"/>
      <c r="B33" s="632"/>
      <c r="C33" s="959" t="s">
        <v>178</v>
      </c>
      <c r="D33" s="639">
        <f>+'DATOS PARA DEPURAR'!E129</f>
        <v>0</v>
      </c>
      <c r="E33" s="622"/>
      <c r="F33" s="629"/>
    </row>
    <row r="34" spans="1:6" ht="21" customHeight="1" x14ac:dyDescent="0.25">
      <c r="A34" s="2429"/>
      <c r="B34" s="632"/>
      <c r="C34" s="1128" t="s">
        <v>629</v>
      </c>
      <c r="D34" s="639">
        <f>+'DATOS PARA DEPURAR'!E131</f>
        <v>0</v>
      </c>
      <c r="E34" s="622"/>
      <c r="F34" s="629"/>
    </row>
    <row r="35" spans="1:6" ht="21" customHeight="1" thickBot="1" x14ac:dyDescent="0.3">
      <c r="A35" s="2429"/>
      <c r="B35" s="632"/>
      <c r="C35" s="959" t="s">
        <v>177</v>
      </c>
      <c r="D35" s="962">
        <f>+'DATOS PARA DEPURAR'!E130</f>
        <v>0</v>
      </c>
      <c r="E35" s="622"/>
      <c r="F35" s="629"/>
    </row>
    <row r="36" spans="1:6" ht="20.25" customHeight="1" x14ac:dyDescent="0.25">
      <c r="A36" s="2429"/>
      <c r="B36" s="757" t="s">
        <v>506</v>
      </c>
      <c r="C36" s="758"/>
      <c r="D36" s="758"/>
      <c r="E36" s="680">
        <f>+E26+1</f>
        <v>77</v>
      </c>
      <c r="F36" s="759">
        <f>IF(SUM(D37:D63)&gt;0,SUM(D37:D63),0)</f>
        <v>748888890</v>
      </c>
    </row>
    <row r="37" spans="1:6" ht="17.25" customHeight="1" x14ac:dyDescent="0.25">
      <c r="A37" s="2429"/>
      <c r="B37" s="46"/>
      <c r="C37" s="1129" t="s">
        <v>185</v>
      </c>
      <c r="D37" s="932"/>
      <c r="F37" s="47"/>
    </row>
    <row r="38" spans="1:6" ht="17.25" customHeight="1" x14ac:dyDescent="0.2">
      <c r="A38" s="2429"/>
      <c r="B38" s="46"/>
      <c r="C38" s="947" t="str">
        <f>+'DATOS PARA DEPURAR'!B141</f>
        <v xml:space="preserve">DE COMERCIANTE </v>
      </c>
      <c r="D38" s="640">
        <f>+'DATOS PARA DEPURAR'!E141</f>
        <v>648888888</v>
      </c>
      <c r="F38" s="47"/>
    </row>
    <row r="39" spans="1:6" ht="17.25" customHeight="1" x14ac:dyDescent="0.2">
      <c r="A39" s="2429"/>
      <c r="B39" s="46"/>
      <c r="C39" s="908" t="s">
        <v>368</v>
      </c>
      <c r="D39" s="640">
        <f>+'DATOS PARA DEPURAR'!E197</f>
        <v>0</v>
      </c>
      <c r="F39" s="47"/>
    </row>
    <row r="40" spans="1:6" ht="17.25" customHeight="1" x14ac:dyDescent="0.2">
      <c r="A40" s="2429"/>
      <c r="B40" s="46"/>
      <c r="C40" s="947" t="str">
        <f>+'DATOS PARA DEPURAR'!B159</f>
        <v>DE AGRICULTOR, SILVICULTURA Y PESCA</v>
      </c>
      <c r="D40" s="640">
        <f>+'DATOS PARA DEPURAR'!E159</f>
        <v>0</v>
      </c>
      <c r="F40" s="47"/>
    </row>
    <row r="41" spans="1:6" ht="17.25" customHeight="1" x14ac:dyDescent="0.2">
      <c r="A41" s="2429"/>
      <c r="B41" s="46"/>
      <c r="C41" s="947" t="str">
        <f>++'DATOS PARA DEPURAR'!B166</f>
        <v>DE ACTIVIDAD GANADERA</v>
      </c>
      <c r="D41" s="640">
        <f>+'DATOS PARA DEPURAR'!E166</f>
        <v>0</v>
      </c>
      <c r="F41" s="47"/>
    </row>
    <row r="42" spans="1:6" ht="21.75" customHeight="1" x14ac:dyDescent="0.2">
      <c r="A42" s="2429"/>
      <c r="B42" s="46"/>
      <c r="C42" s="910" t="str">
        <f>+'DATOS PARA DEPURAR'!B181</f>
        <v>COSTO DE SERVICIO DE TRANSPORTE, ALMACENAMIENTO Y COMUNICACIONES</v>
      </c>
      <c r="D42" s="640">
        <f>+'DATOS PARA DEPURAR'!E181</f>
        <v>0</v>
      </c>
      <c r="F42" s="47"/>
    </row>
    <row r="43" spans="1:6" ht="17.25" customHeight="1" x14ac:dyDescent="0.2">
      <c r="A43" s="2429"/>
      <c r="B43" s="46"/>
      <c r="C43" s="933" t="s">
        <v>634</v>
      </c>
      <c r="D43" s="640">
        <f>+'DATOS PARA DEPURAR'!E179</f>
        <v>0</v>
      </c>
      <c r="F43" s="47"/>
    </row>
    <row r="44" spans="1:6" ht="17.25" customHeight="1" x14ac:dyDescent="0.2">
      <c r="A44" s="2429"/>
      <c r="B44" s="46"/>
      <c r="C44" s="933" t="s">
        <v>594</v>
      </c>
      <c r="D44" s="640">
        <f>IF(D12&gt;0,'DATOS PARA DEPURAR'!E175+'DATOS PARA DEPURAR'!E176,0)</f>
        <v>100000000</v>
      </c>
      <c r="F44" s="47"/>
    </row>
    <row r="45" spans="1:6" ht="17.25" customHeight="1" x14ac:dyDescent="0.2">
      <c r="A45" s="2429"/>
      <c r="B45" s="46"/>
      <c r="C45" s="909" t="str">
        <f>+'DATOS PARA DEPURAR'!B151</f>
        <v>COMERCIO DE VEHÍCULOS AUTOMOTORES, ACCESORIOS Y PRODUCTOS CONEXOS</v>
      </c>
      <c r="D45" s="640">
        <f>+'DATOS PARA DEPURAR'!E151</f>
        <v>0</v>
      </c>
      <c r="F45" s="47"/>
    </row>
    <row r="46" spans="1:6" ht="22.5" customHeight="1" thickBot="1" x14ac:dyDescent="0.25">
      <c r="A46" s="2429"/>
      <c r="B46" s="46"/>
      <c r="C46" s="910"/>
      <c r="D46" s="1130"/>
      <c r="F46" s="47"/>
    </row>
    <row r="47" spans="1:6" ht="18.75" customHeight="1" x14ac:dyDescent="0.2">
      <c r="A47" s="2429"/>
      <c r="B47" s="46"/>
      <c r="F47" s="47"/>
    </row>
    <row r="48" spans="1:6" ht="18.75" customHeight="1" x14ac:dyDescent="0.2">
      <c r="A48" s="2429"/>
      <c r="B48" s="2436" t="str">
        <f>+A1</f>
        <v>DEPURACION RENTA GENERAL NO LABORAL</v>
      </c>
      <c r="C48" s="2437"/>
      <c r="D48" s="2437"/>
      <c r="E48" s="2437"/>
      <c r="F48" s="2438"/>
    </row>
    <row r="49" spans="1:6" ht="21.75" customHeight="1" x14ac:dyDescent="0.2">
      <c r="A49" s="2429"/>
      <c r="B49" s="633" t="str">
        <f>+A2</f>
        <v>CONTRIBUYENTE</v>
      </c>
      <c r="C49" s="593" t="str">
        <f>+C2</f>
        <v>RIOJAS QUINTERO MAIRA ALEJANDRA</v>
      </c>
      <c r="D49" s="512" t="s">
        <v>347</v>
      </c>
      <c r="E49" s="2449">
        <f>+E2</f>
        <v>1065263869</v>
      </c>
      <c r="F49" s="2450"/>
    </row>
    <row r="50" spans="1:6" ht="15" customHeight="1" x14ac:dyDescent="0.2">
      <c r="A50" s="2429"/>
      <c r="B50" s="46"/>
      <c r="C50" s="1095" t="s">
        <v>515</v>
      </c>
      <c r="D50" s="641"/>
      <c r="F50" s="47"/>
    </row>
    <row r="51" spans="1:6" ht="15" customHeight="1" x14ac:dyDescent="0.2">
      <c r="A51" s="2429"/>
      <c r="B51" s="46"/>
      <c r="C51" s="1118" t="s">
        <v>837</v>
      </c>
      <c r="D51" s="932">
        <f>+'DATOS PARA DEPURAR'!D227</f>
        <v>1</v>
      </c>
      <c r="F51" s="47"/>
    </row>
    <row r="52" spans="1:6" ht="18.75" customHeight="1" x14ac:dyDescent="0.2">
      <c r="A52" s="2429"/>
      <c r="B52" s="46"/>
      <c r="C52" s="1118" t="s">
        <v>520</v>
      </c>
      <c r="D52" s="642">
        <f>+'DATOS PARA DEPURAR'!D228</f>
        <v>1</v>
      </c>
      <c r="F52" s="47"/>
    </row>
    <row r="53" spans="1:6" ht="17.25" customHeight="1" x14ac:dyDescent="0.2">
      <c r="A53" s="2429"/>
      <c r="B53" s="46"/>
      <c r="C53" s="1086" t="s">
        <v>522</v>
      </c>
      <c r="D53" s="642">
        <f>+'DATOS PARA DEPURAR'!D229</f>
        <v>0</v>
      </c>
      <c r="F53" s="47"/>
    </row>
    <row r="54" spans="1:6" ht="17.25" customHeight="1" x14ac:dyDescent="0.25">
      <c r="A54" s="2429"/>
      <c r="B54" s="634"/>
      <c r="C54" s="908" t="s">
        <v>521</v>
      </c>
      <c r="D54" s="642">
        <f>+'DATOS PARA DEPURAR'!D230</f>
        <v>0</v>
      </c>
      <c r="F54" s="47"/>
    </row>
    <row r="55" spans="1:6" ht="17.25" customHeight="1" x14ac:dyDescent="0.25">
      <c r="A55" s="2429"/>
      <c r="B55" s="634"/>
      <c r="C55" s="908" t="s">
        <v>473</v>
      </c>
      <c r="D55" s="642">
        <f>+'DATOS PARA DEPURAR'!D235</f>
        <v>0</v>
      </c>
      <c r="F55" s="47"/>
    </row>
    <row r="56" spans="1:6" ht="17.25" customHeight="1" x14ac:dyDescent="0.25">
      <c r="A56" s="2429"/>
      <c r="B56" s="634"/>
      <c r="C56" s="908" t="s">
        <v>939</v>
      </c>
      <c r="D56" s="642">
        <f>+'DATOS PARA DEPURAR'!D231</f>
        <v>0</v>
      </c>
      <c r="F56" s="47"/>
    </row>
    <row r="57" spans="1:6" ht="17.25" customHeight="1" x14ac:dyDescent="0.25">
      <c r="A57" s="2429"/>
      <c r="B57" s="634"/>
      <c r="C57" s="908" t="s">
        <v>940</v>
      </c>
      <c r="D57" s="642">
        <f>+'DATOS PARA DEPURAR'!D232</f>
        <v>0</v>
      </c>
      <c r="F57" s="47"/>
    </row>
    <row r="58" spans="1:6" ht="17.25" customHeight="1" x14ac:dyDescent="0.25">
      <c r="A58" s="2429"/>
      <c r="B58" s="634"/>
      <c r="C58" s="908" t="s">
        <v>942</v>
      </c>
      <c r="D58" s="642">
        <f>+'DATOS PARA DEPURAR'!D233</f>
        <v>0</v>
      </c>
      <c r="F58" s="47"/>
    </row>
    <row r="59" spans="1:6" ht="17.25" customHeight="1" x14ac:dyDescent="0.25">
      <c r="A59" s="2429"/>
      <c r="B59" s="634"/>
      <c r="C59" s="908" t="s">
        <v>941</v>
      </c>
      <c r="D59" s="642">
        <f>+'DATOS PARA DEPURAR'!D234</f>
        <v>0</v>
      </c>
      <c r="F59" s="47"/>
    </row>
    <row r="60" spans="1:6" ht="17.25" customHeight="1" x14ac:dyDescent="0.2">
      <c r="A60" s="2429"/>
      <c r="B60" s="46"/>
      <c r="C60" s="1086" t="s">
        <v>523</v>
      </c>
      <c r="D60" s="642">
        <f>+'DATOS PARA DEPURAR'!D236</f>
        <v>0</v>
      </c>
      <c r="F60" s="47"/>
    </row>
    <row r="61" spans="1:6" ht="22.5" customHeight="1" x14ac:dyDescent="0.2">
      <c r="A61" s="2429"/>
      <c r="B61" s="46"/>
      <c r="C61" s="909" t="s">
        <v>549</v>
      </c>
      <c r="D61" s="642">
        <f>+'DATOS PARA DEPURAR'!E244</f>
        <v>0</v>
      </c>
      <c r="F61" s="47"/>
    </row>
    <row r="62" spans="1:6" ht="17.25" customHeight="1" x14ac:dyDescent="0.2">
      <c r="A62" s="2429"/>
      <c r="B62" s="46"/>
      <c r="C62" s="1118" t="s">
        <v>938</v>
      </c>
      <c r="D62" s="642">
        <f>+'DATOS PARA DEPURAR'!D237</f>
        <v>0</v>
      </c>
      <c r="F62" s="47"/>
    </row>
    <row r="63" spans="1:6" ht="17.25" customHeight="1" thickBot="1" x14ac:dyDescent="0.25">
      <c r="A63" s="2429"/>
      <c r="B63" s="46"/>
      <c r="C63" s="1118" t="s">
        <v>424</v>
      </c>
      <c r="D63" s="643">
        <f>+'DATOS PARA DEPURAR'!D238</f>
        <v>0</v>
      </c>
      <c r="F63" s="47"/>
    </row>
    <row r="64" spans="1:6" ht="17.25" customHeight="1" x14ac:dyDescent="0.25">
      <c r="A64" s="2429"/>
      <c r="B64" s="757" t="s">
        <v>967</v>
      </c>
      <c r="C64" s="758"/>
      <c r="D64" s="758"/>
      <c r="E64" s="680">
        <f>+E36+1</f>
        <v>78</v>
      </c>
      <c r="F64" s="759">
        <f>IF((F4-F24-F26-F36)&gt;0,F4-F24-F26-F36,0)</f>
        <v>285331899</v>
      </c>
    </row>
    <row r="65" spans="1:7" ht="17.25" customHeight="1" x14ac:dyDescent="0.25">
      <c r="A65" s="2429"/>
      <c r="B65" s="634"/>
      <c r="C65" s="511"/>
      <c r="D65" s="511"/>
      <c r="E65" s="181"/>
      <c r="F65" s="630"/>
    </row>
    <row r="66" spans="1:7" ht="17.25" customHeight="1" x14ac:dyDescent="0.25">
      <c r="A66" s="2429"/>
      <c r="B66" s="757" t="s">
        <v>539</v>
      </c>
      <c r="C66" s="758"/>
      <c r="D66" s="758"/>
      <c r="E66" s="680">
        <f>+E64+1</f>
        <v>79</v>
      </c>
      <c r="F66" s="759">
        <v>0</v>
      </c>
    </row>
    <row r="67" spans="1:7" ht="17.25" customHeight="1" x14ac:dyDescent="0.25">
      <c r="A67" s="2429"/>
      <c r="B67" s="634"/>
      <c r="C67" s="511"/>
      <c r="D67" s="511"/>
      <c r="E67" s="181"/>
      <c r="F67" s="630"/>
    </row>
    <row r="68" spans="1:7" ht="15.75" customHeight="1" x14ac:dyDescent="0.25">
      <c r="A68" s="2429"/>
      <c r="B68" s="2363" t="s">
        <v>540</v>
      </c>
      <c r="C68" s="2364"/>
      <c r="D68" s="2364"/>
      <c r="E68" s="680">
        <f>+E66+1</f>
        <v>80</v>
      </c>
      <c r="F68" s="760">
        <f>+D69+D74</f>
        <v>124000000</v>
      </c>
    </row>
    <row r="69" spans="1:7" ht="18" customHeight="1" x14ac:dyDescent="0.25">
      <c r="A69" s="2429"/>
      <c r="B69" s="46"/>
      <c r="C69" s="922" t="s">
        <v>477</v>
      </c>
      <c r="D69" s="642">
        <f>SUM(D70:D73)</f>
        <v>0</v>
      </c>
      <c r="E69" s="2434"/>
      <c r="F69" s="2435"/>
    </row>
    <row r="70" spans="1:7" ht="19.5" customHeight="1" x14ac:dyDescent="0.2">
      <c r="A70" s="2429"/>
      <c r="B70" s="1073" t="s">
        <v>945</v>
      </c>
      <c r="C70" s="908" t="s">
        <v>504</v>
      </c>
      <c r="D70" s="642">
        <f>IF('DATOS PARA DEPURAR'!D246&lt;=1200*'DATOS PARA DEPURAR'!C24,'DATOS PARA DEPURAR'!D246,1200*'DATOS PARA DEPURAR'!C24)</f>
        <v>0</v>
      </c>
      <c r="E70" s="2434"/>
      <c r="F70" s="2435"/>
      <c r="G70" s="927" t="s">
        <v>788</v>
      </c>
    </row>
    <row r="71" spans="1:7" ht="13.5" customHeight="1" x14ac:dyDescent="0.2">
      <c r="A71" s="2429"/>
      <c r="B71" s="1072" t="s">
        <v>946</v>
      </c>
      <c r="C71" s="908" t="s">
        <v>505</v>
      </c>
      <c r="D71" s="642">
        <f>MIN(G71:G73)</f>
        <v>0</v>
      </c>
      <c r="E71" s="2434"/>
      <c r="F71" s="2435"/>
      <c r="G71" s="1">
        <f>+'DATOS PARA DEPURAR'!D253</f>
        <v>0</v>
      </c>
    </row>
    <row r="72" spans="1:7" ht="24" customHeight="1" x14ac:dyDescent="0.2">
      <c r="A72" s="2429"/>
      <c r="B72" s="1131" t="s">
        <v>943</v>
      </c>
      <c r="C72" s="909" t="s">
        <v>944</v>
      </c>
      <c r="D72" s="925">
        <f>+'DATOS PARA DEPURAR'!D255</f>
        <v>0</v>
      </c>
      <c r="E72" s="2434"/>
      <c r="F72" s="2435"/>
      <c r="G72" s="591">
        <f>F4/12</f>
        <v>86954732.416666672</v>
      </c>
    </row>
    <row r="73" spans="1:7" ht="13.5" customHeight="1" x14ac:dyDescent="0.2">
      <c r="A73" s="2429"/>
      <c r="B73" s="635" t="s">
        <v>483</v>
      </c>
      <c r="C73" s="923" t="s">
        <v>481</v>
      </c>
      <c r="D73" s="642">
        <f>IF('DATOS PARA DEPURAR'!D250&gt;0,'DATOS PARA DEPURAR'!D250*0.5,0)</f>
        <v>0</v>
      </c>
      <c r="E73" s="2434"/>
      <c r="F73" s="2435"/>
      <c r="G73">
        <f>2500*'DATOS PARA DEPURAR'!C24</f>
        <v>106030000</v>
      </c>
    </row>
    <row r="74" spans="1:7" ht="16.5" customHeight="1" x14ac:dyDescent="0.25">
      <c r="A74" s="2429"/>
      <c r="B74" s="46"/>
      <c r="C74" s="922" t="s">
        <v>541</v>
      </c>
      <c r="D74" s="642">
        <f>SUM(D75:D80)</f>
        <v>124000000</v>
      </c>
      <c r="E74" s="2434"/>
      <c r="F74" s="2435"/>
    </row>
    <row r="75" spans="1:7" x14ac:dyDescent="0.2">
      <c r="A75" s="2429"/>
      <c r="B75" s="635" t="s">
        <v>484</v>
      </c>
      <c r="C75" s="908" t="s">
        <v>968</v>
      </c>
      <c r="D75" s="829">
        <f>+'DATOS PARA DEPURAR'!D289</f>
        <v>0</v>
      </c>
      <c r="E75" s="2434"/>
      <c r="F75" s="2435"/>
    </row>
    <row r="76" spans="1:7" x14ac:dyDescent="0.2">
      <c r="A76" s="2429"/>
      <c r="B76" s="635" t="s">
        <v>485</v>
      </c>
      <c r="C76" s="908" t="s">
        <v>480</v>
      </c>
      <c r="D76" s="829">
        <f>+'DATOS PARA DEPURAR'!D292</f>
        <v>0</v>
      </c>
      <c r="E76" s="2434"/>
      <c r="F76" s="2435"/>
    </row>
    <row r="77" spans="1:7" ht="15" customHeight="1" x14ac:dyDescent="0.2">
      <c r="A77" s="2429"/>
      <c r="B77" s="636"/>
      <c r="C77" s="1118" t="s">
        <v>538</v>
      </c>
      <c r="D77" s="642"/>
      <c r="E77" s="2434"/>
      <c r="F77" s="2435"/>
    </row>
    <row r="78" spans="1:7" ht="18.75" customHeight="1" x14ac:dyDescent="0.2">
      <c r="A78" s="2429"/>
      <c r="B78" s="636"/>
      <c r="C78" s="961" t="s">
        <v>411</v>
      </c>
      <c r="D78" s="642">
        <f>IF((D19&gt;0),'DATOS PARA DEPURAR'!E300,0)</f>
        <v>4000000</v>
      </c>
      <c r="E78" s="1071"/>
      <c r="F78" s="631"/>
    </row>
    <row r="79" spans="1:7" ht="18.75" customHeight="1" x14ac:dyDescent="0.2">
      <c r="A79" s="2429"/>
      <c r="B79" s="636"/>
      <c r="C79" s="960" t="s">
        <v>631</v>
      </c>
      <c r="D79" s="642">
        <f>+'DATOS PARA DEPURAR'!E296</f>
        <v>0</v>
      </c>
      <c r="E79" s="1071"/>
      <c r="F79" s="631"/>
    </row>
    <row r="80" spans="1:7" ht="18.75" customHeight="1" x14ac:dyDescent="0.2">
      <c r="A80" s="2429"/>
      <c r="B80" s="636"/>
      <c r="C80" s="961" t="s">
        <v>315</v>
      </c>
      <c r="D80" s="642">
        <f>+'DATOS PARA DEPURAR'!E294</f>
        <v>120000000</v>
      </c>
      <c r="E80" s="1071"/>
      <c r="F80" s="631"/>
    </row>
    <row r="81" spans="1:6" ht="20.25" customHeight="1" x14ac:dyDescent="0.2">
      <c r="A81" s="2429"/>
      <c r="B81" s="2447" t="s">
        <v>542</v>
      </c>
      <c r="C81" s="2440"/>
      <c r="D81" s="2440"/>
      <c r="E81" s="761">
        <f>+E68+1</f>
        <v>81</v>
      </c>
      <c r="F81" s="760">
        <f>MIN(D82:D84)</f>
        <v>56832080</v>
      </c>
    </row>
    <row r="82" spans="1:6" ht="15" customHeight="1" x14ac:dyDescent="0.2">
      <c r="A82" s="2429"/>
      <c r="B82" s="637"/>
      <c r="C82" s="1117" t="s">
        <v>493</v>
      </c>
      <c r="D82" s="770">
        <f>+F68</f>
        <v>124000000</v>
      </c>
      <c r="E82" s="2451"/>
      <c r="F82" s="2452"/>
    </row>
    <row r="83" spans="1:6" ht="15.75" customHeight="1" x14ac:dyDescent="0.2">
      <c r="A83" s="2429"/>
      <c r="B83" s="637"/>
      <c r="C83" s="1117" t="s">
        <v>955</v>
      </c>
      <c r="D83" s="1103">
        <f>IF((F68)&gt;0,F64*40%,0)</f>
        <v>114132759.60000001</v>
      </c>
      <c r="E83" s="2451"/>
      <c r="F83" s="2452"/>
    </row>
    <row r="84" spans="1:6" ht="15" customHeight="1" x14ac:dyDescent="0.2">
      <c r="A84" s="2429"/>
      <c r="B84" s="637"/>
      <c r="C84" s="1117" t="s">
        <v>784</v>
      </c>
      <c r="D84" s="936">
        <f>IF((F68)&gt;0,1340*'DATOS PARA DEPURAR'!C24,0)</f>
        <v>56832080</v>
      </c>
      <c r="E84" s="2451"/>
      <c r="F84" s="2452"/>
    </row>
    <row r="85" spans="1:6" ht="21" customHeight="1" x14ac:dyDescent="0.2">
      <c r="A85" s="2429"/>
      <c r="B85" s="2439" t="s">
        <v>971</v>
      </c>
      <c r="C85" s="2440"/>
      <c r="D85" s="2440"/>
      <c r="E85" s="680">
        <f>+E81+1</f>
        <v>82</v>
      </c>
      <c r="F85" s="762">
        <f>IF((F4+F66-F24-F26-F36-F81)&gt;0,(F4+F66-F24-F26-F36-F81),0)</f>
        <v>228499819</v>
      </c>
    </row>
    <row r="86" spans="1:6" ht="21" customHeight="1" x14ac:dyDescent="0.2">
      <c r="A86" s="2429"/>
      <c r="B86" s="2441" t="s">
        <v>970</v>
      </c>
      <c r="C86" s="2442"/>
      <c r="D86" s="2442"/>
      <c r="E86" s="680">
        <f>+E85+1</f>
        <v>83</v>
      </c>
      <c r="F86" s="763">
        <f>IF((F26+F36+F81-F66-F4)&gt;0,F26+F36+F81-F66-F4,0)</f>
        <v>0</v>
      </c>
    </row>
    <row r="87" spans="1:6" ht="21" customHeight="1" x14ac:dyDescent="0.2">
      <c r="A87" s="2429"/>
      <c r="B87" s="2443" t="s">
        <v>679</v>
      </c>
      <c r="C87" s="2444"/>
      <c r="D87" s="2444"/>
      <c r="E87" s="680">
        <f>+E86+1</f>
        <v>84</v>
      </c>
      <c r="F87" s="763">
        <f>+'DATOS PARA DEPURAR'!E319</f>
        <v>0</v>
      </c>
    </row>
    <row r="88" spans="1:6" ht="21" customHeight="1" thickBot="1" x14ac:dyDescent="0.25">
      <c r="A88" s="2430"/>
      <c r="B88" s="2445" t="s">
        <v>969</v>
      </c>
      <c r="C88" s="2446"/>
      <c r="D88" s="2446"/>
      <c r="E88" s="764">
        <f>+E87+1</f>
        <v>85</v>
      </c>
      <c r="F88" s="765">
        <f>IF((F85-F87)&gt;0,F85-F87,0)</f>
        <v>228499819</v>
      </c>
    </row>
    <row r="89" spans="1:6" ht="16.5" customHeight="1" x14ac:dyDescent="0.2"/>
  </sheetData>
  <sheetProtection algorithmName="SHA-512" hashValue="yPjMBYKx/FgakOHMMXh14oOjYEZfie5PSPNsFyqRZsMgk8py66Os1z/tgKZ5oYlUlYC31YAlyzMaE7Xtn0oRsg==" saltValue="a/eRy8XFgRXEW2boeY7rvQ==" spinCount="100000" sheet="1" objects="1" scenarios="1"/>
  <mergeCells count="20">
    <mergeCell ref="B81:D81"/>
    <mergeCell ref="E5:E23"/>
    <mergeCell ref="E49:F49"/>
    <mergeCell ref="E82:F84"/>
    <mergeCell ref="A1:F1"/>
    <mergeCell ref="A2:B2"/>
    <mergeCell ref="E2:F2"/>
    <mergeCell ref="A3:F3"/>
    <mergeCell ref="A4:A88"/>
    <mergeCell ref="B4:D4"/>
    <mergeCell ref="B27:B28"/>
    <mergeCell ref="E27:F28"/>
    <mergeCell ref="B68:D68"/>
    <mergeCell ref="E69:E77"/>
    <mergeCell ref="F69:F77"/>
    <mergeCell ref="B48:F48"/>
    <mergeCell ref="B85:D85"/>
    <mergeCell ref="B86:D86"/>
    <mergeCell ref="B87:D87"/>
    <mergeCell ref="B88:D88"/>
  </mergeCells>
  <hyperlinks>
    <hyperlink ref="A3" r:id="rId1" xr:uid="{7B136953-6251-4B4B-A52E-0AA8942EDF59}"/>
  </hyperlinks>
  <printOptions horizontalCentered="1"/>
  <pageMargins left="0.11811023622047245" right="0.11811023622047245" top="0.15748031496062992" bottom="0.15748031496062992" header="0.31496062992125984" footer="0.31496062992125984"/>
  <pageSetup scale="90"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FFFF00"/>
  </sheetPr>
  <dimension ref="A1:BP213"/>
  <sheetViews>
    <sheetView view="pageBreakPreview" topLeftCell="A28" zoomScaleNormal="100" zoomScaleSheetLayoutView="100" workbookViewId="0">
      <selection activeCell="BR18" sqref="BR18"/>
    </sheetView>
  </sheetViews>
  <sheetFormatPr baseColWidth="10" defaultRowHeight="12.75" x14ac:dyDescent="0.2"/>
  <cols>
    <col min="1" max="1" width="8.5703125" customWidth="1"/>
    <col min="2" max="2" width="46" customWidth="1"/>
    <col min="3" max="3" width="14.5703125" customWidth="1"/>
    <col min="4" max="4" width="10.7109375" customWidth="1"/>
    <col min="5" max="5" width="13.28515625" customWidth="1"/>
    <col min="6" max="6" width="63.7109375" hidden="1" customWidth="1"/>
    <col min="7" max="7" width="17.7109375" hidden="1" customWidth="1"/>
    <col min="8" max="8" width="62.7109375" hidden="1" customWidth="1"/>
    <col min="9" max="9" width="27" hidden="1" customWidth="1"/>
    <col min="10" max="10" width="12" hidden="1" customWidth="1"/>
    <col min="11" max="11" width="10" hidden="1" customWidth="1"/>
    <col min="12" max="12" width="67.28515625" hidden="1" customWidth="1"/>
    <col min="13" max="13" width="12" hidden="1" customWidth="1"/>
    <col min="14" max="14" width="8" hidden="1" customWidth="1"/>
    <col min="15" max="15" width="17.7109375" hidden="1" customWidth="1"/>
    <col min="16" max="16" width="5.7109375" hidden="1" customWidth="1"/>
    <col min="17" max="17" width="71.42578125" hidden="1" customWidth="1"/>
    <col min="18" max="18" width="37.5703125" hidden="1" customWidth="1"/>
    <col min="19" max="19" width="13.28515625" hidden="1" customWidth="1"/>
    <col min="20" max="20" width="2" hidden="1" customWidth="1"/>
    <col min="21" max="21" width="0.140625" hidden="1" customWidth="1"/>
    <col min="22" max="22" width="8.85546875" hidden="1" customWidth="1"/>
    <col min="23" max="23" width="11" hidden="1" customWidth="1"/>
    <col min="24" max="24" width="9.7109375" hidden="1" customWidth="1"/>
    <col min="25" max="25" width="2" hidden="1" customWidth="1"/>
    <col min="26" max="26" width="11.42578125" hidden="1" customWidth="1"/>
    <col min="27" max="27" width="16.28515625" hidden="1" customWidth="1"/>
    <col min="28" max="28" width="11" hidden="1" customWidth="1"/>
    <col min="29" max="29" width="0.140625" hidden="1" customWidth="1"/>
    <col min="30" max="30" width="2" hidden="1" customWidth="1"/>
    <col min="31" max="31" width="5.140625" hidden="1" customWidth="1"/>
    <col min="32" max="32" width="13.7109375" hidden="1" customWidth="1"/>
    <col min="33" max="33" width="12" hidden="1" customWidth="1"/>
    <col min="34" max="34" width="3.42578125" hidden="1" customWidth="1"/>
    <col min="35" max="35" width="7.5703125" hidden="1" customWidth="1"/>
    <col min="36" max="36" width="13.7109375" hidden="1" customWidth="1"/>
    <col min="37" max="39" width="0.140625" hidden="1" customWidth="1"/>
    <col min="40" max="40" width="2.140625" hidden="1" customWidth="1"/>
    <col min="41" max="49" width="0.140625" hidden="1" customWidth="1"/>
    <col min="50" max="50" width="8.140625" hidden="1" customWidth="1"/>
    <col min="51" max="51" width="7.5703125" hidden="1" customWidth="1"/>
    <col min="52" max="52" width="6.85546875" hidden="1" customWidth="1"/>
    <col min="53" max="53" width="11.28515625" hidden="1" customWidth="1"/>
    <col min="54" max="61" width="0.140625" hidden="1" customWidth="1"/>
    <col min="62" max="68" width="12.85546875" hidden="1" customWidth="1"/>
    <col min="69" max="173" width="12.85546875" customWidth="1"/>
    <col min="174" max="179" width="11.42578125" customWidth="1"/>
    <col min="254" max="255" width="11.42578125" customWidth="1"/>
  </cols>
  <sheetData>
    <row r="1" spans="1:53" ht="20.25" customHeight="1" x14ac:dyDescent="0.2">
      <c r="A1" s="135" t="s">
        <v>183</v>
      </c>
      <c r="B1" s="70"/>
      <c r="C1" s="136" t="s">
        <v>0</v>
      </c>
      <c r="D1" s="122"/>
      <c r="E1" s="71"/>
      <c r="H1" s="37" t="s">
        <v>379</v>
      </c>
      <c r="L1" s="1250" t="s">
        <v>3</v>
      </c>
      <c r="M1" s="1251"/>
      <c r="N1" s="132" t="s">
        <v>45</v>
      </c>
      <c r="O1" s="36">
        <f>+'DATOS PARA DEPURAR'!E29</f>
        <v>82752000</v>
      </c>
      <c r="AX1" s="44" t="e">
        <f>+#REF!/'DATOS PARA DEPURAR'!C24</f>
        <v>#REF!</v>
      </c>
    </row>
    <row r="2" spans="1:53" ht="21" customHeight="1" thickBot="1" x14ac:dyDescent="0.35">
      <c r="A2" s="46"/>
      <c r="B2" s="115" t="str">
        <f>+'DATOS PARA DEPURAR'!C7</f>
        <v>RIOJAS QUINTERO MAIRA ALEJANDRA</v>
      </c>
      <c r="C2" s="1252">
        <f>+'DATOS PARA DEPURAR'!C5</f>
        <v>2023</v>
      </c>
      <c r="D2" s="1253"/>
      <c r="E2" s="1254"/>
      <c r="H2" s="37" t="s">
        <v>380</v>
      </c>
      <c r="I2">
        <f>IF((F10)&gt;=1400*('DATOS PARA DEPURAR'!C24),F10,0)</f>
        <v>1727340518</v>
      </c>
      <c r="J2">
        <f>IF((F10)&lt;27000*('DATOS PARA DEPURAR'!C24),F10,0)</f>
        <v>0</v>
      </c>
      <c r="L2" s="1255" t="s">
        <v>310</v>
      </c>
      <c r="M2" s="1256"/>
      <c r="N2" s="133" t="s">
        <v>46</v>
      </c>
      <c r="O2" s="33">
        <f>+'DATOS PARA DEPURAR'!E32</f>
        <v>10746000</v>
      </c>
      <c r="AX2" s="41">
        <v>0</v>
      </c>
      <c r="AY2" s="41">
        <f>+AX3-0.01</f>
        <v>128.95000000000002</v>
      </c>
      <c r="AZ2" s="41">
        <v>0</v>
      </c>
    </row>
    <row r="3" spans="1:53" ht="24" customHeight="1" thickBot="1" x14ac:dyDescent="0.25">
      <c r="A3" s="72" t="s">
        <v>347</v>
      </c>
      <c r="B3" s="73">
        <f>+'DATOS PARA DEPURAR'!E7</f>
        <v>1065263869</v>
      </c>
      <c r="C3" s="1257" t="s">
        <v>372</v>
      </c>
      <c r="D3" s="1258"/>
      <c r="E3" s="1259"/>
      <c r="F3">
        <f>+'PATRIMONIO BRUTO'!F91</f>
        <v>4153418915.25</v>
      </c>
      <c r="H3" s="37" t="s">
        <v>384</v>
      </c>
      <c r="I3">
        <f>IF((F23)&lt;(27000*'DATOS PARA DEPURAR'!C24),('IMAS TRABAJADOR POR CTA PROPIA'!F10),0)</f>
        <v>0</v>
      </c>
      <c r="L3" s="1255" t="s">
        <v>311</v>
      </c>
      <c r="M3" s="1256"/>
      <c r="N3" s="133" t="s">
        <v>46</v>
      </c>
      <c r="O3" s="33">
        <f>+'DATOS PARA DEPURAR'!E33</f>
        <v>0</v>
      </c>
      <c r="AX3" s="41">
        <v>128.96</v>
      </c>
      <c r="AY3" s="41">
        <f>+AX5-0.01</f>
        <v>132.35000000000002</v>
      </c>
      <c r="AZ3" s="41">
        <v>0.09</v>
      </c>
      <c r="BA3" s="1">
        <f>+AZ3*'DATOS PARA DEPURAR'!$C$24</f>
        <v>3817.08</v>
      </c>
    </row>
    <row r="4" spans="1:53" ht="16.5" customHeight="1" x14ac:dyDescent="0.2">
      <c r="A4" s="493">
        <v>27</v>
      </c>
      <c r="B4" s="1233" t="s">
        <v>382</v>
      </c>
      <c r="C4" s="1233"/>
      <c r="D4" s="1233"/>
      <c r="E4" s="494">
        <f>IF(($E$7)&gt;(0),F3,0)</f>
        <v>0</v>
      </c>
      <c r="F4">
        <f>+'PATRIMONIO BRUTO'!F135</f>
        <v>0</v>
      </c>
      <c r="G4">
        <f>IF(('DATOS PARA DEPURAR'!E111)="S",'IMAS TRABAJADOR POR CTA PROPIA'!K20,0)</f>
        <v>0</v>
      </c>
      <c r="H4" s="37" t="s">
        <v>381</v>
      </c>
      <c r="I4">
        <f>IF(('DATOS PARA DEPURAR'!E20)&lt;(12000*'DATOS PARA DEPURAR'!C24),('IMAS TRABAJADOR POR CTA PROPIA'!F10),0)</f>
        <v>1727340518</v>
      </c>
      <c r="L4" s="331"/>
      <c r="M4" s="332"/>
      <c r="N4" s="133"/>
      <c r="O4" s="33"/>
      <c r="AX4" s="41"/>
      <c r="AY4" s="41"/>
      <c r="AZ4" s="41"/>
      <c r="BA4" s="1"/>
    </row>
    <row r="5" spans="1:53" ht="18" customHeight="1" x14ac:dyDescent="0.2">
      <c r="A5" s="355">
        <v>28</v>
      </c>
      <c r="B5" s="354" t="s">
        <v>105</v>
      </c>
      <c r="C5" s="119"/>
      <c r="D5" s="119"/>
      <c r="E5" s="356">
        <f>IF(($E$7)&gt;(0),F4,0)</f>
        <v>0</v>
      </c>
      <c r="F5">
        <f>+F3-F4</f>
        <v>4153418915.25</v>
      </c>
      <c r="I5">
        <f>+I2-J2</f>
        <v>1727340518</v>
      </c>
      <c r="J5">
        <f>+I4-I3</f>
        <v>1727340518</v>
      </c>
      <c r="L5" s="1255" t="s">
        <v>4</v>
      </c>
      <c r="M5" s="1256"/>
      <c r="N5" s="133" t="s">
        <v>46</v>
      </c>
      <c r="O5" s="33">
        <f>+'DATOS PARA DEPURAR'!E34</f>
        <v>0</v>
      </c>
      <c r="AX5" s="41">
        <v>132.36000000000001</v>
      </c>
      <c r="AY5" s="41">
        <f>+AX7-0.01</f>
        <v>135.74</v>
      </c>
      <c r="AZ5" s="41">
        <v>0.09</v>
      </c>
      <c r="BA5" s="1">
        <f>+AZ5*'DATOS PARA DEPURAR'!$C$24</f>
        <v>3817.08</v>
      </c>
    </row>
    <row r="6" spans="1:53" ht="18" customHeight="1" thickBot="1" x14ac:dyDescent="0.25">
      <c r="A6" s="495">
        <v>29</v>
      </c>
      <c r="B6" s="1260" t="s">
        <v>383</v>
      </c>
      <c r="C6" s="1260"/>
      <c r="D6" s="1261"/>
      <c r="E6" s="494">
        <f>IF(($E$7)&gt;(0),F5,0)</f>
        <v>0</v>
      </c>
      <c r="F6">
        <f>+G4</f>
        <v>0</v>
      </c>
      <c r="L6" s="331"/>
      <c r="M6" s="332"/>
      <c r="N6" s="133"/>
      <c r="O6" s="33"/>
      <c r="AX6" s="41"/>
      <c r="AY6" s="41"/>
      <c r="AZ6" s="41"/>
      <c r="BA6" s="1"/>
    </row>
    <row r="7" spans="1:53" x14ac:dyDescent="0.2">
      <c r="A7" s="128">
        <v>30</v>
      </c>
      <c r="B7" s="360" t="s">
        <v>373</v>
      </c>
      <c r="C7" s="120"/>
      <c r="D7" s="120"/>
      <c r="E7" s="344">
        <f>IF(SUM(I5:J5)=0,G4,0)</f>
        <v>0</v>
      </c>
      <c r="F7" s="352">
        <f>+G7</f>
        <v>1727340518</v>
      </c>
      <c r="G7" s="82">
        <f>+H7-G4</f>
        <v>1727340518</v>
      </c>
      <c r="H7">
        <f>'DATOS PARA DEPURAR'!E48+'DATOS PARA DEPURAR'!E57+'DATOS PARA DEPURAR'!E98-SUM('DATOS PARA DEPURAR'!E62:E70)-SUM('DATOS PARA DEPURAR'!E75:E78)+I7+J7-'DATOS PARA DEPURAR'!E45</f>
        <v>1727340518</v>
      </c>
      <c r="I7">
        <f>IF(('DATOS PARA DEPURAR'!D64)="N",'DATOS PARA DEPURAR'!E64,0)</f>
        <v>100000000</v>
      </c>
      <c r="J7">
        <f>IF(('DATOS PARA DEPURAR'!D62)="N",'DATOS PARA DEPURAR'!E62,0)</f>
        <v>100000000</v>
      </c>
      <c r="L7" s="1243" t="s">
        <v>317</v>
      </c>
      <c r="M7" s="1244"/>
      <c r="N7" s="133" t="s">
        <v>46</v>
      </c>
      <c r="O7" s="33">
        <f>+'DATOS PARA DEPURAR'!E35</f>
        <v>0</v>
      </c>
      <c r="AX7" s="41">
        <v>135.75</v>
      </c>
      <c r="AY7" s="41" t="e">
        <f>+#REF!-0.01</f>
        <v>#REF!</v>
      </c>
      <c r="AZ7" s="41">
        <v>0.09</v>
      </c>
      <c r="BA7" s="1">
        <f>+AZ7*'DATOS PARA DEPURAR'!$C$24</f>
        <v>3817.08</v>
      </c>
    </row>
    <row r="8" spans="1:53" ht="15.75" customHeight="1" thickBot="1" x14ac:dyDescent="0.25">
      <c r="A8" s="492">
        <f t="shared" ref="A8:A20" si="0">+A7+1</f>
        <v>31</v>
      </c>
      <c r="B8" s="1245" t="s">
        <v>378</v>
      </c>
      <c r="C8" s="1246"/>
      <c r="D8" s="1247"/>
      <c r="E8" s="496">
        <f>IF((E7)&gt;0,G7,0)</f>
        <v>0</v>
      </c>
      <c r="G8" s="340">
        <f>IF('DATOS PARA DEPURAR'!E106="S",('DATOS PARA DEPURAR'!E98+'DATOS PARA DEPURAR'!E57-SUM('DATOS PARA DEPURAR'!E62:E70)-SUM('DATOS PARA DEPURAR'!E75:E78)+G16+G17),0)</f>
        <v>0</v>
      </c>
      <c r="L8" s="1248" t="s">
        <v>19</v>
      </c>
      <c r="M8" s="1249"/>
      <c r="N8" s="133" t="s">
        <v>46</v>
      </c>
      <c r="O8" s="33">
        <f>+'DATOS PARA DEPURAR'!E43</f>
        <v>0</v>
      </c>
      <c r="Q8" s="55" t="e">
        <f>IF(N1="N",O1)+IF(N2="N",O2)+IF(N3="N",O3)+IF(N5="N",O5)+IF(N7="N",O7)+IF(#REF!="N",#REF!)+IF(#REF!="N",#REF!)+IF(#REF!="N",#REF!)+IF(N8="N",O8)+IF(N12="N",O12)+IF(N13="N",O13)+IF(N14="N",O14)+IF(N16="N",O16)</f>
        <v>#REF!</v>
      </c>
      <c r="AX8" s="41">
        <v>149.32</v>
      </c>
      <c r="AY8" s="41">
        <f>+AX12-0.01</f>
        <v>152.71</v>
      </c>
      <c r="AZ8" s="41">
        <v>0.2</v>
      </c>
      <c r="BA8" s="1">
        <f>+AZ8*'DATOS PARA DEPURAR'!$C$24</f>
        <v>8482.4</v>
      </c>
    </row>
    <row r="9" spans="1:53" ht="15.75" customHeight="1" x14ac:dyDescent="0.2">
      <c r="A9" s="453">
        <f t="shared" si="0"/>
        <v>32</v>
      </c>
      <c r="B9" s="454" t="s">
        <v>451</v>
      </c>
      <c r="C9" s="454"/>
      <c r="D9" s="455"/>
      <c r="E9" s="456">
        <f>IF(E7&gt;0,G9,0)</f>
        <v>0</v>
      </c>
      <c r="G9" s="345">
        <f>'DATOS PARA DEPURAR'!E45</f>
        <v>0</v>
      </c>
      <c r="L9" s="346"/>
      <c r="M9" s="347"/>
      <c r="N9" s="348"/>
      <c r="O9" s="349"/>
      <c r="Q9" s="345"/>
      <c r="AX9" s="41"/>
      <c r="AY9" s="41"/>
      <c r="AZ9" s="41"/>
      <c r="BA9" s="1"/>
    </row>
    <row r="10" spans="1:53" ht="17.25" customHeight="1" x14ac:dyDescent="0.2">
      <c r="A10" s="492">
        <f>+A9+1</f>
        <v>33</v>
      </c>
      <c r="B10" s="497" t="s">
        <v>377</v>
      </c>
      <c r="C10" s="497"/>
      <c r="D10" s="498"/>
      <c r="E10" s="496">
        <f>+E7+E8</f>
        <v>0</v>
      </c>
      <c r="F10" s="353">
        <f>+F6+F7</f>
        <v>1727340518</v>
      </c>
      <c r="G10" s="345"/>
      <c r="L10" s="346"/>
      <c r="M10" s="347"/>
      <c r="N10" s="348"/>
      <c r="O10" s="350"/>
      <c r="Q10" s="345"/>
      <c r="AX10" s="41"/>
      <c r="AY10" s="41"/>
      <c r="AZ10" s="41"/>
      <c r="BA10" s="351"/>
    </row>
    <row r="11" spans="1:53" ht="15.75" customHeight="1" x14ac:dyDescent="0.2">
      <c r="A11" s="453">
        <f t="shared" si="0"/>
        <v>34</v>
      </c>
      <c r="B11" s="454" t="s">
        <v>375</v>
      </c>
      <c r="C11" s="454"/>
      <c r="D11" s="455"/>
      <c r="E11" s="456">
        <f>IF(E10&gt;0,'DATOS PARA DEPURAR'!E99,0)</f>
        <v>0</v>
      </c>
      <c r="G11" s="345"/>
      <c r="L11" s="346"/>
      <c r="M11" s="347"/>
      <c r="N11" s="348"/>
      <c r="O11" s="349"/>
      <c r="Q11" s="345"/>
      <c r="AX11" s="41"/>
      <c r="AY11" s="41"/>
      <c r="AZ11" s="41"/>
      <c r="BA11" s="1"/>
    </row>
    <row r="12" spans="1:53" s="84" customFormat="1" ht="13.5" thickBot="1" x14ac:dyDescent="0.25">
      <c r="A12" s="492">
        <f t="shared" si="0"/>
        <v>35</v>
      </c>
      <c r="B12" s="1233" t="s">
        <v>376</v>
      </c>
      <c r="C12" s="1233"/>
      <c r="D12" s="1262"/>
      <c r="E12" s="499">
        <f>+E10-E11</f>
        <v>0</v>
      </c>
      <c r="F12" s="353">
        <f>+F6+F7-F11</f>
        <v>1727340518</v>
      </c>
      <c r="G12" s="2">
        <f>SUM(G7:G8)</f>
        <v>1727340518</v>
      </c>
      <c r="L12" s="1263" t="s">
        <v>43</v>
      </c>
      <c r="M12" s="1264"/>
      <c r="N12" s="131" t="s">
        <v>46</v>
      </c>
      <c r="O12" s="85">
        <f>+'DATOS PARA DEPURAR'!E36</f>
        <v>0</v>
      </c>
      <c r="P12" s="84">
        <f>IF(O12&lt;=O1*0.5,O12,O1*0.5)</f>
        <v>0</v>
      </c>
      <c r="Q12" s="84">
        <f>+'DATOS PARA DEPURAR'!E25</f>
        <v>47065</v>
      </c>
      <c r="AX12" s="86">
        <v>152.72</v>
      </c>
      <c r="AY12" s="86">
        <f t="shared" ref="AY12:AY104" si="1">+AX13-0.01</f>
        <v>156.10000000000002</v>
      </c>
      <c r="AZ12" s="86">
        <v>0.21</v>
      </c>
      <c r="BA12" s="82">
        <f>+AZ12*'DATOS PARA DEPURAR'!$C$24</f>
        <v>8906.52</v>
      </c>
    </row>
    <row r="13" spans="1:53" s="84" customFormat="1" x14ac:dyDescent="0.2">
      <c r="A13" s="453">
        <f t="shared" si="0"/>
        <v>36</v>
      </c>
      <c r="B13" s="1242" t="s">
        <v>54</v>
      </c>
      <c r="C13" s="1242"/>
      <c r="D13" s="1242"/>
      <c r="E13" s="456">
        <f>IF(E12&gt;0,'DATOS PARA DEPURAR'!E134,0)</f>
        <v>0</v>
      </c>
      <c r="F13" s="343">
        <f>+'DATOS PARA DEPURAR'!E134</f>
        <v>0</v>
      </c>
      <c r="H13" s="82" t="str">
        <f>+'DATOS PARA DEPURAR'!B89</f>
        <v>COMERCIO AL POR MENOR Y AL POR MAYOR</v>
      </c>
      <c r="I13" s="341">
        <f>+'DATOS PARA DEPURAR'!D109</f>
        <v>0.46546151574195266</v>
      </c>
      <c r="J13">
        <f>+'DATOS PARA DEPURAR'!E89</f>
        <v>700000000</v>
      </c>
      <c r="K13">
        <f t="shared" ref="K13:K19" si="2">IF((I13)&gt;=(80%),J13,0)</f>
        <v>0</v>
      </c>
      <c r="L13" t="s">
        <v>44</v>
      </c>
      <c r="M13"/>
      <c r="N13" s="100" t="s">
        <v>46</v>
      </c>
      <c r="O13" s="1">
        <f>+'DATOS PARA DEPURAR'!E39</f>
        <v>0</v>
      </c>
      <c r="Q13" s="87">
        <f>+'DATOS PARA DEPURAR'!D286</f>
        <v>0</v>
      </c>
      <c r="AX13" s="86">
        <v>156.11000000000001</v>
      </c>
      <c r="AY13" s="86">
        <f t="shared" si="1"/>
        <v>159.5</v>
      </c>
      <c r="AZ13" s="86">
        <v>0.4</v>
      </c>
      <c r="BA13" s="82">
        <f>+AZ13*'DATOS PARA DEPURAR'!$C$24</f>
        <v>16964.8</v>
      </c>
    </row>
    <row r="14" spans="1:53" s="84" customFormat="1" ht="15" customHeight="1" x14ac:dyDescent="0.2">
      <c r="A14" s="492">
        <f t="shared" si="0"/>
        <v>37</v>
      </c>
      <c r="B14" s="1238" t="s">
        <v>55</v>
      </c>
      <c r="C14" s="1238"/>
      <c r="D14" s="1238"/>
      <c r="E14" s="500">
        <f>IF(E12&gt;0,'DATOS PARA DEPURAR'!C86,0)</f>
        <v>0</v>
      </c>
      <c r="F14">
        <f>+'DATOS PARA DEPURAR'!C86</f>
        <v>0</v>
      </c>
      <c r="H14" s="82" t="str">
        <f>+'DATOS PARA DEPURAR'!B90</f>
        <v>SERVICIOS DE HOTELES, RESTAURANTES Y SIMILARES</v>
      </c>
      <c r="I14" s="341">
        <f>+'DATOS PARA DEPURAR'!D110</f>
        <v>0</v>
      </c>
      <c r="J14">
        <f>+'DATOS PARA DEPURAR'!E90</f>
        <v>0</v>
      </c>
      <c r="K14">
        <f t="shared" si="2"/>
        <v>0</v>
      </c>
      <c r="L14" s="134" t="s">
        <v>179</v>
      </c>
      <c r="M14" s="134"/>
      <c r="N14" s="100" t="s">
        <v>46</v>
      </c>
      <c r="O14" s="1">
        <f>+'DATOS PARA DEPURAR'!E44</f>
        <v>7305729</v>
      </c>
      <c r="AX14" s="86">
        <v>159.51</v>
      </c>
      <c r="AY14" s="86">
        <f>+AX16-0.01</f>
        <v>162.89000000000001</v>
      </c>
      <c r="AZ14" s="86">
        <v>0.41</v>
      </c>
      <c r="BA14" s="82">
        <f>+AZ14*'DATOS PARA DEPURAR'!$C$24</f>
        <v>17388.919999999998</v>
      </c>
    </row>
    <row r="15" spans="1:53" s="84" customFormat="1" ht="15" customHeight="1" x14ac:dyDescent="0.2">
      <c r="A15" s="486">
        <f t="shared" si="0"/>
        <v>38</v>
      </c>
      <c r="B15" s="487" t="s">
        <v>469</v>
      </c>
      <c r="C15" s="487"/>
      <c r="D15" s="487"/>
      <c r="E15" s="488">
        <f>IF(E12&gt;0,'DATOS PARA DEPURAR'!D286+'DATOS PARA DEPURAR'!D287+'DATOS PARA DEPURAR'!E258+'DATOS PARA DEPURAR'!E257,0)</f>
        <v>0</v>
      </c>
      <c r="F15" s="2">
        <f>IF(F12&gt;0,'DATOS PARA DEPURAR'!D286+'DATOS PARA DEPURAR'!D287+'DATOS PARA DEPURAR'!E258+'DATOS PARA DEPURAR'!E257,0)</f>
        <v>0</v>
      </c>
      <c r="H15" s="82"/>
      <c r="I15" s="341"/>
      <c r="J15"/>
      <c r="K15"/>
      <c r="L15" s="134"/>
      <c r="M15" s="134"/>
      <c r="N15" s="100"/>
      <c r="O15" s="1"/>
      <c r="AX15" s="86"/>
      <c r="AY15" s="86"/>
      <c r="AZ15" s="86"/>
      <c r="BA15" s="82"/>
    </row>
    <row r="16" spans="1:53" ht="12.75" customHeight="1" x14ac:dyDescent="0.2">
      <c r="A16" s="492">
        <f t="shared" si="0"/>
        <v>39</v>
      </c>
      <c r="B16" s="1238" t="s">
        <v>65</v>
      </c>
      <c r="C16" s="1238"/>
      <c r="D16" s="1238"/>
      <c r="E16" s="500">
        <f>IF(E12&gt;0,F16,0)</f>
        <v>0</v>
      </c>
      <c r="F16">
        <f>+'DEPURACION ORDINARIO 2017'!K14</f>
        <v>0</v>
      </c>
      <c r="G16">
        <f>IF(('DATOS PARA DEPURAR'!D62)="N",'DATOS PARA DEPURAR'!E62,0)</f>
        <v>100000000</v>
      </c>
      <c r="H16" s="82" t="str">
        <f>+'DATOS PARA DEPURAR'!B91</f>
        <v>AGRICULTURA, SILVICULTURA Y PESCA</v>
      </c>
      <c r="I16" s="341">
        <f>+'DATOS PARA DEPURAR'!D111</f>
        <v>0</v>
      </c>
      <c r="J16">
        <f>+'DATOS PARA DEPURAR'!E91</f>
        <v>0</v>
      </c>
      <c r="K16">
        <f t="shared" si="2"/>
        <v>0</v>
      </c>
      <c r="L16" s="1239"/>
      <c r="M16" s="1239"/>
      <c r="N16" s="100"/>
      <c r="O16" s="1"/>
      <c r="Q16" s="66">
        <f>+'DATOS PARA DEPURAR'!E258</f>
        <v>0</v>
      </c>
      <c r="AX16" s="41">
        <v>162.9</v>
      </c>
      <c r="AY16" s="41">
        <f t="shared" si="1"/>
        <v>166.28</v>
      </c>
      <c r="AZ16" s="41">
        <v>0.41</v>
      </c>
      <c r="BA16" s="1">
        <f>+AZ16*'DATOS PARA DEPURAR'!$C$24</f>
        <v>17388.919999999998</v>
      </c>
    </row>
    <row r="17" spans="1:53" ht="16.5" customHeight="1" x14ac:dyDescent="0.2">
      <c r="A17" s="128">
        <f t="shared" si="0"/>
        <v>40</v>
      </c>
      <c r="B17" s="1240" t="s">
        <v>58</v>
      </c>
      <c r="C17" s="1240"/>
      <c r="D17" s="1240"/>
      <c r="E17" s="488">
        <f>IF(E12&gt;0,'DATOS PARA DEPURAR'!E241,0)</f>
        <v>0</v>
      </c>
      <c r="F17">
        <f>+'DATOS PARA DEPURAR'!E241</f>
        <v>0</v>
      </c>
      <c r="G17">
        <f>IF(('DATOS PARA DEPURAR'!D64)="N",'DATOS PARA DEPURAR'!E64,0)</f>
        <v>100000000</v>
      </c>
      <c r="H17" s="82" t="str">
        <f>+'DATOS PARA DEPURAR'!B92</f>
        <v>ACTIVIDAD GANADERA</v>
      </c>
      <c r="I17" s="341">
        <f>+'DATOS PARA DEPURAR'!D112</f>
        <v>0</v>
      </c>
      <c r="J17">
        <f>+'DATOS PARA DEPURAR'!E92</f>
        <v>0</v>
      </c>
      <c r="K17">
        <f t="shared" si="2"/>
        <v>0</v>
      </c>
      <c r="AX17" s="41">
        <v>166.29</v>
      </c>
      <c r="AY17" s="41">
        <f t="shared" si="1"/>
        <v>169.68</v>
      </c>
      <c r="AZ17" s="41">
        <v>0.7</v>
      </c>
      <c r="BA17" s="1">
        <f>+AZ17*'DATOS PARA DEPURAR'!$C$24</f>
        <v>29688.399999999998</v>
      </c>
    </row>
    <row r="18" spans="1:53" ht="16.5" customHeight="1" x14ac:dyDescent="0.2">
      <c r="A18" s="495">
        <f t="shared" si="0"/>
        <v>41</v>
      </c>
      <c r="B18" s="501" t="s">
        <v>59</v>
      </c>
      <c r="C18" s="501"/>
      <c r="D18" s="501"/>
      <c r="E18" s="500">
        <f>IF(E12&gt;0,'DATOS PARA DEPURAR'!E242,0)</f>
        <v>0</v>
      </c>
      <c r="F18">
        <f>+'DATOS PARA DEPURAR'!E242</f>
        <v>0</v>
      </c>
      <c r="H18" s="84" t="s">
        <v>391</v>
      </c>
      <c r="I18" s="341">
        <f>+'DATOS PARA DEPURAR'!D113</f>
        <v>0</v>
      </c>
      <c r="J18">
        <f>+'DATOS PARA DEPURAR'!E93</f>
        <v>0</v>
      </c>
      <c r="K18">
        <f t="shared" si="2"/>
        <v>0</v>
      </c>
      <c r="L18" s="1239"/>
      <c r="M18" s="1239"/>
      <c r="N18" s="80"/>
      <c r="AX18" s="41">
        <v>169.69</v>
      </c>
      <c r="AY18" s="41">
        <f t="shared" si="1"/>
        <v>176.46</v>
      </c>
      <c r="AZ18" s="41">
        <v>0.73</v>
      </c>
      <c r="BA18" s="1">
        <f>+AZ18*'DATOS PARA DEPURAR'!$C$24</f>
        <v>30960.76</v>
      </c>
    </row>
    <row r="19" spans="1:53" ht="16.5" customHeight="1" x14ac:dyDescent="0.2">
      <c r="A19" s="128">
        <f t="shared" si="0"/>
        <v>42</v>
      </c>
      <c r="B19" s="1240" t="s">
        <v>60</v>
      </c>
      <c r="C19" s="1240"/>
      <c r="D19" s="1240"/>
      <c r="E19" s="488">
        <f>IF(E12&gt;0,SUM(L30:L31),0)</f>
        <v>0</v>
      </c>
      <c r="F19">
        <f>+SUM(L30:L31)</f>
        <v>100000000</v>
      </c>
      <c r="H19" s="362" t="s">
        <v>392</v>
      </c>
      <c r="I19" s="341">
        <f>+'DATOS PARA DEPURAR'!D114</f>
        <v>0</v>
      </c>
      <c r="J19">
        <f>+'DATOS PARA DEPURAR'!E94</f>
        <v>0</v>
      </c>
      <c r="K19">
        <f t="shared" si="2"/>
        <v>0</v>
      </c>
      <c r="AX19" s="41">
        <v>176.47</v>
      </c>
      <c r="AY19" s="41">
        <f t="shared" si="1"/>
        <v>-0.01</v>
      </c>
      <c r="AZ19" s="41">
        <v>1.1499999999999999</v>
      </c>
      <c r="BA19" s="1">
        <f>+AZ19*'DATOS PARA DEPURAR'!$C$24</f>
        <v>48773.799999999996</v>
      </c>
    </row>
    <row r="20" spans="1:53" ht="16.5" customHeight="1" x14ac:dyDescent="0.2">
      <c r="A20" s="495">
        <f t="shared" si="0"/>
        <v>43</v>
      </c>
      <c r="B20" s="1233" t="s">
        <v>61</v>
      </c>
      <c r="C20" s="1233"/>
      <c r="D20" s="1233"/>
      <c r="E20" s="496">
        <f>IF((E12)&gt;0,('DATOS PARA DEPURAR'!E40+'DATOS PARA DEPURAR'!E83),0)</f>
        <v>0</v>
      </c>
      <c r="F20">
        <f>+'DATOS PARA DEPURAR'!E40+'DATOS PARA DEPURAR'!E83</f>
        <v>120000000</v>
      </c>
      <c r="K20">
        <f>SUM(K13:K19)</f>
        <v>0</v>
      </c>
      <c r="AX20" s="41"/>
      <c r="AY20" s="41"/>
      <c r="AZ20" s="41"/>
      <c r="BA20" s="1"/>
    </row>
    <row r="21" spans="1:53" ht="16.5" customHeight="1" x14ac:dyDescent="0.2">
      <c r="A21" s="1217" t="s">
        <v>348</v>
      </c>
      <c r="B21" s="1218"/>
      <c r="C21" s="1218"/>
      <c r="D21" s="1218"/>
      <c r="E21" s="1219"/>
      <c r="H21" s="342" t="s">
        <v>374</v>
      </c>
      <c r="L21" s="80"/>
      <c r="M21" s="80"/>
      <c r="N21" s="80"/>
      <c r="O21" s="80"/>
      <c r="AX21" s="41"/>
      <c r="AY21" s="41"/>
      <c r="AZ21" s="41"/>
      <c r="BA21" s="1"/>
    </row>
    <row r="22" spans="1:53" ht="16.5" customHeight="1" x14ac:dyDescent="0.2">
      <c r="A22" s="128">
        <f>+A20+1</f>
        <v>44</v>
      </c>
      <c r="B22" s="338" t="s">
        <v>66</v>
      </c>
      <c r="C22" s="338"/>
      <c r="D22" s="338"/>
      <c r="E22" s="488">
        <f>IF((E12)&gt;0,('DATOS PARA DEPURAR'!E79),0)</f>
        <v>0</v>
      </c>
      <c r="F22">
        <f>+'DATOS PARA DEPURAR'!E79</f>
        <v>23456789</v>
      </c>
      <c r="G22">
        <f>+'DATOS PARA DEPURAR'!E40</f>
        <v>0</v>
      </c>
      <c r="H22" s="82" t="str">
        <f>+H13</f>
        <v>COMERCIO AL POR MENOR Y AL POR MAYOR</v>
      </c>
      <c r="I22" s="37" t="s">
        <v>385</v>
      </c>
      <c r="J22">
        <f>IF((I13)&gt;80%,($F$24-5409)*0.82%,0)</f>
        <v>0</v>
      </c>
      <c r="L22" s="34" t="s">
        <v>20</v>
      </c>
      <c r="M22" s="4"/>
      <c r="N22" s="4" t="str">
        <f>+'DATOS PARA DEPURAR'!D117</f>
        <v>S</v>
      </c>
      <c r="O22" s="12">
        <f>+'DATOS PARA DEPURAR'!E117</f>
        <v>0</v>
      </c>
      <c r="AX22" s="41"/>
      <c r="AY22" s="41"/>
      <c r="AZ22" s="41"/>
      <c r="BA22" s="1"/>
    </row>
    <row r="23" spans="1:53" ht="16.5" customHeight="1" x14ac:dyDescent="0.2">
      <c r="A23" s="495">
        <f t="shared" ref="A23:A40" si="3">+A22+1</f>
        <v>45</v>
      </c>
      <c r="B23" s="1233" t="s">
        <v>67</v>
      </c>
      <c r="C23" s="1233"/>
      <c r="D23" s="1233"/>
      <c r="E23" s="502">
        <f>E12-SUM(E13:E22)</f>
        <v>0</v>
      </c>
      <c r="F23" s="353">
        <f>+F12-SUM(F13:F22)</f>
        <v>1483883729</v>
      </c>
      <c r="H23" s="82" t="str">
        <f>+H14</f>
        <v>SERVICIOS DE HOTELES, RESTAURANTES Y SIMILARES</v>
      </c>
      <c r="I23" s="37" t="s">
        <v>386</v>
      </c>
      <c r="J23" s="44">
        <f>IF((I14)&gt;80%,($F$24-3934)*1.55%,0)</f>
        <v>0</v>
      </c>
      <c r="L23" s="34" t="s">
        <v>4</v>
      </c>
      <c r="M23" s="12" t="b">
        <f>IF(N22=1,O22,IF(N22=2,0))</f>
        <v>0</v>
      </c>
      <c r="N23" s="12"/>
      <c r="O23" s="4"/>
      <c r="AX23" s="41"/>
      <c r="AY23" s="41"/>
      <c r="AZ23" s="41"/>
      <c r="BA23" s="1"/>
    </row>
    <row r="24" spans="1:53" ht="16.5" customHeight="1" x14ac:dyDescent="0.2">
      <c r="A24" s="128">
        <f t="shared" si="3"/>
        <v>46</v>
      </c>
      <c r="B24" s="1241" t="s">
        <v>86</v>
      </c>
      <c r="C24" s="1241"/>
      <c r="D24" s="1241"/>
      <c r="E24" s="130">
        <f>IF(E12&gt;0,SUM(M32:M33),0)</f>
        <v>0</v>
      </c>
      <c r="F24">
        <f>+F23/'DATOS PARA DEPURAR'!C24</f>
        <v>34987.355677638407</v>
      </c>
      <c r="H24" s="82" t="str">
        <f>+H16</f>
        <v>AGRICULTURA, SILVICULTURA Y PESCA</v>
      </c>
      <c r="I24" s="37" t="s">
        <v>387</v>
      </c>
      <c r="J24" s="44">
        <f>IF((I16)&gt;80%,($F$24-7143)*(1.23%),0)</f>
        <v>0</v>
      </c>
      <c r="L24" s="1235"/>
      <c r="M24" s="1236"/>
      <c r="N24" s="1236"/>
      <c r="O24" s="1237"/>
      <c r="AX24" s="41"/>
      <c r="AY24" s="41"/>
      <c r="AZ24" s="41"/>
      <c r="BA24" s="1"/>
    </row>
    <row r="25" spans="1:53" ht="16.5" customHeight="1" x14ac:dyDescent="0.2">
      <c r="A25" s="495">
        <f t="shared" si="3"/>
        <v>47</v>
      </c>
      <c r="B25" s="1233" t="s">
        <v>87</v>
      </c>
      <c r="C25" s="1233"/>
      <c r="D25" s="1233"/>
      <c r="E25" s="502">
        <f>IF(E12&gt;0,SUM(K41:K42),0)</f>
        <v>0</v>
      </c>
      <c r="H25" s="82" t="str">
        <f>+H17</f>
        <v>ACTIVIDAD GANADERA</v>
      </c>
      <c r="I25" s="37" t="s">
        <v>387</v>
      </c>
      <c r="J25" s="44">
        <f>IF((I17)&gt;80%,($F$24-7143)*1.23%,0)</f>
        <v>0</v>
      </c>
      <c r="L25" s="80"/>
      <c r="M25" s="80"/>
      <c r="N25" s="80"/>
      <c r="O25" s="80"/>
      <c r="AX25" s="41"/>
      <c r="AY25" s="41"/>
      <c r="AZ25" s="41"/>
      <c r="BA25" s="1"/>
    </row>
    <row r="26" spans="1:53" ht="17.25" customHeight="1" x14ac:dyDescent="0.2">
      <c r="A26" s="128">
        <f t="shared" si="3"/>
        <v>48</v>
      </c>
      <c r="B26" s="1241" t="s">
        <v>88</v>
      </c>
      <c r="C26" s="1241"/>
      <c r="D26" s="1241"/>
      <c r="E26" s="339">
        <f>IF(E12&gt;0,L43,0)</f>
        <v>0</v>
      </c>
      <c r="H26" s="84" t="s">
        <v>391</v>
      </c>
      <c r="I26" s="37" t="s">
        <v>386</v>
      </c>
      <c r="J26" s="44">
        <f>IF((I18)&gt;80%,($F$24-3934)*1.55%,0)</f>
        <v>0</v>
      </c>
      <c r="L26" s="80"/>
      <c r="M26" s="80"/>
      <c r="N26" s="80"/>
      <c r="O26" s="80"/>
      <c r="AX26" s="41"/>
      <c r="AY26" s="41"/>
      <c r="AZ26" s="41"/>
      <c r="BA26" s="1"/>
    </row>
    <row r="27" spans="1:53" ht="16.5" customHeight="1" x14ac:dyDescent="0.2">
      <c r="A27" s="495">
        <f t="shared" si="3"/>
        <v>49</v>
      </c>
      <c r="B27" s="1233" t="s">
        <v>89</v>
      </c>
      <c r="C27" s="1233"/>
      <c r="D27" s="1233"/>
      <c r="E27" s="502">
        <f>+E24-E25-E26</f>
        <v>0</v>
      </c>
      <c r="H27" s="362" t="s">
        <v>392</v>
      </c>
      <c r="I27" s="37" t="s">
        <v>393</v>
      </c>
      <c r="J27" s="44">
        <f>IF((I19)&gt;80%,($F$24-4549)*0.95%,0)</f>
        <v>0</v>
      </c>
      <c r="L27" s="3"/>
      <c r="M27" s="78"/>
      <c r="N27" s="1229"/>
      <c r="O27" s="1229"/>
      <c r="Q27" s="79"/>
      <c r="AX27" s="41"/>
      <c r="AY27" s="41"/>
      <c r="AZ27" s="41"/>
      <c r="BA27" s="78"/>
    </row>
    <row r="28" spans="1:53" ht="16.5" customHeight="1" x14ac:dyDescent="0.2">
      <c r="A28" s="128">
        <f t="shared" si="3"/>
        <v>50</v>
      </c>
      <c r="B28" s="1241" t="s">
        <v>99</v>
      </c>
      <c r="C28" s="1241"/>
      <c r="D28" s="1241"/>
      <c r="E28" s="130">
        <f>IF(E12&gt;0,J30,0)</f>
        <v>0</v>
      </c>
      <c r="F28" s="2">
        <f>+E28</f>
        <v>0</v>
      </c>
      <c r="J28">
        <f>MAX(J22:J27)</f>
        <v>0</v>
      </c>
      <c r="L28" s="3"/>
      <c r="M28" s="78"/>
      <c r="N28" s="78"/>
      <c r="Q28" s="79"/>
      <c r="AX28" s="41"/>
      <c r="AY28" s="41"/>
      <c r="AZ28" s="41"/>
      <c r="BA28" s="78"/>
    </row>
    <row r="29" spans="1:53" ht="16.5" customHeight="1" x14ac:dyDescent="0.2">
      <c r="A29" s="495">
        <f t="shared" si="3"/>
        <v>51</v>
      </c>
      <c r="B29" s="1233" t="s">
        <v>101</v>
      </c>
      <c r="C29" s="1233"/>
      <c r="D29" s="1233"/>
      <c r="E29" s="502">
        <f>IF(F32&gt;0,F31,0)</f>
        <v>0</v>
      </c>
      <c r="F29" s="2"/>
      <c r="L29" s="3"/>
      <c r="M29" s="78"/>
      <c r="N29" s="78"/>
      <c r="Q29" s="79"/>
      <c r="AX29" s="41"/>
      <c r="AY29" s="41"/>
      <c r="AZ29" s="41"/>
      <c r="BA29" s="78"/>
    </row>
    <row r="30" spans="1:53" ht="16.5" customHeight="1" x14ac:dyDescent="0.2">
      <c r="A30" s="128">
        <f t="shared" si="3"/>
        <v>52</v>
      </c>
      <c r="B30" s="322" t="s">
        <v>450</v>
      </c>
      <c r="C30" s="322"/>
      <c r="D30" s="322"/>
      <c r="E30" s="130">
        <f>IF(E12&gt;0,E28-E29,0)</f>
        <v>0</v>
      </c>
      <c r="F30" s="2"/>
      <c r="J30">
        <f>+J28*'DATOS PARA DEPURAR'!C24</f>
        <v>0</v>
      </c>
      <c r="L30" s="3">
        <f>IF('DATOS PARA DEPURAR'!D62="N",'DATOS PARA DEPURAR'!E175,0)</f>
        <v>50000000</v>
      </c>
      <c r="M30" s="78"/>
      <c r="N30" s="78"/>
      <c r="Q30" s="79"/>
      <c r="AX30" s="41"/>
      <c r="AY30" s="41"/>
      <c r="AZ30" s="41"/>
      <c r="BA30" s="78"/>
    </row>
    <row r="31" spans="1:53" ht="16.5" customHeight="1" x14ac:dyDescent="0.2">
      <c r="A31" s="495">
        <f t="shared" si="3"/>
        <v>53</v>
      </c>
      <c r="B31" s="1265" t="s">
        <v>100</v>
      </c>
      <c r="C31" s="1265"/>
      <c r="D31" s="1265"/>
      <c r="E31" s="502">
        <f>IF(E27&gt;0,SUM(N32:N33),0)</f>
        <v>0</v>
      </c>
      <c r="F31">
        <f>IF(E12&gt;0,SUM('DEPURACION ORDINARIO 2017'!J24:J27),0)</f>
        <v>0</v>
      </c>
      <c r="L31" s="3">
        <f>IF('DATOS PARA DEPURAR'!D64="N",'DATOS PARA DEPURAR'!E176,0)</f>
        <v>50000000</v>
      </c>
      <c r="M31" s="78"/>
      <c r="N31" s="78"/>
      <c r="Q31" s="79"/>
      <c r="AX31" s="41"/>
      <c r="AY31" s="41"/>
      <c r="AZ31" s="41"/>
      <c r="BA31" s="78"/>
    </row>
    <row r="32" spans="1:53" ht="16.5" customHeight="1" x14ac:dyDescent="0.2">
      <c r="A32" s="128">
        <f t="shared" si="3"/>
        <v>54</v>
      </c>
      <c r="B32" s="322" t="s">
        <v>102</v>
      </c>
      <c r="C32" s="322"/>
      <c r="D32" s="322"/>
      <c r="E32" s="130">
        <f>+E30+E31</f>
        <v>0</v>
      </c>
      <c r="F32" s="2">
        <f>+F28+F30-F31</f>
        <v>0</v>
      </c>
      <c r="L32" s="99" t="s">
        <v>90</v>
      </c>
      <c r="M32" s="78">
        <f>IF('DATOS PARA DEPURAR'!E66&gt;0,'DATOS PARA DEPURAR'!E66,0)</f>
        <v>0</v>
      </c>
      <c r="N32" s="123">
        <f>+M32*0.2</f>
        <v>0</v>
      </c>
      <c r="O32" s="78"/>
      <c r="Q32" s="79"/>
      <c r="AX32" s="41"/>
      <c r="AY32" s="41"/>
      <c r="AZ32" s="41"/>
      <c r="BA32" s="78"/>
    </row>
    <row r="33" spans="1:53" ht="16.5" customHeight="1" x14ac:dyDescent="0.2">
      <c r="A33" s="495">
        <f t="shared" si="3"/>
        <v>55</v>
      </c>
      <c r="B33" s="1233" t="s">
        <v>197</v>
      </c>
      <c r="C33" s="1233"/>
      <c r="D33" s="1233"/>
      <c r="E33" s="502">
        <f>IF(($E$12)&gt;0,G38,0)</f>
        <v>0</v>
      </c>
      <c r="L33" s="99" t="s">
        <v>91</v>
      </c>
      <c r="M33" s="38">
        <f>SUM(L38:L39)</f>
        <v>1890000000</v>
      </c>
      <c r="N33" s="78">
        <f>+(M33-L43-L41-L42)*0.1</f>
        <v>80080500</v>
      </c>
      <c r="O33" s="78"/>
      <c r="Q33" s="79"/>
      <c r="AX33" s="41"/>
      <c r="AY33" s="41"/>
      <c r="AZ33" s="41"/>
      <c r="BA33" s="78"/>
    </row>
    <row r="34" spans="1:53" ht="16.5" customHeight="1" x14ac:dyDescent="0.2">
      <c r="A34" s="128">
        <f t="shared" si="3"/>
        <v>56</v>
      </c>
      <c r="B34" s="322" t="s">
        <v>198</v>
      </c>
      <c r="C34" s="322"/>
      <c r="D34" s="322"/>
      <c r="E34" s="130">
        <f>IF(($E$12)&gt;0,G39,0)</f>
        <v>0</v>
      </c>
      <c r="O34" s="78"/>
      <c r="Q34" s="79"/>
      <c r="AX34" s="41"/>
      <c r="AY34" s="41"/>
      <c r="AZ34" s="41"/>
      <c r="BA34" s="78"/>
    </row>
    <row r="35" spans="1:53" ht="16.5" customHeight="1" x14ac:dyDescent="0.2">
      <c r="A35" s="495">
        <f t="shared" si="3"/>
        <v>57</v>
      </c>
      <c r="B35" s="1234" t="s">
        <v>470</v>
      </c>
      <c r="C35" s="1233"/>
      <c r="D35" s="1233"/>
      <c r="E35" s="502">
        <f>IF((E12)&gt;0,'DATOS PARA DEPURAR'!E339,0)</f>
        <v>0</v>
      </c>
      <c r="L35" s="3" t="s">
        <v>21</v>
      </c>
      <c r="O35" s="78">
        <f>+'DATOS PARA DEPURAR'!E132</f>
        <v>0</v>
      </c>
      <c r="Q35" s="79" t="s">
        <v>50</v>
      </c>
      <c r="AX35" s="41">
        <v>210.41</v>
      </c>
      <c r="AY35" s="41">
        <f>+AX59-0.01</f>
        <v>217.19</v>
      </c>
      <c r="AZ35" s="41">
        <v>2.96</v>
      </c>
      <c r="BA35" s="78">
        <f>+AZ35*'DATOS PARA DEPURAR'!$C$24</f>
        <v>125539.52</v>
      </c>
    </row>
    <row r="36" spans="1:53" ht="16.5" customHeight="1" x14ac:dyDescent="0.2">
      <c r="A36" s="128">
        <f t="shared" si="3"/>
        <v>58</v>
      </c>
      <c r="B36" s="322" t="s">
        <v>199</v>
      </c>
      <c r="C36" s="322"/>
      <c r="D36" s="322"/>
      <c r="E36" s="130">
        <f>IF(O47&gt;0,O47,O44)</f>
        <v>0</v>
      </c>
      <c r="L36" s="75" t="s">
        <v>22</v>
      </c>
      <c r="M36" s="76"/>
      <c r="N36" s="76"/>
      <c r="O36" s="77" t="b">
        <f>IF(O35&lt;O32,O35,IF(O35&gt;O32,O32))</f>
        <v>0</v>
      </c>
      <c r="Q36" s="79"/>
      <c r="AX36" s="41"/>
      <c r="AY36" s="41"/>
      <c r="AZ36" s="41"/>
      <c r="BA36" s="78"/>
    </row>
    <row r="37" spans="1:53" ht="16.5" customHeight="1" x14ac:dyDescent="0.2">
      <c r="A37" s="495">
        <f t="shared" si="3"/>
        <v>59</v>
      </c>
      <c r="B37" s="1233" t="s">
        <v>173</v>
      </c>
      <c r="C37" s="1233"/>
      <c r="D37" s="1233"/>
      <c r="E37" s="502">
        <f>IF((E32+E36-E33-E34-E35)&gt;0,E32+E36-E33-E34-E35,0)</f>
        <v>0</v>
      </c>
      <c r="F37" t="str">
        <f>IF('DATOS PARA DEPURAR'!C13="S",'IMAS TRABAJADOR POR CTA PROPIA'!H46,'IMAS TRABAJADOR POR CTA PROPIA'!F44)</f>
        <v>YAOP</v>
      </c>
      <c r="L37" s="3"/>
      <c r="O37" s="78"/>
      <c r="Q37" s="79"/>
      <c r="AX37" s="41"/>
      <c r="AY37" s="41"/>
      <c r="AZ37" s="41"/>
      <c r="BA37" s="78"/>
    </row>
    <row r="38" spans="1:53" ht="16.5" customHeight="1" x14ac:dyDescent="0.2">
      <c r="A38" s="128">
        <f t="shared" si="3"/>
        <v>60</v>
      </c>
      <c r="B38" s="322" t="s">
        <v>174</v>
      </c>
      <c r="C38" s="322"/>
      <c r="D38" s="322"/>
      <c r="E38" s="130">
        <f>IF(E12&gt;0,(G83),0)</f>
        <v>0</v>
      </c>
      <c r="F38" s="2"/>
      <c r="G38">
        <f>IF('DATOS PARA DEPURAR'!E21&gt;0,'DATOS PARA DEPURAR'!E21,0)</f>
        <v>0</v>
      </c>
      <c r="L38" s="38">
        <f>IF('DATOS PARA DEPURAR'!D62="S",'DATOS PARA DEPURAR'!E62)+SUM('DATOS PARA DEPURAR'!E67:E70)+SUM('DATOS PARA DEPURAR'!E75:E78)</f>
        <v>1890000000</v>
      </c>
      <c r="O38" s="78"/>
      <c r="Q38" s="79"/>
      <c r="AX38" s="41"/>
      <c r="AY38" s="41"/>
      <c r="AZ38" s="41"/>
      <c r="BA38" s="78"/>
    </row>
    <row r="39" spans="1:53" ht="16.5" customHeight="1" x14ac:dyDescent="0.2">
      <c r="A39" s="495">
        <f t="shared" si="3"/>
        <v>61</v>
      </c>
      <c r="B39" s="1233" t="s">
        <v>175</v>
      </c>
      <c r="C39" s="1233"/>
      <c r="D39" s="1233"/>
      <c r="E39" s="502">
        <f>IF((E32+E36+E38-E33-E34-E35)&gt;0,E32+E36+E38-E33-E34-E35,0)</f>
        <v>0</v>
      </c>
      <c r="F39">
        <f>IF((E32+E36+E38-E33-E34-E35)&gt;0,E32+E36+E38-E33-E34-E35,0)</f>
        <v>0</v>
      </c>
      <c r="G39">
        <f>IF('DATOS PARA DEPURAR'!C22&gt;0,'DATOS PARA DEPURAR'!C22,0)</f>
        <v>0</v>
      </c>
      <c r="L39" s="78">
        <f>IF('DATOS PARA DEPURAR'!D64="S",'DATOS PARA DEPURAR'!E64,0)</f>
        <v>0</v>
      </c>
      <c r="N39" s="2"/>
      <c r="O39" s="78"/>
      <c r="Q39" s="79"/>
      <c r="AX39" s="41"/>
      <c r="AY39" s="41"/>
      <c r="AZ39" s="41"/>
      <c r="BA39" s="78"/>
    </row>
    <row r="40" spans="1:53" ht="16.5" customHeight="1" thickBot="1" x14ac:dyDescent="0.25">
      <c r="A40" s="489">
        <f t="shared" si="3"/>
        <v>62</v>
      </c>
      <c r="B40" s="490" t="s">
        <v>176</v>
      </c>
      <c r="C40" s="490"/>
      <c r="D40" s="490"/>
      <c r="E40" s="491">
        <f>IF((E33+E34+E35-E32-E36-E38)&gt;0,E33+E34+E35-E32-E36-E38,0)</f>
        <v>0</v>
      </c>
      <c r="L40" s="78">
        <f>IF('DATOS PARA DEPURAR'!D64="S",'DATOS PARA DEPURAR'!E64,0)</f>
        <v>0</v>
      </c>
      <c r="O40" s="78"/>
      <c r="Q40" s="79"/>
      <c r="AX40" s="41"/>
      <c r="AY40" s="41"/>
      <c r="AZ40" s="41"/>
      <c r="BA40" s="78"/>
    </row>
    <row r="41" spans="1:53" ht="16.5" customHeight="1" x14ac:dyDescent="0.2">
      <c r="A41" s="1230" t="str">
        <f>IF(E7&gt;0,F37,F44)</f>
        <v>YAOP</v>
      </c>
      <c r="B41" s="1231"/>
      <c r="C41" s="1231"/>
      <c r="D41" s="1231"/>
      <c r="E41" s="1232"/>
      <c r="F41" s="2">
        <f>+E40</f>
        <v>0</v>
      </c>
      <c r="G41">
        <f>+H41*-1</f>
        <v>465000</v>
      </c>
      <c r="H41">
        <f>IF('DATOS PARA DEPURAR'!C14&lt;=0,'DATOS PARA DEPURAR'!C14,0)</f>
        <v>-465000</v>
      </c>
      <c r="K41">
        <f>IF(('DATOS PARA DEPURAR'!E62)&gt;('DATOS PARA DEPURAR'!E175),'IMAS TRABAJADOR POR CTA PROPIA'!L41,0)</f>
        <v>0</v>
      </c>
      <c r="L41" s="3">
        <f>IF('DATOS PARA DEPURAR'!D62="S",'DATOS PARA DEPURAR'!E175,0)</f>
        <v>0</v>
      </c>
      <c r="O41" s="35"/>
      <c r="Q41" s="79"/>
      <c r="AX41" s="41"/>
      <c r="AY41" s="41"/>
      <c r="AZ41" s="41"/>
      <c r="BA41" s="35"/>
    </row>
    <row r="42" spans="1:53" ht="16.5" customHeight="1" x14ac:dyDescent="0.2">
      <c r="A42" s="1226" t="s">
        <v>355</v>
      </c>
      <c r="B42" s="1227"/>
      <c r="C42" s="1227"/>
      <c r="D42" s="1227"/>
      <c r="E42" s="1228"/>
      <c r="F42" s="2">
        <f>+E39</f>
        <v>0</v>
      </c>
      <c r="G42">
        <f>IF('DATOS PARA DEPURAR'!C14&gt;0,'DATOS PARA DEPURAR'!C14,0)</f>
        <v>0</v>
      </c>
      <c r="K42">
        <f>IF(('DATOS PARA DEPURAR'!E64)&gt;('DATOS PARA DEPURAR'!E176),'IMAS TRABAJADOR POR CTA PROPIA'!L42,0)</f>
        <v>0</v>
      </c>
      <c r="L42" s="3">
        <f>IF('DATOS PARA DEPURAR'!D64="S",'DATOS PARA DEPURAR'!E176,0)</f>
        <v>0</v>
      </c>
      <c r="O42" s="78"/>
      <c r="Q42" s="79"/>
      <c r="AX42" s="41"/>
      <c r="AY42" s="41"/>
      <c r="AZ42" s="41"/>
      <c r="BA42" s="78"/>
    </row>
    <row r="43" spans="1:53" ht="16.5" customHeight="1" x14ac:dyDescent="0.2">
      <c r="A43" s="441"/>
      <c r="B43" s="137"/>
      <c r="C43" s="137"/>
      <c r="D43" s="137"/>
      <c r="E43" s="442"/>
      <c r="F43" s="100" t="s">
        <v>445</v>
      </c>
      <c r="G43" s="100"/>
      <c r="L43" s="35">
        <f>IF('DATOS PARA DEPURAR'!E316&gt;0,'DATOS PARA DEPURAR'!E316,0)</f>
        <v>1089195000</v>
      </c>
      <c r="M43" s="35">
        <f>IF((E32-E31)&gt;0,E32-E31,0)</f>
        <v>0</v>
      </c>
      <c r="O43" s="35"/>
      <c r="Q43" s="79"/>
      <c r="AX43" s="41"/>
      <c r="AY43" s="41"/>
      <c r="AZ43" s="41"/>
      <c r="BA43" s="35"/>
    </row>
    <row r="44" spans="1:53" ht="16.5" customHeight="1" x14ac:dyDescent="0.25">
      <c r="A44" s="58" t="s">
        <v>37</v>
      </c>
      <c r="B44" s="59"/>
      <c r="C44" s="52"/>
      <c r="D44" s="52"/>
      <c r="E44" s="53"/>
      <c r="F44" s="37" t="s">
        <v>446</v>
      </c>
      <c r="L44" s="35" t="b">
        <f>IF((E32-E30)&gt;0,((E32-E30)*M44-M47))</f>
        <v>0</v>
      </c>
      <c r="M44" s="35">
        <f>IF(((M43*N45)-'DATOS PARA DEPURAR'!E332)&gt;0,((M43*N45)-'DATOS PARA DEPURAR'!E332),0)</f>
        <v>0</v>
      </c>
      <c r="N44">
        <f>+'DATOS PARA DEPURAR'!E22</f>
        <v>3</v>
      </c>
      <c r="O44" s="35">
        <f>IF(M44&gt;0,M44,0)</f>
        <v>0</v>
      </c>
      <c r="Q44" s="79"/>
      <c r="AX44" s="41"/>
      <c r="AY44" s="41"/>
      <c r="AZ44" s="41"/>
      <c r="BA44" s="35"/>
    </row>
    <row r="45" spans="1:53" ht="16.5" customHeight="1" x14ac:dyDescent="0.2">
      <c r="A45" s="54"/>
      <c r="B45" s="60" t="s">
        <v>38</v>
      </c>
      <c r="C45" s="52"/>
      <c r="D45" s="52"/>
      <c r="E45" s="53"/>
      <c r="F45" t="str">
        <f>IF(F41&gt;G41,F43,F44)</f>
        <v>YAOP</v>
      </c>
      <c r="L45" s="35"/>
      <c r="M45" s="35">
        <f>IF(M49&gt;0,(M49*N45)-'DATOS PARA DEPURAR'!E332,0)</f>
        <v>-18614999.625</v>
      </c>
      <c r="N45">
        <f>IF(N44=1,25%,IF(N44=2,50%,IF(N44=3,75%,0)))</f>
        <v>0.75</v>
      </c>
      <c r="O45" s="35">
        <f>IF(M45&gt;0,M45,0)</f>
        <v>0</v>
      </c>
      <c r="Q45" s="79"/>
      <c r="AX45" s="41"/>
      <c r="AY45" s="41"/>
      <c r="AZ45" s="41"/>
      <c r="BA45" s="35"/>
    </row>
    <row r="46" spans="1:53" ht="13.5" thickBot="1" x14ac:dyDescent="0.25">
      <c r="A46" s="61"/>
      <c r="B46" s="62" t="s">
        <v>53</v>
      </c>
      <c r="C46" s="63"/>
      <c r="D46" s="63"/>
      <c r="E46" s="443"/>
      <c r="F46" t="str">
        <f>IF(F42&gt;G42,F43,F44)</f>
        <v>YAOP</v>
      </c>
      <c r="H46" t="b">
        <f>IF(F41&gt;0,IF(G42&gt;=0,F47,IF(F41&gt;0,IF(G41&gt;0,F45,IF(F42&gt;0,IF(G42&gt;0,F46,0))))))</f>
        <v>0</v>
      </c>
      <c r="L46" s="35"/>
      <c r="M46" s="35"/>
      <c r="O46" s="35"/>
      <c r="Q46" s="79"/>
      <c r="AX46" s="41"/>
      <c r="AY46" s="41"/>
      <c r="AZ46" s="41"/>
      <c r="BA46" s="35"/>
    </row>
    <row r="47" spans="1:53" hidden="1" x14ac:dyDescent="0.2">
      <c r="F47" t="str">
        <f>IF(F41&gt;=0,IF(G42&gt;=0,F45,F46))</f>
        <v>YAOP</v>
      </c>
      <c r="L47" s="35"/>
      <c r="M47" s="35"/>
      <c r="O47" s="35">
        <f>MIN(O44:O45)</f>
        <v>0</v>
      </c>
      <c r="Q47" s="79"/>
      <c r="AX47" s="41"/>
      <c r="AY47" s="41"/>
      <c r="AZ47" s="41"/>
      <c r="BA47" s="35"/>
    </row>
    <row r="48" spans="1:53" hidden="1" x14ac:dyDescent="0.2">
      <c r="L48" s="35"/>
      <c r="M48" s="35"/>
      <c r="O48" s="35"/>
      <c r="Q48" s="79"/>
      <c r="AX48" s="41"/>
      <c r="AY48" s="41"/>
      <c r="AZ48" s="41"/>
      <c r="BA48" s="35"/>
    </row>
    <row r="49" spans="1:53" hidden="1" x14ac:dyDescent="0.2">
      <c r="F49" s="247" t="s">
        <v>396</v>
      </c>
      <c r="L49" s="35"/>
      <c r="M49">
        <f>IF((N49)&gt;0,(N49+M43)/2,0)</f>
        <v>0.5</v>
      </c>
      <c r="N49">
        <f>+'DATOS PARA DEPURAR'!C21</f>
        <v>1</v>
      </c>
      <c r="O49" s="35"/>
      <c r="Q49" s="79"/>
      <c r="AX49" s="41"/>
      <c r="AY49" s="41"/>
      <c r="AZ49" s="41"/>
      <c r="BA49" s="35"/>
    </row>
    <row r="50" spans="1:53" hidden="1" x14ac:dyDescent="0.2">
      <c r="F50" s="247" t="s">
        <v>397</v>
      </c>
      <c r="G50" s="363">
        <f>IF(E32&gt;(0),E32*5%*'DATOS PARA DEPURAR'!E11,0)</f>
        <v>0</v>
      </c>
      <c r="H50" s="299"/>
      <c r="I50" s="299">
        <f>MIN(G50:G51)</f>
        <v>0</v>
      </c>
      <c r="L50" s="35"/>
      <c r="O50" s="35"/>
      <c r="Q50" s="79"/>
      <c r="AX50" s="41"/>
      <c r="AY50" s="41"/>
      <c r="AZ50" s="41"/>
      <c r="BA50" s="35"/>
    </row>
    <row r="51" spans="1:53" hidden="1" x14ac:dyDescent="0.2">
      <c r="F51" s="247" t="s">
        <v>24</v>
      </c>
      <c r="G51" s="251">
        <f>+E32</f>
        <v>0</v>
      </c>
      <c r="H51" s="184"/>
      <c r="I51" s="299">
        <f>MIN(G53:G55)</f>
        <v>0</v>
      </c>
      <c r="L51" s="3"/>
      <c r="O51" s="78"/>
      <c r="Q51" s="79"/>
      <c r="AX51" s="41"/>
      <c r="AY51" s="41"/>
      <c r="AZ51" s="41"/>
      <c r="BA51" s="78"/>
    </row>
    <row r="52" spans="1:53" hidden="1" x14ac:dyDescent="0.2">
      <c r="F52" s="247" t="s">
        <v>398</v>
      </c>
      <c r="G52" s="363">
        <f>IF(E32=0,E10*0.5%*'DATOS PARA DEPURAR'!E11,0)</f>
        <v>0</v>
      </c>
      <c r="H52" s="299"/>
      <c r="I52" s="299">
        <f>IF(G52&gt;I51,G52,I51)</f>
        <v>0</v>
      </c>
      <c r="L52" s="3"/>
      <c r="O52" s="78"/>
      <c r="Q52" s="79"/>
      <c r="AX52" s="41"/>
      <c r="AY52" s="41"/>
      <c r="AZ52" s="41"/>
      <c r="BA52" s="78"/>
    </row>
    <row r="53" spans="1:53" hidden="1" x14ac:dyDescent="0.2">
      <c r="F53" s="247" t="s">
        <v>399</v>
      </c>
      <c r="G53" s="363">
        <f>IF(E32=0,E10*5%,0)</f>
        <v>0</v>
      </c>
      <c r="H53" s="184"/>
      <c r="I53" s="184"/>
      <c r="L53" s="3"/>
      <c r="O53" s="78"/>
      <c r="Q53" s="79"/>
      <c r="AX53" s="41"/>
      <c r="AY53" s="41"/>
      <c r="AZ53" s="41"/>
      <c r="BA53" s="78"/>
    </row>
    <row r="54" spans="1:53" hidden="1" x14ac:dyDescent="0.2">
      <c r="F54" s="247" t="s">
        <v>400</v>
      </c>
      <c r="G54" s="363">
        <f>IF(E32=0,IF(E10&gt;0,H54*2,0))</f>
        <v>0</v>
      </c>
      <c r="H54" s="363">
        <f>+E33+E34+E35-E36-E32</f>
        <v>0</v>
      </c>
      <c r="I54" s="363"/>
      <c r="L54" s="3"/>
      <c r="O54" s="78"/>
      <c r="Q54" s="79"/>
      <c r="AX54" s="41"/>
      <c r="AY54" s="41"/>
      <c r="AZ54" s="41"/>
      <c r="BA54" s="78"/>
    </row>
    <row r="55" spans="1:53" ht="13.5" hidden="1" thickBot="1" x14ac:dyDescent="0.25">
      <c r="F55" s="247" t="s">
        <v>401</v>
      </c>
      <c r="G55" s="363">
        <f>IF(E32=0,IF(E10&gt;0,2500*'DATOS PARA DEPURAR'!E25,0))</f>
        <v>0</v>
      </c>
      <c r="H55" s="363"/>
      <c r="I55" s="363">
        <f>MIN(G57:G59)</f>
        <v>0</v>
      </c>
      <c r="L55" s="3"/>
      <c r="O55" s="78"/>
      <c r="Q55" s="79"/>
      <c r="AX55" s="41"/>
      <c r="AY55" s="41"/>
      <c r="AZ55" s="41"/>
      <c r="BA55" s="78"/>
    </row>
    <row r="56" spans="1:53" ht="15.75" hidden="1" thickBot="1" x14ac:dyDescent="0.3">
      <c r="A56" s="111" t="s">
        <v>34</v>
      </c>
      <c r="B56" s="112"/>
      <c r="C56" s="108" t="s">
        <v>75</v>
      </c>
      <c r="D56" s="108"/>
      <c r="E56" s="92" t="s">
        <v>76</v>
      </c>
      <c r="F56" s="247" t="s">
        <v>381</v>
      </c>
      <c r="G56" s="363">
        <f>IF(E32=0,IF(E10=0,'DATOS PARA DEPURAR'!E20*1%*'DATOS PARA DEPURAR'!E11,0))</f>
        <v>0</v>
      </c>
      <c r="H56" s="298">
        <f>IF(G56&gt;G57,G56,IF(G56&gt;G58,G56,IF(G56&gt;G59,G56,0)))</f>
        <v>0</v>
      </c>
      <c r="I56" s="363">
        <f>IF(G56&gt;I55,G56,I55)</f>
        <v>0</v>
      </c>
      <c r="L56" s="3"/>
      <c r="O56" s="78"/>
      <c r="Q56" s="79"/>
      <c r="AX56" s="41"/>
      <c r="AY56" s="41"/>
      <c r="AZ56" s="41"/>
      <c r="BA56" s="78"/>
    </row>
    <row r="57" spans="1:53" hidden="1" x14ac:dyDescent="0.2">
      <c r="A57" s="113" t="s">
        <v>18</v>
      </c>
      <c r="B57" s="114"/>
      <c r="C57" s="109">
        <f>+E12/'DATOS PARA DEPURAR'!C24</f>
        <v>0</v>
      </c>
      <c r="D57" s="109"/>
      <c r="E57" s="387">
        <f>+C57*'DATOS PARA DEPURAR'!$C$24</f>
        <v>0</v>
      </c>
      <c r="F57" s="247" t="s">
        <v>399</v>
      </c>
      <c r="G57" s="363">
        <f>IF(E32=0,IF(E10=0,'DATOS PARA DEPURAR'!E20*10%,0))</f>
        <v>10000000</v>
      </c>
      <c r="H57" s="298"/>
      <c r="I57" s="298"/>
      <c r="L57" s="3"/>
      <c r="O57" s="78"/>
      <c r="Q57" s="79"/>
      <c r="AX57" s="41"/>
      <c r="AY57" s="41"/>
      <c r="AZ57" s="41"/>
      <c r="BA57" s="78"/>
    </row>
    <row r="58" spans="1:53" hidden="1" x14ac:dyDescent="0.2">
      <c r="A58" s="103" t="s">
        <v>77</v>
      </c>
      <c r="B58" s="104"/>
      <c r="C58" s="110">
        <f>IF(E23&gt;0,E23/'DATOS PARA DEPURAR'!C24,0)</f>
        <v>0</v>
      </c>
      <c r="D58" s="110"/>
      <c r="E58" s="388">
        <f>+C58*'DATOS PARA DEPURAR'!C24</f>
        <v>0</v>
      </c>
      <c r="F58" s="247" t="s">
        <v>400</v>
      </c>
      <c r="G58" s="363">
        <f>IF(E32=0,IF(E10=0,H58*2,0))</f>
        <v>0</v>
      </c>
      <c r="H58" s="298">
        <f>+E33+E34+E35-E36-E32</f>
        <v>0</v>
      </c>
      <c r="I58" s="298"/>
      <c r="L58" s="3"/>
      <c r="O58" s="78"/>
      <c r="Q58" s="79"/>
      <c r="AX58" s="41"/>
      <c r="AY58" s="41"/>
      <c r="AZ58" s="41"/>
      <c r="BA58" s="78"/>
    </row>
    <row r="59" spans="1:53" hidden="1" x14ac:dyDescent="0.2">
      <c r="A59" s="103" t="s">
        <v>78</v>
      </c>
      <c r="B59" s="104"/>
      <c r="C59" s="101">
        <f>+C62</f>
        <v>0</v>
      </c>
      <c r="D59" s="102"/>
      <c r="E59" s="388">
        <f>+C59*'DATOS PARA DEPURAR'!C24</f>
        <v>0</v>
      </c>
      <c r="F59" s="247" t="s">
        <v>401</v>
      </c>
      <c r="G59" s="363">
        <f>IF(E32=0,IF(E10=0,2500*'DATOS PARA DEPURAR'!E25,0))</f>
        <v>117662500</v>
      </c>
      <c r="H59" s="298"/>
      <c r="I59" s="298"/>
      <c r="AX59" s="41">
        <v>217.2</v>
      </c>
      <c r="AY59" s="41">
        <f t="shared" si="1"/>
        <v>223.98000000000002</v>
      </c>
      <c r="AZ59" s="41">
        <v>3.75</v>
      </c>
      <c r="BA59" s="1">
        <f>+AZ59*'DATOS PARA DEPURAR'!$C$24</f>
        <v>159045</v>
      </c>
    </row>
    <row r="60" spans="1:53" ht="13.5" hidden="1" thickBot="1" x14ac:dyDescent="0.25">
      <c r="A60" s="105" t="s">
        <v>79</v>
      </c>
      <c r="B60" s="106"/>
      <c r="C60" s="107">
        <f>LOOKUP(C58,E127:G168,L127:L168)</f>
        <v>0</v>
      </c>
      <c r="D60" s="107"/>
      <c r="E60" s="389">
        <f>+C60*'DATOS PARA DEPURAR'!C24</f>
        <v>0</v>
      </c>
      <c r="G60" s="372" t="s">
        <v>409</v>
      </c>
      <c r="H60" s="390">
        <f>10*'DATOS PARA DEPURAR'!E25</f>
        <v>470650</v>
      </c>
      <c r="I60" s="298">
        <f>+H60</f>
        <v>470650</v>
      </c>
      <c r="AX60" s="41">
        <v>223.99</v>
      </c>
      <c r="AY60" s="41">
        <f t="shared" si="1"/>
        <v>230.76000000000002</v>
      </c>
      <c r="AZ60" s="41">
        <v>3.87</v>
      </c>
      <c r="BA60" s="1">
        <f>+AZ60*'DATOS PARA DEPURAR'!$C$24</f>
        <v>164134.44</v>
      </c>
    </row>
    <row r="61" spans="1:53" hidden="1" x14ac:dyDescent="0.2">
      <c r="G61" s="184"/>
      <c r="H61" s="298"/>
      <c r="I61" s="298">
        <f>MAX(I50:I60)</f>
        <v>470650</v>
      </c>
      <c r="L61" s="3" t="s">
        <v>23</v>
      </c>
      <c r="AX61" s="41">
        <v>230.77</v>
      </c>
      <c r="AY61" s="41">
        <f t="shared" si="1"/>
        <v>237.55</v>
      </c>
      <c r="AZ61" s="41">
        <v>4.63</v>
      </c>
      <c r="BA61" s="1">
        <f>+AZ61*'DATOS PARA DEPURAR'!$C$24</f>
        <v>196367.56</v>
      </c>
    </row>
    <row r="62" spans="1:53" hidden="1" x14ac:dyDescent="0.2">
      <c r="C62">
        <f>IF(C58&lt;=13642.99,D62,IF(C58&gt;13642.99,(C58-1622)*27%,0))</f>
        <v>0</v>
      </c>
      <c r="D62" s="37">
        <f>LOOKUP(C58,A127:B211,C127:C211)</f>
        <v>0</v>
      </c>
      <c r="G62" s="37" t="s">
        <v>441</v>
      </c>
      <c r="H62" s="436" t="s">
        <v>440</v>
      </c>
      <c r="I62" s="298">
        <f>IF('DATOS PARA DEPURAR'!C11="EXTEMPORANEA",I61,0)</f>
        <v>0</v>
      </c>
      <c r="L62" s="1" t="e">
        <f>IF(SUM(C17:C20)&gt;(E12-#REF!-#REF!)*30%,(E12-#REF!-#REF!)*30%,SUM(C17:C20))</f>
        <v>#REF!</v>
      </c>
      <c r="M62" s="1" t="e">
        <f>+(E12-#REF!-#REF!)*30%</f>
        <v>#REF!</v>
      </c>
      <c r="AX62" s="41">
        <v>237.56</v>
      </c>
      <c r="AY62" s="41">
        <f t="shared" si="1"/>
        <v>244.34</v>
      </c>
      <c r="AZ62" s="41">
        <v>5.0599999999999996</v>
      </c>
      <c r="BA62" s="1">
        <f>+AZ62*'DATOS PARA DEPURAR'!$C$24</f>
        <v>214604.71999999997</v>
      </c>
    </row>
    <row r="63" spans="1:53" hidden="1" x14ac:dyDescent="0.2">
      <c r="A63" s="48"/>
      <c r="B63" s="49"/>
      <c r="C63" s="49"/>
      <c r="D63" s="49"/>
      <c r="E63" s="50"/>
      <c r="G63">
        <f>IF((E33+E34+E35-E32-E36)&gt;0,E33+E34+E35-E32-E36,0)</f>
        <v>0</v>
      </c>
      <c r="H63">
        <f>IF((E32+E36-E33-E34-E35)&gt;0,E32+E36-E33-E34-E35,0)</f>
        <v>0</v>
      </c>
      <c r="I63" s="1"/>
      <c r="L63" s="3" t="s">
        <v>29</v>
      </c>
      <c r="O63" s="1" t="e">
        <f>IF(M65&lt;M64,M65,M64)</f>
        <v>#REF!</v>
      </c>
      <c r="AX63" s="41">
        <v>244.35</v>
      </c>
      <c r="AY63" s="41">
        <f t="shared" si="1"/>
        <v>251.13</v>
      </c>
      <c r="AZ63" s="41">
        <v>5.5</v>
      </c>
      <c r="BA63" s="1">
        <f>+AZ63*'DATOS PARA DEPURAR'!$C$24</f>
        <v>233266</v>
      </c>
    </row>
    <row r="64" spans="1:53" hidden="1" x14ac:dyDescent="0.2">
      <c r="A64" s="51" t="s">
        <v>12</v>
      </c>
      <c r="B64" s="52"/>
      <c r="C64" s="52"/>
      <c r="D64" s="52"/>
      <c r="E64" s="53"/>
      <c r="F64" s="247" t="s">
        <v>415</v>
      </c>
      <c r="H64" s="1"/>
      <c r="I64" s="1"/>
      <c r="L64" s="3" t="s">
        <v>24</v>
      </c>
      <c r="M64" s="1">
        <f>240*O72</f>
        <v>10178880</v>
      </c>
      <c r="AX64" s="41">
        <v>251.14</v>
      </c>
      <c r="AY64" s="41">
        <f t="shared" si="1"/>
        <v>257.91000000000003</v>
      </c>
      <c r="AZ64" s="41">
        <v>5.96</v>
      </c>
      <c r="BA64" s="1">
        <f>+AZ64*'DATOS PARA DEPURAR'!$C$24</f>
        <v>252775.52</v>
      </c>
    </row>
    <row r="65" spans="1:53" hidden="1" x14ac:dyDescent="0.2">
      <c r="A65" s="54"/>
      <c r="B65" s="56" t="str">
        <f>+O98</f>
        <v>CERO     PESOS  M/CTE</v>
      </c>
      <c r="C65" s="56"/>
      <c r="D65" s="56"/>
      <c r="E65" s="57"/>
      <c r="F65" s="275" t="s">
        <v>416</v>
      </c>
      <c r="G65">
        <f>IF((('DATOS PARA DEPURAR'!C14)*(-1)-G63)&gt;0,(('DATOS PARA DEPURAR'!C14)*(-1)-G63)*10%,0)</f>
        <v>46500</v>
      </c>
      <c r="H65" s="298">
        <f>IF((H63-'DATOS PARA DEPURAR'!C14)&gt;0,(H63-'DATOS PARA DEPURAR'!C14)*10%,0)</f>
        <v>46500</v>
      </c>
      <c r="I65" s="298"/>
      <c r="L65" s="32">
        <v>0.25</v>
      </c>
      <c r="M65" s="1" t="e">
        <f>((#REF!-SUM(#REF!)-M66)*25%)</f>
        <v>#REF!</v>
      </c>
      <c r="AX65" s="41">
        <v>257.92</v>
      </c>
      <c r="AY65" s="41">
        <f t="shared" si="1"/>
        <v>264.7</v>
      </c>
      <c r="AZ65" s="41">
        <v>6.44</v>
      </c>
      <c r="BA65" s="1">
        <f>+AZ65*'DATOS PARA DEPURAR'!$C$24</f>
        <v>273133.28000000003</v>
      </c>
    </row>
    <row r="66" spans="1:53" hidden="1" x14ac:dyDescent="0.2">
      <c r="A66" s="54"/>
      <c r="B66" s="52"/>
      <c r="C66" s="52"/>
      <c r="D66" s="52"/>
      <c r="E66" s="53"/>
      <c r="F66" s="184"/>
      <c r="G66">
        <f>10*'DATOS PARA DEPURAR'!E25</f>
        <v>470650</v>
      </c>
      <c r="H66" s="298">
        <f>10*'DATOS PARA DEPURAR'!E25</f>
        <v>470650</v>
      </c>
      <c r="I66" s="298"/>
      <c r="L66" s="37" t="s">
        <v>51</v>
      </c>
      <c r="M66" s="1" t="e">
        <f>IF(SUM(C17:C20)&gt;#REF!,#REF!,SUM(C17:C20))</f>
        <v>#REF!</v>
      </c>
      <c r="AX66" s="41">
        <v>264.70999999999998</v>
      </c>
      <c r="AY66" s="41">
        <f t="shared" si="1"/>
        <v>271.49</v>
      </c>
      <c r="AZ66" s="41">
        <v>6.93</v>
      </c>
      <c r="BA66" s="1">
        <f>+AZ66*'DATOS PARA DEPURAR'!$C$24</f>
        <v>293915.15999999997</v>
      </c>
    </row>
    <row r="67" spans="1:53" hidden="1" x14ac:dyDescent="0.2">
      <c r="A67" s="54"/>
      <c r="B67" s="52"/>
      <c r="C67" s="52"/>
      <c r="D67" s="52"/>
      <c r="E67" s="53"/>
      <c r="F67" s="184"/>
      <c r="G67">
        <f>MAX(G65:G66)</f>
        <v>470650</v>
      </c>
      <c r="H67" s="298">
        <f>MAX(H65:H66)</f>
        <v>470650</v>
      </c>
      <c r="I67" s="298">
        <f>IF('DATOS PARA DEPURAR'!E14="S",I71,0)</f>
        <v>0</v>
      </c>
      <c r="L67" s="1220" t="s">
        <v>31</v>
      </c>
      <c r="M67" s="1220"/>
      <c r="N67" s="1220"/>
      <c r="O67" s="1">
        <f>+'DATOS PARA DEPURAR'!E23</f>
        <v>1000000</v>
      </c>
      <c r="P67">
        <f>+'DATOS PARA DEPURAR'!E40</f>
        <v>0</v>
      </c>
      <c r="Q67" s="1220" t="s">
        <v>32</v>
      </c>
      <c r="R67" s="1220"/>
      <c r="S67" s="1">
        <f>+'DATOS PARA DEPURAR'!E23</f>
        <v>1000000</v>
      </c>
      <c r="T67">
        <f>+'DATOS PARA DEPURAR'!E41</f>
        <v>0</v>
      </c>
      <c r="U67" s="1220" t="s">
        <v>33</v>
      </c>
      <c r="V67" s="1220"/>
      <c r="W67" s="1220"/>
      <c r="X67" s="1">
        <f>+'DATOS PARA DEPURAR'!E23</f>
        <v>1000000</v>
      </c>
      <c r="Y67">
        <f>+'DATOS PARA DEPURAR'!E42</f>
        <v>0</v>
      </c>
      <c r="AX67" s="41">
        <v>271.5</v>
      </c>
      <c r="AY67" s="41">
        <f t="shared" si="1"/>
        <v>278.28000000000003</v>
      </c>
      <c r="AZ67" s="41">
        <v>7.44</v>
      </c>
      <c r="BA67" s="1">
        <f>+AZ67*'DATOS PARA DEPURAR'!$C$24</f>
        <v>315545.28000000003</v>
      </c>
    </row>
    <row r="68" spans="1:53" ht="13.5" hidden="1" x14ac:dyDescent="0.25">
      <c r="A68" s="58"/>
      <c r="B68" s="59"/>
      <c r="C68" s="52"/>
      <c r="D68" s="52"/>
      <c r="E68" s="53"/>
      <c r="F68" s="275" t="s">
        <v>417</v>
      </c>
      <c r="G68">
        <f>IF('DATOS PARA DEPURAR'!E14="S",G65*2,0)</f>
        <v>0</v>
      </c>
      <c r="H68" s="298">
        <f>IF('DATOS PARA DEPURAR'!E14="S",H65*2,0)</f>
        <v>0</v>
      </c>
      <c r="I68" s="298"/>
      <c r="L68" s="1220"/>
      <c r="M68" s="1220"/>
      <c r="N68" s="1220"/>
      <c r="O68" s="1"/>
      <c r="Q68" s="1220"/>
      <c r="R68" s="1220"/>
      <c r="S68" s="1"/>
      <c r="U68" s="1220"/>
      <c r="V68" s="1220"/>
      <c r="W68" s="1220"/>
      <c r="X68" s="1"/>
      <c r="AX68" s="41">
        <v>278.29000000000002</v>
      </c>
      <c r="AY68" s="41">
        <f t="shared" si="1"/>
        <v>285.06</v>
      </c>
      <c r="AZ68" s="41">
        <v>7.96</v>
      </c>
      <c r="BA68" s="1">
        <f>+AZ68*'DATOS PARA DEPURAR'!$C$24</f>
        <v>337599.52</v>
      </c>
    </row>
    <row r="69" spans="1:53" hidden="1" x14ac:dyDescent="0.2">
      <c r="A69" s="54"/>
      <c r="B69" s="60"/>
      <c r="C69" s="52"/>
      <c r="D69" s="52"/>
      <c r="E69" s="53"/>
      <c r="G69" s="2">
        <f>+H60</f>
        <v>470650</v>
      </c>
      <c r="H69" s="391">
        <f>+H60</f>
        <v>470650</v>
      </c>
      <c r="I69" s="298"/>
      <c r="L69" s="1220"/>
      <c r="M69" s="1220"/>
      <c r="N69" s="1220"/>
      <c r="O69" s="1">
        <f>IF(P67&lt;=O67,P67,IF(P67&gt;O67,O67))</f>
        <v>0</v>
      </c>
      <c r="Q69" s="1220"/>
      <c r="R69" s="1220"/>
      <c r="S69" s="1">
        <f>IF(T67&lt;=S67,T67,IF(T67&gt;S67,S67))</f>
        <v>0</v>
      </c>
      <c r="U69" s="1220"/>
      <c r="V69" s="1220"/>
      <c r="W69" s="1220"/>
      <c r="X69" s="1">
        <f>IF(Y67&lt;=X67,Y67,IF(Y67&gt;X67,X67))</f>
        <v>0</v>
      </c>
      <c r="AX69" s="41">
        <v>285.07</v>
      </c>
      <c r="AY69" s="41">
        <f t="shared" si="1"/>
        <v>291.85000000000002</v>
      </c>
      <c r="AZ69" s="41">
        <v>8.5</v>
      </c>
      <c r="BA69" s="1">
        <f>+AZ69*'DATOS PARA DEPURAR'!$C$24</f>
        <v>360502</v>
      </c>
    </row>
    <row r="70" spans="1:53" ht="13.5" hidden="1" thickBot="1" x14ac:dyDescent="0.25">
      <c r="A70" s="61"/>
      <c r="B70" s="62"/>
      <c r="C70" s="63"/>
      <c r="D70" s="64"/>
      <c r="E70" s="65"/>
      <c r="G70">
        <f>MAX(G68:G69)</f>
        <v>470650</v>
      </c>
      <c r="H70" s="298">
        <f>MAX(H68:H69)</f>
        <v>470650</v>
      </c>
      <c r="I70" s="298"/>
      <c r="AX70" s="41">
        <v>291.86</v>
      </c>
      <c r="AY70" s="41">
        <f t="shared" si="1"/>
        <v>298.64</v>
      </c>
      <c r="AZ70" s="41">
        <v>9.0500000000000007</v>
      </c>
      <c r="BA70" s="1">
        <f>+AZ70*'DATOS PARA DEPURAR'!$C$24</f>
        <v>383828.60000000003</v>
      </c>
    </row>
    <row r="71" spans="1:53" hidden="1" x14ac:dyDescent="0.2">
      <c r="H71" s="298">
        <f>IF(G68&gt;0,G70,G67)</f>
        <v>470650</v>
      </c>
      <c r="I71" s="298">
        <f>IF(H68&gt;0,H70,H67)</f>
        <v>470650</v>
      </c>
      <c r="AX71" s="41">
        <v>298.64999999999998</v>
      </c>
      <c r="AY71" s="41">
        <f t="shared" si="1"/>
        <v>305.43</v>
      </c>
      <c r="AZ71" s="41">
        <v>9.6199999999999992</v>
      </c>
      <c r="BA71" s="1">
        <f>+AZ71*'DATOS PARA DEPURAR'!$C$24</f>
        <v>408003.43999999994</v>
      </c>
    </row>
    <row r="72" spans="1:53" hidden="1" x14ac:dyDescent="0.2">
      <c r="I72">
        <f>IF(G63&gt;0,H71,I71)</f>
        <v>470650</v>
      </c>
      <c r="L72" s="3" t="s">
        <v>16</v>
      </c>
      <c r="O72">
        <f>+'DATOS PARA DEPURAR'!C24</f>
        <v>42412</v>
      </c>
      <c r="P72">
        <f>+'DATOS PARA DEPURAR'!E245</f>
        <v>0</v>
      </c>
      <c r="R72" s="1220" t="s">
        <v>30</v>
      </c>
      <c r="S72" s="1221">
        <f>+'DATOS PARA DEPURAR'!E25</f>
        <v>47065</v>
      </c>
      <c r="T72" s="1221"/>
      <c r="AX72" s="41">
        <v>305.44</v>
      </c>
      <c r="AY72" s="41">
        <f t="shared" si="1"/>
        <v>312.21000000000004</v>
      </c>
      <c r="AZ72" s="41">
        <v>10.210000000000001</v>
      </c>
      <c r="BA72" s="1">
        <f>+AZ72*'DATOS PARA DEPURAR'!$C$24</f>
        <v>433026.52</v>
      </c>
    </row>
    <row r="73" spans="1:53" hidden="1" x14ac:dyDescent="0.2">
      <c r="H73">
        <f>20000000/36</f>
        <v>555555.5555555555</v>
      </c>
      <c r="R73" s="1220"/>
      <c r="S73" s="1221"/>
      <c r="T73" s="1221"/>
      <c r="AX73" s="41">
        <v>312.22000000000003</v>
      </c>
      <c r="AY73" s="41">
        <f t="shared" si="1"/>
        <v>319</v>
      </c>
      <c r="AZ73" s="41">
        <v>10.81</v>
      </c>
      <c r="BA73" s="1">
        <f>+AZ73*'DATOS PARA DEPURAR'!$C$24</f>
        <v>458473.72000000003</v>
      </c>
    </row>
    <row r="74" spans="1:53" hidden="1" x14ac:dyDescent="0.2">
      <c r="L74" s="3" t="s">
        <v>1</v>
      </c>
      <c r="O74" s="1">
        <f>IF(P72&lt;100*O72,P72,IF(P72&gt;100*O72,100*O72,0))</f>
        <v>0</v>
      </c>
      <c r="AX74" s="41">
        <v>319.01</v>
      </c>
      <c r="AY74" s="41">
        <f t="shared" si="1"/>
        <v>325.79000000000002</v>
      </c>
      <c r="AZ74" s="41">
        <v>11.43</v>
      </c>
      <c r="BA74" s="1">
        <f>+AZ74*'DATOS PARA DEPURAR'!$C$24</f>
        <v>484769.16</v>
      </c>
    </row>
    <row r="75" spans="1:53" hidden="1" x14ac:dyDescent="0.2">
      <c r="A75" s="46"/>
      <c r="E75" s="47"/>
      <c r="F75" s="247" t="s">
        <v>428</v>
      </c>
      <c r="G75" s="184"/>
      <c r="H75" s="184"/>
      <c r="I75" s="184"/>
      <c r="J75" s="184"/>
      <c r="K75" s="184"/>
      <c r="L75" s="184"/>
      <c r="M75" s="184"/>
      <c r="N75" s="184"/>
      <c r="O75" s="184"/>
      <c r="P75" s="184"/>
      <c r="Q75" s="184"/>
      <c r="S75">
        <f>+'DATOS PARA DEPURAR'!E24</f>
        <v>38004</v>
      </c>
      <c r="AX75" s="41">
        <v>325.8</v>
      </c>
      <c r="AY75" s="41">
        <f t="shared" si="1"/>
        <v>332.58</v>
      </c>
      <c r="AZ75" s="41">
        <v>12.07</v>
      </c>
      <c r="BA75" s="1">
        <f>+AZ75*'DATOS PARA DEPURAR'!$C$24</f>
        <v>511912.84</v>
      </c>
    </row>
    <row r="76" spans="1:53" hidden="1" x14ac:dyDescent="0.2">
      <c r="A76" s="46"/>
      <c r="E76" s="47"/>
      <c r="F76" s="184">
        <f>+'DATOS PARA DEPURAR'!E17</f>
        <v>44301</v>
      </c>
      <c r="G76" s="184"/>
      <c r="H76" s="184">
        <f>+H67/0.1</f>
        <v>4706500</v>
      </c>
      <c r="I76" s="184"/>
      <c r="J76" s="184"/>
      <c r="K76" s="184"/>
      <c r="L76" s="184"/>
      <c r="M76" s="184"/>
      <c r="N76" s="184"/>
      <c r="O76" s="184"/>
      <c r="P76" s="184"/>
      <c r="Q76" s="184">
        <f>+Q74/0.1</f>
        <v>0</v>
      </c>
      <c r="R76" s="3" t="s">
        <v>24</v>
      </c>
      <c r="S76" s="1">
        <f>4600*S75</f>
        <v>174818400</v>
      </c>
      <c r="AX76" s="41">
        <v>332.59</v>
      </c>
      <c r="AY76" s="41">
        <f t="shared" si="1"/>
        <v>339.36</v>
      </c>
      <c r="AZ76" s="41">
        <v>12.71</v>
      </c>
      <c r="BA76" s="1">
        <f>+AZ76*'DATOS PARA DEPURAR'!$C$24</f>
        <v>539056.52</v>
      </c>
    </row>
    <row r="77" spans="1:53" hidden="1" x14ac:dyDescent="0.2">
      <c r="A77" s="46"/>
      <c r="E77" s="47"/>
      <c r="F77" s="184">
        <f>+'DATOS PARA DEPURAR'!C17</f>
        <v>45568</v>
      </c>
      <c r="G77" s="184"/>
      <c r="H77" s="298">
        <f>+H76*F79*5%</f>
        <v>-9883650</v>
      </c>
      <c r="I77" s="184"/>
      <c r="J77" s="184"/>
      <c r="K77" s="184"/>
      <c r="L77" s="184"/>
      <c r="M77" s="184"/>
      <c r="N77" s="184"/>
      <c r="O77" s="184"/>
      <c r="P77" s="184"/>
      <c r="Q77" s="298">
        <f>+Q76*F79*5%</f>
        <v>0</v>
      </c>
      <c r="AX77" s="45">
        <v>339.37</v>
      </c>
      <c r="AY77" s="45">
        <f t="shared" si="1"/>
        <v>356.33</v>
      </c>
      <c r="AZ77" s="41">
        <v>14.06</v>
      </c>
      <c r="BA77" s="1">
        <f>+AZ77*'DATOS PARA DEPURAR'!$C$24</f>
        <v>596312.72</v>
      </c>
    </row>
    <row r="78" spans="1:53" hidden="1" x14ac:dyDescent="0.2">
      <c r="A78" s="46"/>
      <c r="E78" s="47"/>
      <c r="F78" s="184">
        <f>+F76-F77</f>
        <v>-1267</v>
      </c>
      <c r="G78" s="184"/>
      <c r="H78" s="390">
        <f>IF(H77&gt;H76,H76,H77)</f>
        <v>-9883650</v>
      </c>
      <c r="I78" s="184"/>
      <c r="J78" s="184"/>
      <c r="K78" s="184"/>
      <c r="L78" s="184"/>
      <c r="M78" s="184"/>
      <c r="N78" s="184"/>
      <c r="O78" s="184"/>
      <c r="P78" s="184"/>
      <c r="Q78" s="390">
        <f>IF(Q77&gt;Q76,Q76,Q77)</f>
        <v>0</v>
      </c>
      <c r="R78" s="2" t="e">
        <f>(IF(#REF!&gt;#REF!,#REF!,IF(#REF!&gt;#REF!,#REF!,0))+Q16)</f>
        <v>#REF!</v>
      </c>
      <c r="AX78" s="41">
        <v>356.34</v>
      </c>
      <c r="AY78" s="41">
        <f t="shared" si="1"/>
        <v>373.3</v>
      </c>
      <c r="AZ78" s="41">
        <v>15.83</v>
      </c>
      <c r="BA78" s="1">
        <f>+AZ78*'DATOS PARA DEPURAR'!$C$24</f>
        <v>671381.96</v>
      </c>
    </row>
    <row r="79" spans="1:53" hidden="1" x14ac:dyDescent="0.2">
      <c r="A79" s="46"/>
      <c r="E79" s="47"/>
      <c r="F79" s="184">
        <f>_xlfn.CEILING.PRECISE(F78/30,1)</f>
        <v>-42</v>
      </c>
      <c r="G79" s="184"/>
      <c r="H79" s="184"/>
      <c r="I79" s="184"/>
      <c r="J79" s="184"/>
      <c r="K79" s="184"/>
      <c r="L79" s="184"/>
      <c r="M79" s="184"/>
      <c r="N79" s="184"/>
      <c r="O79" s="184"/>
      <c r="P79" s="184"/>
      <c r="Q79" s="184"/>
      <c r="AX79" s="41">
        <v>373.31</v>
      </c>
      <c r="AY79" s="41">
        <f t="shared" si="1"/>
        <v>390.27</v>
      </c>
      <c r="AZ79" s="41">
        <v>17.690000000000001</v>
      </c>
      <c r="BA79" s="1">
        <f>+AZ79*'DATOS PARA DEPURAR'!$C$24</f>
        <v>750268.28</v>
      </c>
    </row>
    <row r="80" spans="1:53" hidden="1" x14ac:dyDescent="0.2">
      <c r="A80" s="46"/>
      <c r="E80" s="47"/>
      <c r="F80" s="247" t="s">
        <v>430</v>
      </c>
      <c r="G80" s="299">
        <f>+I62</f>
        <v>0</v>
      </c>
      <c r="H80" s="184"/>
      <c r="I80" s="184"/>
      <c r="J80" s="184"/>
      <c r="K80" s="184"/>
      <c r="L80" s="184"/>
      <c r="M80" s="184"/>
      <c r="N80" s="184"/>
      <c r="O80" s="184"/>
      <c r="P80" s="184"/>
      <c r="Q80" s="184"/>
      <c r="R80" t="e">
        <f>IF(S72&gt;S76,Q16+#REF!,R78)</f>
        <v>#REF!</v>
      </c>
      <c r="AX80" s="41">
        <v>390.28</v>
      </c>
      <c r="AY80" s="41">
        <f t="shared" si="1"/>
        <v>407.24</v>
      </c>
      <c r="AZ80" s="41">
        <v>19.649999999999999</v>
      </c>
      <c r="BA80" s="1">
        <f>+AZ80*'DATOS PARA DEPURAR'!$C$24</f>
        <v>833395.79999999993</v>
      </c>
    </row>
    <row r="81" spans="1:53" hidden="1" x14ac:dyDescent="0.2">
      <c r="A81" s="46"/>
      <c r="E81" s="47"/>
      <c r="F81" s="247" t="s">
        <v>415</v>
      </c>
      <c r="G81" s="299">
        <f>IF('DATOS PARA DEPURAR'!C13="S",'IMAS TRABAJADOR POR CTA PROPIA'!I72,0)</f>
        <v>0</v>
      </c>
      <c r="H81" s="184"/>
      <c r="I81" s="184"/>
      <c r="J81" s="184"/>
      <c r="K81" s="184"/>
      <c r="L81" s="184"/>
      <c r="M81" s="184"/>
      <c r="N81" s="184"/>
      <c r="O81" s="184"/>
      <c r="P81" s="184"/>
      <c r="Q81" s="184"/>
      <c r="AX81" s="41">
        <v>407.25</v>
      </c>
      <c r="AY81" s="41">
        <f t="shared" si="1"/>
        <v>424.21000000000004</v>
      </c>
      <c r="AZ81" s="41">
        <v>21.69</v>
      </c>
      <c r="BA81" s="1">
        <f>+AZ81*'DATOS PARA DEPURAR'!$C$24</f>
        <v>919916.28</v>
      </c>
    </row>
    <row r="82" spans="1:53" hidden="1" x14ac:dyDescent="0.2">
      <c r="A82" s="46"/>
      <c r="E82" s="47"/>
      <c r="F82" s="416" t="s">
        <v>431</v>
      </c>
      <c r="G82" s="299">
        <f>IF('DATOS PARA DEPURAR'!C15="S",H78,0)</f>
        <v>0</v>
      </c>
      <c r="H82" s="184">
        <f>'DATOS PARA DEPURAR'!E15</f>
        <v>0</v>
      </c>
      <c r="I82" s="184"/>
      <c r="J82" s="184"/>
      <c r="K82" s="184"/>
      <c r="L82" s="184"/>
      <c r="M82" s="184"/>
      <c r="N82" s="184"/>
      <c r="O82" s="184"/>
      <c r="P82" s="184"/>
      <c r="Q82" s="184"/>
      <c r="X82">
        <v>20000</v>
      </c>
      <c r="AA82">
        <v>408000</v>
      </c>
      <c r="AX82" s="41">
        <v>424.22</v>
      </c>
      <c r="AY82" s="41">
        <f t="shared" si="1"/>
        <v>441.18</v>
      </c>
      <c r="AZ82" s="41">
        <v>23.84</v>
      </c>
      <c r="BA82" s="1">
        <f>+AZ82*'DATOS PARA DEPURAR'!$C$24</f>
        <v>1011102.08</v>
      </c>
    </row>
    <row r="83" spans="1:53" ht="13.5" hidden="1" thickBot="1" x14ac:dyDescent="0.25">
      <c r="A83" s="46"/>
      <c r="E83" s="47"/>
      <c r="F83" s="184"/>
      <c r="G83" s="298">
        <f>IF((G80&lt;=0),G81+G82,IF(G81&lt;=0,G80,IF(SUM(G80:G81)&lt;=0,0,0)))</f>
        <v>0</v>
      </c>
      <c r="H83" s="184">
        <f>IF(I71&gt;0,H82,0)</f>
        <v>0</v>
      </c>
      <c r="I83" s="184"/>
      <c r="J83" s="184"/>
      <c r="K83" s="184"/>
      <c r="L83" s="184"/>
      <c r="M83" s="184"/>
      <c r="N83" s="184"/>
      <c r="O83" s="184"/>
      <c r="P83" s="184"/>
      <c r="Q83" s="184"/>
      <c r="X83">
        <v>20974</v>
      </c>
      <c r="AA83">
        <v>433700</v>
      </c>
      <c r="AX83" s="41">
        <v>441.19</v>
      </c>
      <c r="AY83" s="41">
        <f t="shared" si="1"/>
        <v>458.15000000000003</v>
      </c>
      <c r="AZ83" s="41">
        <v>26.07</v>
      </c>
      <c r="BA83" s="1">
        <f>+AZ83*'DATOS PARA DEPURAR'!$C$24</f>
        <v>1105680.8400000001</v>
      </c>
    </row>
    <row r="84" spans="1:53" hidden="1" x14ac:dyDescent="0.2">
      <c r="A84" s="46"/>
      <c r="E84" s="47"/>
      <c r="L84" s="5">
        <v>0</v>
      </c>
      <c r="M84" s="6">
        <v>95</v>
      </c>
      <c r="O84" s="13">
        <f>IF(L82&lt;=95,0)</f>
        <v>0</v>
      </c>
      <c r="X84">
        <v>22045</v>
      </c>
      <c r="AA84">
        <v>461500</v>
      </c>
      <c r="AX84" s="41">
        <v>458.16</v>
      </c>
      <c r="AY84" s="41">
        <f t="shared" si="1"/>
        <v>475.11</v>
      </c>
      <c r="AZ84" s="41">
        <v>28.39</v>
      </c>
      <c r="BA84" s="1">
        <f>+AZ84*'DATOS PARA DEPURAR'!$C$24</f>
        <v>1204076.68</v>
      </c>
    </row>
    <row r="85" spans="1:53" hidden="1" x14ac:dyDescent="0.2">
      <c r="A85" s="46"/>
      <c r="E85" s="47"/>
      <c r="L85" s="7" t="s">
        <v>9</v>
      </c>
      <c r="M85" s="8">
        <v>150</v>
      </c>
      <c r="O85" s="14" t="b">
        <f>IF(L82&gt;95,(IF(L82&lt;=150,ROUND((((+L82-95)*19%)*O82),-3),0)),FALSE)</f>
        <v>0</v>
      </c>
      <c r="P85" s="1">
        <f>+O85*'DATOS PARA DEPURAR'!C24</f>
        <v>0</v>
      </c>
      <c r="X85">
        <v>23763</v>
      </c>
      <c r="AA85">
        <v>469600</v>
      </c>
      <c r="AX85" s="41">
        <v>475.12</v>
      </c>
      <c r="AY85" s="41">
        <f t="shared" si="1"/>
        <v>492.08</v>
      </c>
      <c r="AZ85" s="41">
        <v>30.8</v>
      </c>
      <c r="BA85" s="1">
        <f>+AZ85*'DATOS PARA DEPURAR'!$C$24</f>
        <v>1306289.6000000001</v>
      </c>
    </row>
    <row r="86" spans="1:53" hidden="1" x14ac:dyDescent="0.2">
      <c r="A86" s="46"/>
      <c r="E86" s="47"/>
      <c r="L86" s="7" t="s">
        <v>6</v>
      </c>
      <c r="M86" s="8">
        <v>360</v>
      </c>
      <c r="O86" s="14">
        <f>IF(L82&gt;150,IF(L82&lt;=360,ROUND((((+L82-150)*28%)*O82),-3),0))+10*O82</f>
        <v>0</v>
      </c>
      <c r="X86">
        <v>24555</v>
      </c>
      <c r="AA86">
        <v>515000</v>
      </c>
      <c r="AX86" s="41">
        <v>492.09</v>
      </c>
      <c r="AY86" s="41">
        <f t="shared" si="1"/>
        <v>509.05</v>
      </c>
      <c r="AZ86" s="41">
        <v>33.29</v>
      </c>
      <c r="BA86" s="1">
        <f>+AZ86*'DATOS PARA DEPURAR'!$C$24</f>
        <v>1411895.48</v>
      </c>
    </row>
    <row r="87" spans="1:53" ht="13.5" hidden="1" thickBot="1" x14ac:dyDescent="0.25">
      <c r="A87" s="46"/>
      <c r="E87" s="47"/>
      <c r="I87" s="1"/>
      <c r="L87" s="9" t="s">
        <v>7</v>
      </c>
      <c r="M87" s="10"/>
      <c r="O87" s="15">
        <f>IF(L82&gt;360,ROUND((((+L82-360)*33%)*O82)+(69*O82),-3),0)</f>
        <v>0</v>
      </c>
      <c r="X87">
        <v>25132</v>
      </c>
      <c r="AA87">
        <v>535600</v>
      </c>
      <c r="AX87" s="41">
        <v>509.06</v>
      </c>
      <c r="AY87" s="41">
        <f t="shared" si="1"/>
        <v>526.02</v>
      </c>
      <c r="AZ87" s="41">
        <v>35.869999999999997</v>
      </c>
      <c r="BA87" s="1">
        <f>+AZ87*'DATOS PARA DEPURAR'!$C$24</f>
        <v>1521318.44</v>
      </c>
    </row>
    <row r="88" spans="1:53" ht="13.5" hidden="1" thickBot="1" x14ac:dyDescent="0.25">
      <c r="A88" s="46"/>
      <c r="E88" s="47"/>
      <c r="X88">
        <v>26049</v>
      </c>
      <c r="AA88">
        <v>566700</v>
      </c>
      <c r="AX88" s="41">
        <v>526.03</v>
      </c>
      <c r="AY88" s="41">
        <f t="shared" si="1"/>
        <v>542.99</v>
      </c>
      <c r="AZ88" s="41">
        <v>38.54</v>
      </c>
      <c r="BA88" s="1">
        <f>+AZ88*'DATOS PARA DEPURAR'!$C$24</f>
        <v>1634558.48</v>
      </c>
    </row>
    <row r="89" spans="1:53" hidden="1" x14ac:dyDescent="0.2">
      <c r="A89" s="46"/>
      <c r="E89" s="47"/>
      <c r="L89" s="1222" t="s">
        <v>11</v>
      </c>
      <c r="M89" s="1223"/>
      <c r="X89">
        <v>26841</v>
      </c>
      <c r="AA89">
        <v>589500</v>
      </c>
      <c r="AX89" s="41">
        <v>543</v>
      </c>
      <c r="AY89" s="41">
        <f t="shared" si="1"/>
        <v>559.96</v>
      </c>
      <c r="AZ89" s="41">
        <v>41.29</v>
      </c>
      <c r="BA89" s="1">
        <f>+AZ89*'DATOS PARA DEPURAR'!$C$24</f>
        <v>1751191.48</v>
      </c>
    </row>
    <row r="90" spans="1:53" ht="13.5" hidden="1" thickBot="1" x14ac:dyDescent="0.25">
      <c r="A90" s="46"/>
      <c r="E90" s="47"/>
      <c r="L90" s="1224">
        <f>IF(O84=0,O84,IF(O85&gt;0,O85,IF(O86&gt;0,O86,IF(O87&gt;0,O87))))</f>
        <v>0</v>
      </c>
      <c r="M90" s="1225"/>
      <c r="AX90" s="41">
        <v>559.97</v>
      </c>
      <c r="AY90" s="41">
        <f t="shared" si="1"/>
        <v>576.93000000000006</v>
      </c>
      <c r="AZ90" s="41">
        <v>44.11</v>
      </c>
      <c r="BA90" s="1">
        <f>+AZ90*'DATOS PARA DEPURAR'!$C$24</f>
        <v>1870793.32</v>
      </c>
    </row>
    <row r="91" spans="1:53" hidden="1" x14ac:dyDescent="0.2">
      <c r="A91" s="46"/>
      <c r="E91" s="47"/>
      <c r="AX91" s="41">
        <v>576.94000000000005</v>
      </c>
      <c r="AY91" s="41">
        <f t="shared" si="1"/>
        <v>593.89</v>
      </c>
      <c r="AZ91" s="41">
        <v>47.02</v>
      </c>
      <c r="BA91" s="1">
        <f>+AZ91*'DATOS PARA DEPURAR'!$C$24</f>
        <v>1994212.2400000002</v>
      </c>
    </row>
    <row r="92" spans="1:53" ht="13.5" hidden="1" thickBot="1" x14ac:dyDescent="0.25">
      <c r="A92" s="46"/>
      <c r="E92" s="47"/>
      <c r="AX92" s="41">
        <v>593.9</v>
      </c>
      <c r="AY92" s="41">
        <f t="shared" si="1"/>
        <v>610.86</v>
      </c>
      <c r="AZ92" s="41">
        <v>50</v>
      </c>
      <c r="BA92" s="1">
        <f>+AZ92*'DATOS PARA DEPURAR'!$C$24</f>
        <v>2120600</v>
      </c>
    </row>
    <row r="93" spans="1:53" hidden="1" x14ac:dyDescent="0.2">
      <c r="A93" s="46"/>
      <c r="E93" s="47"/>
      <c r="L93" s="16"/>
      <c r="M93" s="17"/>
      <c r="N93" s="17"/>
      <c r="O93" s="74">
        <f>IF(E59&gt;E60,E59,E60)</f>
        <v>0</v>
      </c>
      <c r="P93" s="18"/>
      <c r="Q93" s="19" t="s">
        <v>13</v>
      </c>
      <c r="R93" s="20"/>
      <c r="S93" s="20"/>
      <c r="T93" s="20"/>
      <c r="U93" s="20"/>
      <c r="V93" s="20"/>
      <c r="W93" s="17"/>
      <c r="X93" s="17"/>
      <c r="Y93" s="17"/>
      <c r="Z93" s="17"/>
      <c r="AA93" s="17"/>
      <c r="AB93" s="17"/>
      <c r="AC93" s="17"/>
      <c r="AD93" s="17"/>
      <c r="AE93" s="17"/>
      <c r="AF93" s="17"/>
      <c r="AG93" s="17"/>
      <c r="AH93" s="17"/>
      <c r="AI93" s="17"/>
      <c r="AJ93" s="17"/>
      <c r="AK93" s="17"/>
      <c r="AL93" s="17"/>
      <c r="AM93" s="17"/>
      <c r="AN93" s="17"/>
      <c r="AO93" s="21"/>
      <c r="AX93" s="41">
        <v>610.87</v>
      </c>
      <c r="AY93" s="41">
        <f t="shared" si="1"/>
        <v>627.83000000000004</v>
      </c>
      <c r="AZ93" s="41">
        <v>53.06</v>
      </c>
      <c r="BA93" s="1">
        <f>+AZ93*'DATOS PARA DEPURAR'!$C$24</f>
        <v>2250380.7200000002</v>
      </c>
    </row>
    <row r="94" spans="1:53" hidden="1" x14ac:dyDescent="0.2">
      <c r="A94" s="46"/>
      <c r="E94" s="47"/>
      <c r="L94" s="22"/>
      <c r="M94" s="23"/>
      <c r="N94" s="23"/>
      <c r="O94" s="23">
        <f>CEILING(O93,1)</f>
        <v>0</v>
      </c>
      <c r="P94" s="23"/>
      <c r="Q94" s="23"/>
      <c r="R94" s="23"/>
      <c r="S94" s="23"/>
      <c r="T94" s="23"/>
      <c r="U94" s="23"/>
      <c r="V94" s="23"/>
      <c r="W94" s="23"/>
      <c r="X94" s="23"/>
      <c r="Y94" s="23"/>
      <c r="Z94" s="23"/>
      <c r="AA94" s="23"/>
      <c r="AB94" s="23"/>
      <c r="AC94" s="23"/>
      <c r="AD94" s="23"/>
      <c r="AE94" s="23"/>
      <c r="AF94" s="23"/>
      <c r="AG94" s="23"/>
      <c r="AH94" s="23"/>
      <c r="AI94" s="23"/>
      <c r="AJ94" s="23" t="str">
        <f>FIXED(O93,2,FALSE)</f>
        <v>0,00</v>
      </c>
      <c r="AK94" s="23"/>
      <c r="AL94" s="23"/>
      <c r="AM94" s="23"/>
      <c r="AN94" s="23"/>
      <c r="AO94" s="24"/>
      <c r="AX94" s="41">
        <v>627.84</v>
      </c>
      <c r="AY94" s="41">
        <f t="shared" si="1"/>
        <v>644.79999999999995</v>
      </c>
      <c r="AZ94" s="41">
        <v>56.2</v>
      </c>
      <c r="BA94" s="1">
        <f>+AZ94*'DATOS PARA DEPURAR'!$C$24</f>
        <v>2383554.4</v>
      </c>
    </row>
    <row r="95" spans="1:53" hidden="1" x14ac:dyDescent="0.2">
      <c r="A95" s="46"/>
      <c r="E95" s="47"/>
      <c r="L95" s="25"/>
      <c r="M95" s="26"/>
      <c r="N95" s="26"/>
      <c r="O95" s="26">
        <f>((RIGHT(O94,13))-(RIGHT(O94,12)))/1000000000000</f>
        <v>0</v>
      </c>
      <c r="P95" s="26"/>
      <c r="Q95" s="27">
        <f>((RIGHT(O94,12))-(RIGHT(O94,11)))/100000000000</f>
        <v>0</v>
      </c>
      <c r="R95" s="27">
        <f>((RIGHT(O94,11))-(RIGHT(O94,10)))/10000000000</f>
        <v>0</v>
      </c>
      <c r="S95" s="27"/>
      <c r="T95" s="27">
        <f>((RIGHT(O94,10))-(RIGHT(O94,9)))/1000000000</f>
        <v>0</v>
      </c>
      <c r="U95" s="26"/>
      <c r="V95" s="27">
        <f>((RIGHT(O94,9))-(RIGHT(O94,8)))/100000000</f>
        <v>0</v>
      </c>
      <c r="W95" s="27">
        <f>((RIGHT(O94,8))-(RIGHT(O94,7)))/10000000</f>
        <v>0</v>
      </c>
      <c r="X95" s="27"/>
      <c r="Y95" s="27">
        <f>((RIGHT(O94,7))-(RIGHT(O94,6)))/1000000</f>
        <v>0</v>
      </c>
      <c r="Z95" s="26"/>
      <c r="AA95" s="27">
        <f>((RIGHT(O94,6))-(RIGHT(O94,5)))/100000</f>
        <v>0</v>
      </c>
      <c r="AB95" s="27">
        <f>((RIGHT(O94,5))-(RIGHT(O94,4)))/10000</f>
        <v>0</v>
      </c>
      <c r="AC95" s="27"/>
      <c r="AD95" s="27">
        <f>((RIGHT(O94,4))-(RIGHT(O94,3)))/1000</f>
        <v>0</v>
      </c>
      <c r="AE95" s="26"/>
      <c r="AF95" s="28">
        <f>((RIGHT(O94,3))-(RIGHT(O94,2)))/100</f>
        <v>0</v>
      </c>
      <c r="AG95" s="28">
        <f>((RIGHT(O94,2))-(RIGHT(O94,1)))/10</f>
        <v>0</v>
      </c>
      <c r="AH95" s="28"/>
      <c r="AI95" s="28">
        <f>+((RIGHT(O94,1))-AJ95)/1</f>
        <v>0</v>
      </c>
      <c r="AJ95" s="26"/>
      <c r="AK95" s="26"/>
      <c r="AL95" s="26"/>
      <c r="AM95" s="26"/>
      <c r="AN95" s="26"/>
      <c r="AO95" s="29"/>
      <c r="AX95" s="41">
        <v>644.80999999999995</v>
      </c>
      <c r="AY95" s="41">
        <f t="shared" si="1"/>
        <v>661.77</v>
      </c>
      <c r="AZ95" s="41">
        <v>59.4</v>
      </c>
      <c r="BA95" s="1">
        <f>+AZ95*'DATOS PARA DEPURAR'!$C$24</f>
        <v>2519272.7999999998</v>
      </c>
    </row>
    <row r="96" spans="1:53" hidden="1" x14ac:dyDescent="0.2">
      <c r="A96" s="46"/>
      <c r="E96" s="47"/>
      <c r="L96" s="22"/>
      <c r="M96" s="23"/>
      <c r="N96" s="23"/>
      <c r="O96" s="23" t="str">
        <f>IF((O95&gt;8),"NUEVE  ",IF((O95&gt;7),"OCHO   ",IF(O95&gt;6,"SIETE   ",IF(O95&gt;5,"SEIS   ",IF(O95&gt;4,"CINCO  ",IF(O95&gt;3,"CUATRO  ",IF(O95&gt;2,"TRES  ",IF(O95&gt;1,"DOS  ",""))))))))</f>
        <v/>
      </c>
      <c r="P96" s="23" t="str">
        <f>+IF((O94&gt;999999999999)*AND(O95=1)*AND(SUM(Q95:AI95)&gt;0),"UN  BILLON ",+IF(O95=1,"UN  BILLON ",IF((O94&gt;999999999999)*AND(O95&gt;1),"BILLONES  ","")))</f>
        <v/>
      </c>
      <c r="Q96" s="23" t="str">
        <f xml:space="preserve"> IF((Q95&gt;8),"NOVECIENTOS  ",IF((Q95&gt;7),"OCHOCIENTOS   ",IF(Q95&gt;6,"SETECIENTOS    ",IF(Q95&gt;5,"SEICIENTOS    ",IF(Q95&gt;4,"QUINIENTOS  ",IF(Q95&gt;3,"CUATROCIENTOS   ",IF(Q95&gt;2,"TRECIENTOS  ",+IF(Q95&gt;1,"DOCIENTOS",""))))))))</f>
        <v/>
      </c>
      <c r="R96" s="23" t="str">
        <f>IF((R95&gt;8),"NOVENTA  ",IF((R95&gt;7),"OCHENTA   ",IF(R95&gt;6,"SETENTA    ",IF(R95&gt;5,"SESENTA    ",IF(R95&gt;4,"CINCUENTA  ",IF(R95&gt;3,"CUARENTA   ",IF(R95&gt;2,"TREINTA  ",+IF(R95&gt;1,"VEINTI",""))))))))</f>
        <v/>
      </c>
      <c r="S96" s="23" t="str">
        <f>+IF((R95&gt;2)*AND(T95&gt;0),"Y  ","")</f>
        <v/>
      </c>
      <c r="T96" s="23" t="str">
        <f>IF((T95&gt;8),"NUEVE  ",IF((T95&gt;7),"OCHO   ",IF(T95&gt;6,"SIETE   ",IF(T95&gt;5,"SEIS   ",IF(T95&gt;4,"CINCO  ",IF(T95&gt;3,"CUATRO  ",IF(T95&gt;2,"TRES  ",IF(T95&gt;1,"DOS  ",""))))))))</f>
        <v/>
      </c>
      <c r="U96" s="23" t="str">
        <f>+IF((O93&gt;999999999)*AND(T95=1)*AND(SUM(V95:Y95)&gt;0),"UN  MIL ",+IF((T95=1)*AND(SUM(Q95:S95)&gt;0),"UN  MIL ",+IF((SUM(Q95:T95)&gt;1)," MIL ","")))</f>
        <v/>
      </c>
      <c r="V96" s="23" t="str">
        <f>IF((V95&gt;8),"NOVECIENTOS  ",IF((V95&gt;7),"OCHOCIENTOS   ",IF(V95&gt;6,"SETECIENTOS    ",IF(V95&gt;5,"SEICIENTOS    ",IF(V95&gt;4,"QUINIENTOS  ",IF(V95&gt;3,"CUATROCIENTOS   ",IF(V95&gt;2,"TRECIENTOS  ",+IF(V95&gt;1,"DOCIENTOS",""))))))))</f>
        <v/>
      </c>
      <c r="W96" s="23" t="str">
        <f>IF((W95&gt;8),"NOVENTA  ",IF((W95&gt;7),"OCHENTA   ",IF(W95&gt;6,"SETENTA    ",IF(W95&gt;5,"SESENTA    ",IF(W95&gt;4,"CINCUENTA  ",IF(W95&gt;3,"CUARENTA   ",IF(W95&gt;2,"TREINTA  ",+IF(W95&gt;1,"VEINTI",""))))))))</f>
        <v/>
      </c>
      <c r="X96" s="23" t="str">
        <f>+IF((W95&gt;2)*AND(Y95&gt;0),"Y  ","")</f>
        <v/>
      </c>
      <c r="Y96" s="23" t="str">
        <f>IF((Y95&gt;8),"NUEVE  ",IF((Y95&gt;7),"OCHO   ",IF(Y95&gt;6,"SIETE   ",IF(Y95&gt;5,"SEIS   ",IF(Y95&gt;4,"CINCO  ",IF(Y95&gt;3,"CUATRO  ",IF(Y95&gt;2,"TRES  ",IF(Y95&gt;1,"DOS  ",""))))))))</f>
        <v/>
      </c>
      <c r="Z96" s="23" t="str">
        <f>+IF((O94&gt;999999)*AND(Y95=1)*AND(SUM(AA95:AI95)&gt;0),"UN  MILLON ",+IF((Y95=1)*AND(SUM(O95:X95)&gt;0),"UN  MILLON ",+IF((SUM(Q95:Y95)&gt;0),"MILLONES  "," ")))</f>
        <v xml:space="preserve"> </v>
      </c>
      <c r="AA96" s="23" t="str">
        <f>IF((AA95&gt;8),"NOVECIENTOS  ",IF((AA95&gt;7),"OCHOCIENTOS   ",IF(AA95&gt;6,"SETECIENTOS    ",IF(AA95&gt;5,"SEICIENTOS    ",IF(AA95&gt;4,"QUINIENTOS  ",IF(AA95&gt;3,"CUATROCIENTOS   ",IF(AA95&gt;2,"TRECIENTOS  ",+IF(AA95&gt;1,"DOCIENTOS ",""))))))))</f>
        <v/>
      </c>
      <c r="AB96" s="23" t="str">
        <f>IF((AB95&gt;8),"NOVENTA  ",IF((AB95&gt;7),"OCHENTA   ",IF(AB95&gt;6,"SETENTA    ",IF(AB95&gt;5,"SESENTA    ",IF(AB95&gt;4,"CINCUENTA  ",IF(AB95&gt;3,"CUARENTA   ",IF(AB95&gt;2,"TREINTA  ",+IF(AB95&gt;1,"VEINTI",""))))))))</f>
        <v/>
      </c>
      <c r="AC96" s="23" t="str">
        <f>+IF((AB95&gt;2)*AND(AD95&gt;0),"Y  ","")</f>
        <v/>
      </c>
      <c r="AD96" s="23" t="str">
        <f>IF((AD95&gt;8),"NUEVE  ",IF((AD95&gt;7),"OCHO   ",IF(AD95&gt;6,"SIETE   ",IF(AD95&gt;5,"SEIS   ",IF(AD95&gt;4,"CINCO  ",IF(AD95&gt;3,"CUATRO  ",IF(AD95&gt;2,"TRES  ",IF(AD95&gt;1,"DOS  ",""))))))))</f>
        <v/>
      </c>
      <c r="AE96" s="23" t="str">
        <f>+IF((O94&gt;999)*AND(AD95=1)*AND(SUM(AF95:AI95)&gt;0),"UN  MIL ",+IF((AD95=1)*AND(SUM(AA95:AC95)&gt;0),"UN  MIL ",+IF((SUM(AA95:AD95)&gt;1)," MIL ","")))</f>
        <v/>
      </c>
      <c r="AF96" s="23" t="str">
        <f>IF((AF95&gt;8),"NOVECIENTOS  ",IF((AF95&gt;7),"OCHOCIENTOS   ",IF(AF95&gt;6,"SETECIENTOS    ",IF(AF95&gt;5,"SEICIENTOS    ",IF(AF95&gt;4,"QUINIENTOS  ",IF(AF95&gt;3,"CUATROCIENTOS   ",IF(AF95&gt;2,"TRECIENTOS  ",+IF(AF95&gt;1,"DOCIENTOS  ",""))))))))</f>
        <v/>
      </c>
      <c r="AG96" s="23" t="str">
        <f>IF((AG95&gt;8),"NOVENTA  ",IF((AG95&gt;7),"OCHENTA   ",IF(AG95&gt;6,"SETENTA    ",IF(AG95&gt;5,"SESENTA    ",IF(AG95&gt;4,"CINCUENTA  ",IF(AG95&gt;3,"CUARENTA   ",IF(AG95&gt;2,"TREINTA  ",+IF(AG95&gt;1,"VEINTI",""))))))))</f>
        <v/>
      </c>
      <c r="AH96" s="23" t="str">
        <f>+IF((AG95&gt;2)*AND(AI95&gt;0),"Y  ","")</f>
        <v/>
      </c>
      <c r="AI96" s="23" t="str">
        <f>IF((AI95&gt;8),"NUEVE   ",IF((AI95&gt;7),"OCHO   ",IF(AI95&gt;6,"SIETE   ",IF(AI95&gt;5,"SEIS   ",IF(AI95&gt;4,"CINCO   ",IF(AI95&gt;3,"CUATRO   ",IF(AI95&gt;2,"TRES   ",IF(AI95&gt;1,"DOS   ",""))))))))</f>
        <v/>
      </c>
      <c r="AJ96" s="23" t="str">
        <f>+IF((O94=1)*AND(AI95=1),"UN PESO",+IF((AI95=1)*AND(SUM(O95:AH95)&gt;0),"UN PESOS",IF((SUM(AK95:AM95)&gt;0)*AND(AI95=0)*AND(SUM(O95:AI95)&lt;1),"CERO PESOS  ","PESOS")))</f>
        <v>PESOS</v>
      </c>
      <c r="AK96" s="23" t="str">
        <f>IF((AK95&gt;8),"NOVENTA  ",IF((AK95&gt;7),"OCHENTA   ",IF(AK95&gt;6,"SETENTA    ",IF(AK95&gt;5,"SESENTA    ",IF(AK95&gt;4,"CINCUENTA  ",IF(AK95&gt;3,"CUARENTA   ",IF(AK95&gt;2,"TREINTA  ",+IF(AK95&gt;1,"VEINTI",""))))))))</f>
        <v/>
      </c>
      <c r="AL96" s="23" t="str">
        <f>+IF((AK95&gt;2)*AND(AM95&gt;0),"Y  ","")</f>
        <v/>
      </c>
      <c r="AM96" s="23" t="str">
        <f>IF((AM95&gt;8),"NUEVE   ",IF((AM95&gt;7),"OCHO   ",IF(AM95&gt;6,"SIETE   ",IF(AM95&gt;5,"SEIS   ",IF(AM95&gt;4,"CINCO   ",IF(AM95&gt;3,"CUATRO   ",IF(AM95&gt;2,"TRES   ",IF(AM95&gt;1,"DOS   ",""))))))))</f>
        <v/>
      </c>
      <c r="AN96" s="23" t="str">
        <f>+IF((SUM(AK95:AM95)=1)*AND(AM95=1),"UN  CENTAVO",+IF((AM95=1)*AND(AK95&gt;1),"UN  CENTAVOS",IF(AJ94&lt;0,"CERO CENTAVOS",IF((SUM(AK95:AM95)&gt;0)*AND(AJ94&gt;0.01)," CENTAVOS ","  "))))</f>
        <v xml:space="preserve">  </v>
      </c>
      <c r="AO96" s="24"/>
      <c r="AX96" s="41">
        <v>661.78</v>
      </c>
      <c r="AY96" s="41">
        <f t="shared" si="1"/>
        <v>678.74</v>
      </c>
      <c r="AZ96" s="41">
        <v>62.68</v>
      </c>
      <c r="BA96" s="1">
        <f>+AZ96*'DATOS PARA DEPURAR'!$C$24</f>
        <v>2658384.16</v>
      </c>
    </row>
    <row r="97" spans="1:53" hidden="1" x14ac:dyDescent="0.2">
      <c r="A97" s="46"/>
      <c r="E97" s="47"/>
      <c r="L97" s="22"/>
      <c r="M97" s="23"/>
      <c r="N97" s="23"/>
      <c r="O97" s="23"/>
      <c r="P97" s="23"/>
      <c r="Q97" s="23" t="str">
        <f>+IF((Q95=1)*AND(SUM(R95:T95)&gt;0),"CIENTO",IF(Q95=1,"CIEN"," "))</f>
        <v xml:space="preserve"> </v>
      </c>
      <c r="R97" s="23" t="str">
        <f>IF((R95=2)*AND(T95=0),"VEINTE ",+IF((R95=1)*AND(T95&gt;5),"DIECI",+IF((R95=1)*AND(T95&gt;4),"QUINCE ",+IF((R95=1)*AND(T95&gt;3),"CATORCE ",+IF((R95=1)*AND(T95&gt;2),"TRECE ",+IF((R95=1)*AND(T95&gt;1),"DOCE ",+IF((R95=1)*AND(T95&gt;0),"ONCE ",IF(R95=1,"DIEZ ",""))))))))</f>
        <v/>
      </c>
      <c r="S97" s="23"/>
      <c r="T97" s="23"/>
      <c r="U97" s="23"/>
      <c r="V97" s="23" t="str">
        <f>+IF((V95=1)*AND(SUM(W95:Y95)&gt;0),"CIENTO  ",IF(V95=1,"CIEN"," "))</f>
        <v xml:space="preserve"> </v>
      </c>
      <c r="W97" s="23" t="str">
        <f>IF((W95=2)*AND(Y95=0),"VEINTE ",+IF((W95=1)*AND(Y95&gt;5),"DIECI",+IF((W95=1)*AND(Y95&gt;4),"QUINCE ",+IF((W95=1)*AND(Y95&gt;3),"CATORCE ",+IF((W95=1)*AND(Y95&gt;2),"TRECE ",+IF((W95=1)*AND(Y95&gt;1),"DOCE ",+IF((W95=1)*AND(Y95&gt;0),"ONCE ",IF(W95=1,"DIEZ ",""))))))))</f>
        <v/>
      </c>
      <c r="X97" s="23"/>
      <c r="Y97" s="23"/>
      <c r="Z97" s="23"/>
      <c r="AA97" s="23" t="str">
        <f>+IF((AA95=1)*AND(SUM(AB95:AD95)&gt;0),"CIENTO",IF(AA95=1,"CIEN"," "))</f>
        <v xml:space="preserve"> </v>
      </c>
      <c r="AB97" s="23" t="str">
        <f>IF((AB95=2)*AND(AD95=0),"VEINTE ",+IF((AB95=1)*AND(AD95&gt;5),"DIECI",+IF((AB95=1)*AND(AD95&gt;4),"QUINCE ",+IF((AB95=1)*AND(AD95&gt;3),"CATORCE ",+IF((AB95=1)*AND(AD95&gt;2),"TRECE ",+IF((AB95=1)*AND(AD95&gt;1),"DOCE ",+IF((AB95=1)*AND(AD95&gt;0),"ONCE ",IF(AB95=1,"DIEZ ",""))))))))</f>
        <v/>
      </c>
      <c r="AC97" s="23"/>
      <c r="AD97" s="23"/>
      <c r="AE97" s="23"/>
      <c r="AF97" s="23" t="str">
        <f>+IF((AF95=1)*AND(SUM(AG95:AI95)&gt;0),"CIENTO  ",IF(AF95=1,"CIEN"," "))</f>
        <v xml:space="preserve"> </v>
      </c>
      <c r="AG97" s="23" t="str">
        <f>IF((AG95=2)*AND(AI95=0),"VEINTE ",+IF((AG95=1)*AND(AI95&gt;5),"DIECI",+IF((AG95=1)*AND(AI95&gt;4),"QUINCE ",+IF((AG95=1)*AND(AI95&gt;3),"CATORCE ",+IF((AG95=1)*AND(AI95&gt;2),"TRECE ",+IF((AG95=1)*AND(AI95&gt;1),"DOCE ",+IF((AG95=1)*AND(AI95&gt;0),"ONCE ",IF(AG95=1,"DIEZ ",""))))))))</f>
        <v/>
      </c>
      <c r="AH97" s="23"/>
      <c r="AI97" s="23"/>
      <c r="AJ97" s="23"/>
      <c r="AK97" s="23" t="str">
        <f>IF((AK95=2)*AND(AM95=0),"VEINTE ",+IF((AK95=1)*AND(AM95&gt;5),"DIECI",+IF((AK95=1)*AND(AM95&gt;4),"QUINCE ",+IF((AK95=1)*AND(AM95&gt;3),"CATORCE ",+IF((AK95=1)*AND(AM95&gt;2),"TRECE ",+IF((AK95=1)*AND(AM95&gt;1),"DOCE ",+IF((AK95=1)*AND(AM95&gt;0),"ONCE ",IF(AK95=1,"DIEZ ",""))))))))</f>
        <v/>
      </c>
      <c r="AL97" s="23"/>
      <c r="AM97" s="23"/>
      <c r="AN97" s="23"/>
      <c r="AO97" s="24"/>
      <c r="AX97" s="41">
        <v>678.75</v>
      </c>
      <c r="AY97" s="41">
        <f t="shared" si="1"/>
        <v>695.71</v>
      </c>
      <c r="AZ97" s="41">
        <v>66.02</v>
      </c>
      <c r="BA97" s="1">
        <f>+AZ97*'DATOS PARA DEPURAR'!$C$24</f>
        <v>2800040.2399999998</v>
      </c>
    </row>
    <row r="98" spans="1:53" ht="13.5" hidden="1" thickBot="1" x14ac:dyDescent="0.25">
      <c r="A98" s="46"/>
      <c r="E98" s="47"/>
      <c r="L98" s="30"/>
      <c r="M98" s="31"/>
      <c r="N98" s="31"/>
      <c r="O98" s="1215" t="str">
        <f>+IF(O93=0,"CERO"," ")&amp;IF((L96=""),L97,L96)&amp;IF(M97="VEINTE ","",M96)&amp;N96&amp;IF(M97="",O96,M97)&amp;IF(M97="DIECI",O96,"")&amp;P96&amp;IF((Q96=""),Q97,Q96)&amp;IF(R97="VEINTE ","",R96)&amp;S96&amp;IF(R97="",T96,R97)&amp;IF(R97="DIECI",T96,"")&amp;U96&amp;IF((V96=""),V97,V96)&amp;IF(W97="VEINTE ","",W96)&amp;X96&amp;IF(W97="",Y96,W97)&amp;IF(W97="DIECI",Y96,"")&amp;Z96&amp;IF((AA96=""),AA97,AA96)&amp;IF(AB97="VEINTE ","",AB96)&amp;AC96&amp;IF(AB97="",AD96,AB97)&amp;IF(AB97="DIECI",AD96,"")&amp;AE96&amp;IF((AF96=""),AF97,AF96)&amp;IF(AG97="VEINTE ","",AG96)&amp;AH96&amp;IF(AG97="",AI96,AG97)&amp;IF(AG97="DIECI",AI96,"")&amp;IF((SUM(V95:Y95)&gt;0)*AND(SUM(AA95:AI95)&lt;1),"DE  ","")&amp;AJ96&amp;IF((SUM(AK95:AM95)&gt;0),"  CON  ","")&amp;IF(AK97="VEINTE ","",AK96)&amp;AL96&amp;IF(AK97="",AM96,AK97)&amp;IF(AK97="DIECI",AM96,"")&amp;AN96&amp;"M/CTE"</f>
        <v>CERO     PESOS  M/CTE</v>
      </c>
      <c r="P98" s="1215"/>
      <c r="Q98" s="1215"/>
      <c r="R98" s="1215"/>
      <c r="S98" s="1215"/>
      <c r="T98" s="1215"/>
      <c r="U98" s="1215"/>
      <c r="V98" s="1215"/>
      <c r="W98" s="1215"/>
      <c r="X98" s="1215"/>
      <c r="Y98" s="1215"/>
      <c r="Z98" s="1215"/>
      <c r="AA98" s="1215"/>
      <c r="AB98" s="1215"/>
      <c r="AC98" s="1215"/>
      <c r="AD98" s="1215"/>
      <c r="AE98" s="1215"/>
      <c r="AF98" s="1215"/>
      <c r="AG98" s="1215"/>
      <c r="AH98" s="1215"/>
      <c r="AI98" s="1215"/>
      <c r="AJ98" s="1215"/>
      <c r="AK98" s="1215"/>
      <c r="AL98" s="1215"/>
      <c r="AM98" s="1215"/>
      <c r="AN98" s="1215"/>
      <c r="AO98" s="1216"/>
      <c r="AX98" s="41">
        <v>695.72</v>
      </c>
      <c r="AY98" s="41">
        <f t="shared" si="1"/>
        <v>712.68000000000006</v>
      </c>
      <c r="AZ98" s="41">
        <v>69.430000000000007</v>
      </c>
      <c r="BA98" s="1">
        <f>+AZ98*'DATOS PARA DEPURAR'!$C$24</f>
        <v>2944665.16</v>
      </c>
    </row>
    <row r="99" spans="1:53" hidden="1" x14ac:dyDescent="0.2">
      <c r="A99" s="46"/>
      <c r="E99" s="47"/>
      <c r="AX99" s="41">
        <v>712.69</v>
      </c>
      <c r="AY99" s="41">
        <f t="shared" si="1"/>
        <v>729.64</v>
      </c>
      <c r="AZ99" s="41">
        <v>72.900000000000006</v>
      </c>
      <c r="BA99" s="1">
        <f>+AZ99*'DATOS PARA DEPURAR'!$C$24</f>
        <v>3091834.8000000003</v>
      </c>
    </row>
    <row r="100" spans="1:53" hidden="1" x14ac:dyDescent="0.2">
      <c r="A100" s="46"/>
      <c r="E100" s="47"/>
      <c r="AX100" s="41">
        <v>729.65</v>
      </c>
      <c r="AY100" s="41">
        <f t="shared" si="1"/>
        <v>746.61</v>
      </c>
      <c r="AZ100" s="41">
        <v>76.430000000000007</v>
      </c>
      <c r="BA100" s="1">
        <f>+AZ100*'DATOS PARA DEPURAR'!$C$24</f>
        <v>3241549.16</v>
      </c>
    </row>
    <row r="101" spans="1:53" hidden="1" x14ac:dyDescent="0.2">
      <c r="A101" s="46"/>
      <c r="E101" s="47"/>
      <c r="AX101" s="41">
        <v>746.62</v>
      </c>
      <c r="AY101" s="41">
        <f t="shared" si="1"/>
        <v>763.58</v>
      </c>
      <c r="AZ101" s="41">
        <v>80.03</v>
      </c>
      <c r="BA101" s="1">
        <f>+AZ101*'DATOS PARA DEPURAR'!$C$24</f>
        <v>3394232.36</v>
      </c>
    </row>
    <row r="102" spans="1:53" hidden="1" x14ac:dyDescent="0.2">
      <c r="A102" s="46"/>
      <c r="E102" s="47"/>
      <c r="AX102" s="41">
        <v>763.59</v>
      </c>
      <c r="AY102" s="41">
        <f t="shared" si="1"/>
        <v>780.55</v>
      </c>
      <c r="AZ102" s="41">
        <v>83.68</v>
      </c>
      <c r="BA102" s="1">
        <f>+AZ102*'DATOS PARA DEPURAR'!$C$24</f>
        <v>3549036.16</v>
      </c>
    </row>
    <row r="103" spans="1:53" hidden="1" x14ac:dyDescent="0.2">
      <c r="A103" s="46"/>
      <c r="E103" s="47"/>
      <c r="AX103" s="41">
        <v>780.56</v>
      </c>
      <c r="AY103" s="41">
        <f t="shared" si="1"/>
        <v>797.52</v>
      </c>
      <c r="AZ103" s="41">
        <v>87.39</v>
      </c>
      <c r="BA103" s="1">
        <f>+AZ103*'DATOS PARA DEPURAR'!$C$24</f>
        <v>3706384.68</v>
      </c>
    </row>
    <row r="104" spans="1:53" hidden="1" x14ac:dyDescent="0.2">
      <c r="A104" s="46"/>
      <c r="E104" s="47"/>
      <c r="AX104" s="41">
        <v>797.53</v>
      </c>
      <c r="AY104" s="41">
        <f t="shared" si="1"/>
        <v>814.49</v>
      </c>
      <c r="AZ104" s="41">
        <v>91.15</v>
      </c>
      <c r="BA104" s="1">
        <f>+AZ104*'DATOS PARA DEPURAR'!$C$24</f>
        <v>3865853.8000000003</v>
      </c>
    </row>
    <row r="105" spans="1:53" hidden="1" x14ac:dyDescent="0.2">
      <c r="A105" s="46"/>
      <c r="E105" s="47"/>
      <c r="AX105" s="41">
        <v>814.5</v>
      </c>
      <c r="AY105" s="41">
        <f t="shared" ref="AY105:AY122" si="4">+AX106-0.01</f>
        <v>831.46</v>
      </c>
      <c r="AZ105" s="41">
        <v>94.96</v>
      </c>
      <c r="BA105" s="1">
        <f>+AZ105*'DATOS PARA DEPURAR'!$C$24</f>
        <v>4027443.5199999996</v>
      </c>
    </row>
    <row r="106" spans="1:53" hidden="1" x14ac:dyDescent="0.2">
      <c r="A106" s="46"/>
      <c r="E106" s="47"/>
      <c r="AX106" s="41">
        <v>831.47</v>
      </c>
      <c r="AY106" s="41">
        <f t="shared" si="4"/>
        <v>848.43000000000006</v>
      </c>
      <c r="AZ106" s="41">
        <v>98.81</v>
      </c>
      <c r="BA106" s="1">
        <f>+AZ106*'DATOS PARA DEPURAR'!$C$24</f>
        <v>4190729.72</v>
      </c>
    </row>
    <row r="107" spans="1:53" hidden="1" x14ac:dyDescent="0.2">
      <c r="A107" s="46"/>
      <c r="E107" s="47"/>
      <c r="AX107" s="41">
        <v>848.44</v>
      </c>
      <c r="AY107" s="41">
        <f t="shared" si="4"/>
        <v>865.39</v>
      </c>
      <c r="AZ107" s="41">
        <v>102.72</v>
      </c>
      <c r="BA107" s="1">
        <f>+AZ107*'DATOS PARA DEPURAR'!$C$24</f>
        <v>4356560.6399999997</v>
      </c>
    </row>
    <row r="108" spans="1:53" hidden="1" x14ac:dyDescent="0.2">
      <c r="A108" s="46"/>
      <c r="E108" s="47"/>
      <c r="AX108" s="41">
        <v>865.4</v>
      </c>
      <c r="AY108" s="41">
        <f t="shared" si="4"/>
        <v>882.36</v>
      </c>
      <c r="AZ108" s="41">
        <v>106.67</v>
      </c>
      <c r="BA108" s="1">
        <f>+AZ108*'DATOS PARA DEPURAR'!$C$24</f>
        <v>4524088.04</v>
      </c>
    </row>
    <row r="109" spans="1:53" hidden="1" x14ac:dyDescent="0.2">
      <c r="A109" s="46"/>
      <c r="E109" s="47"/>
      <c r="AX109" s="41">
        <v>882.37</v>
      </c>
      <c r="AY109" s="41">
        <f t="shared" si="4"/>
        <v>899.33</v>
      </c>
      <c r="AZ109" s="41">
        <v>110.65</v>
      </c>
      <c r="BA109" s="1">
        <f>+AZ109*'DATOS PARA DEPURAR'!$C$24</f>
        <v>4692887.8</v>
      </c>
    </row>
    <row r="110" spans="1:53" hidden="1" x14ac:dyDescent="0.2">
      <c r="A110" s="46"/>
      <c r="E110" s="47"/>
      <c r="AX110" s="41">
        <v>899.34</v>
      </c>
      <c r="AY110" s="41">
        <f t="shared" si="4"/>
        <v>916.3</v>
      </c>
      <c r="AZ110" s="41">
        <v>114.68</v>
      </c>
      <c r="BA110" s="1">
        <f>+AZ110*'DATOS PARA DEPURAR'!$C$24</f>
        <v>4863808.16</v>
      </c>
    </row>
    <row r="111" spans="1:53" hidden="1" x14ac:dyDescent="0.2">
      <c r="A111" s="46"/>
      <c r="E111" s="47"/>
      <c r="AX111" s="41">
        <v>916.31</v>
      </c>
      <c r="AY111" s="41">
        <f t="shared" si="4"/>
        <v>933.27</v>
      </c>
      <c r="AZ111" s="41">
        <v>118.74</v>
      </c>
      <c r="BA111" s="1">
        <f>+AZ111*'DATOS PARA DEPURAR'!$C$24</f>
        <v>5036000.88</v>
      </c>
    </row>
    <row r="112" spans="1:53" hidden="1" x14ac:dyDescent="0.2">
      <c r="A112" s="46"/>
      <c r="E112" s="47"/>
      <c r="AX112" s="41">
        <v>933.28</v>
      </c>
      <c r="AY112" s="41">
        <f t="shared" si="4"/>
        <v>950.24</v>
      </c>
      <c r="AZ112" s="41">
        <v>122.84</v>
      </c>
      <c r="BA112" s="1">
        <f>+AZ112*'DATOS PARA DEPURAR'!$C$24</f>
        <v>5209890.08</v>
      </c>
    </row>
    <row r="113" spans="1:53" hidden="1" x14ac:dyDescent="0.2">
      <c r="A113" s="46"/>
      <c r="E113" s="47"/>
      <c r="AX113" s="41">
        <v>950.25</v>
      </c>
      <c r="AY113" s="41">
        <f t="shared" si="4"/>
        <v>967.21</v>
      </c>
      <c r="AZ113" s="41">
        <v>126.96</v>
      </c>
      <c r="BA113" s="1">
        <f>+AZ113*'DATOS PARA DEPURAR'!$C$24</f>
        <v>5384627.5199999996</v>
      </c>
    </row>
    <row r="114" spans="1:53" hidden="1" x14ac:dyDescent="0.2">
      <c r="A114" s="46"/>
      <c r="E114" s="47"/>
      <c r="AX114" s="41">
        <v>967.22</v>
      </c>
      <c r="AY114" s="41">
        <f t="shared" si="4"/>
        <v>984.18000000000006</v>
      </c>
      <c r="AZ114" s="41">
        <v>131.11000000000001</v>
      </c>
      <c r="BA114" s="1">
        <f>+AZ114*'DATOS PARA DEPURAR'!$C$24</f>
        <v>5560637.3200000003</v>
      </c>
    </row>
    <row r="115" spans="1:53" hidden="1" x14ac:dyDescent="0.2">
      <c r="A115" s="46"/>
      <c r="E115" s="47"/>
      <c r="AX115" s="41">
        <v>984.19</v>
      </c>
      <c r="AY115" s="41">
        <f t="shared" si="4"/>
        <v>1001.14</v>
      </c>
      <c r="AZ115" s="41">
        <v>135.29</v>
      </c>
      <c r="BA115" s="1">
        <f>+AZ115*'DATOS PARA DEPURAR'!$C$24</f>
        <v>5737919.4799999995</v>
      </c>
    </row>
    <row r="116" spans="1:53" hidden="1" x14ac:dyDescent="0.2">
      <c r="A116" s="46"/>
      <c r="E116" s="47"/>
      <c r="AX116" s="42">
        <v>1001.15</v>
      </c>
      <c r="AY116" s="41">
        <f t="shared" si="4"/>
        <v>1018.11</v>
      </c>
      <c r="AZ116" s="41">
        <v>139.49</v>
      </c>
      <c r="BA116" s="1">
        <f>+AZ116*'DATOS PARA DEPURAR'!$C$24</f>
        <v>5916049.8800000008</v>
      </c>
    </row>
    <row r="117" spans="1:53" hidden="1" x14ac:dyDescent="0.2">
      <c r="A117" s="46"/>
      <c r="E117" s="47"/>
      <c r="AX117" s="42">
        <v>1018.12</v>
      </c>
      <c r="AY117" s="41">
        <f t="shared" si="4"/>
        <v>1035.08</v>
      </c>
      <c r="AZ117" s="41">
        <v>143.71</v>
      </c>
      <c r="BA117" s="1">
        <f>+AZ117*'DATOS PARA DEPURAR'!$C$24</f>
        <v>6095028.5200000005</v>
      </c>
    </row>
    <row r="118" spans="1:53" hidden="1" x14ac:dyDescent="0.2">
      <c r="A118" s="46"/>
      <c r="E118" s="47"/>
      <c r="AX118" s="42">
        <v>1035.0899999999999</v>
      </c>
      <c r="AY118" s="41">
        <f t="shared" si="4"/>
        <v>1052.05</v>
      </c>
      <c r="AZ118" s="41">
        <v>147.94</v>
      </c>
      <c r="BA118" s="1">
        <f>+AZ118*'DATOS PARA DEPURAR'!$C$24</f>
        <v>6274431.2800000003</v>
      </c>
    </row>
    <row r="119" spans="1:53" hidden="1" x14ac:dyDescent="0.2">
      <c r="A119" s="46"/>
      <c r="E119" s="47"/>
      <c r="AX119" s="42">
        <v>1052.06</v>
      </c>
      <c r="AY119" s="41">
        <f t="shared" si="4"/>
        <v>1069.02</v>
      </c>
      <c r="AZ119" s="41">
        <v>152.19</v>
      </c>
      <c r="BA119" s="1">
        <f>+AZ119*'DATOS PARA DEPURAR'!$C$24</f>
        <v>6454682.2800000003</v>
      </c>
    </row>
    <row r="120" spans="1:53" hidden="1" x14ac:dyDescent="0.2">
      <c r="A120" s="46"/>
      <c r="E120" s="47"/>
      <c r="AX120" s="42">
        <v>1069.03</v>
      </c>
      <c r="AY120" s="41">
        <f t="shared" si="4"/>
        <v>1085.99</v>
      </c>
      <c r="AZ120" s="41">
        <v>156.44999999999999</v>
      </c>
      <c r="BA120" s="1">
        <f>+AZ120*'DATOS PARA DEPURAR'!$C$24</f>
        <v>6635357.3999999994</v>
      </c>
    </row>
    <row r="121" spans="1:53" hidden="1" x14ac:dyDescent="0.2">
      <c r="A121" s="46"/>
      <c r="E121" s="47"/>
      <c r="AX121" s="42">
        <v>1086</v>
      </c>
      <c r="AY121" s="41">
        <f t="shared" si="4"/>
        <v>1102.96</v>
      </c>
      <c r="AZ121" s="41">
        <v>160.72</v>
      </c>
      <c r="BA121" s="1">
        <f>+AZ121*'DATOS PARA DEPURAR'!$C$24</f>
        <v>6816456.6399999997</v>
      </c>
    </row>
    <row r="122" spans="1:53" hidden="1" x14ac:dyDescent="0.2">
      <c r="A122" s="46"/>
      <c r="E122" s="47"/>
      <c r="AX122" s="42">
        <v>1102.97</v>
      </c>
      <c r="AY122" s="41">
        <f t="shared" si="4"/>
        <v>1119.92</v>
      </c>
      <c r="AZ122" s="41">
        <v>164.99</v>
      </c>
      <c r="BA122" s="1">
        <f>+AZ122*'DATOS PARA DEPURAR'!$C$24</f>
        <v>6997555.8800000008</v>
      </c>
    </row>
    <row r="123" spans="1:53" hidden="1" x14ac:dyDescent="0.2">
      <c r="A123" s="46"/>
      <c r="E123" s="47"/>
      <c r="AX123" s="42">
        <v>1119.93</v>
      </c>
      <c r="AY123" s="41">
        <f>1136.92-0.01</f>
        <v>1136.9100000000001</v>
      </c>
      <c r="AZ123" s="41">
        <v>169.26</v>
      </c>
      <c r="BA123" s="1">
        <f>+AZ123*'DATOS PARA DEPURAR'!$C$24</f>
        <v>7178655.1199999992</v>
      </c>
    </row>
    <row r="124" spans="1:53" hidden="1" x14ac:dyDescent="0.2">
      <c r="A124" s="46"/>
      <c r="E124" s="47"/>
      <c r="AX124" s="42">
        <v>1136.92</v>
      </c>
      <c r="AY124" s="41"/>
      <c r="AZ124" s="41" t="e">
        <f>27%*AX1-135.17</f>
        <v>#REF!</v>
      </c>
      <c r="BA124" s="1" t="e">
        <f>+AZ124*'DATOS PARA DEPURAR'!$C$24</f>
        <v>#REF!</v>
      </c>
    </row>
    <row r="125" spans="1:53" ht="13.5" hidden="1" thickBot="1" x14ac:dyDescent="0.25">
      <c r="A125" s="67"/>
      <c r="B125" s="68"/>
      <c r="C125" s="68"/>
      <c r="D125" s="68"/>
      <c r="E125" s="69"/>
    </row>
    <row r="126" spans="1:53" hidden="1" x14ac:dyDescent="0.2">
      <c r="AX126" s="39"/>
      <c r="AY126" s="43"/>
      <c r="AZ126" s="40"/>
    </row>
    <row r="127" spans="1:53" ht="15" hidden="1" x14ac:dyDescent="0.25">
      <c r="A127" s="93">
        <v>0</v>
      </c>
      <c r="B127" s="94">
        <v>1547.99</v>
      </c>
      <c r="C127" s="95">
        <v>0</v>
      </c>
      <c r="E127">
        <v>0</v>
      </c>
      <c r="G127" s="98">
        <f t="shared" ref="G127:G167" si="5">+E128-0.01</f>
        <v>1547.99</v>
      </c>
      <c r="H127" s="98"/>
      <c r="L127">
        <v>0</v>
      </c>
    </row>
    <row r="128" spans="1:53" ht="15" hidden="1" x14ac:dyDescent="0.25">
      <c r="A128" s="93">
        <v>1548</v>
      </c>
      <c r="B128" s="96">
        <f>+A129-0.01</f>
        <v>1587.99</v>
      </c>
      <c r="C128" s="95">
        <v>1.05</v>
      </c>
      <c r="E128" s="93">
        <v>1548</v>
      </c>
      <c r="G128" s="98">
        <f t="shared" si="5"/>
        <v>1587.99</v>
      </c>
      <c r="H128" s="98"/>
      <c r="L128" s="95">
        <v>1.08</v>
      </c>
    </row>
    <row r="129" spans="1:12" ht="15" hidden="1" x14ac:dyDescent="0.25">
      <c r="A129" s="93">
        <v>1588</v>
      </c>
      <c r="B129" s="96">
        <f t="shared" ref="B129:B192" si="6">+A130-0.01</f>
        <v>1628.99</v>
      </c>
      <c r="C129" s="95">
        <v>1.08</v>
      </c>
      <c r="E129" s="93">
        <v>1588</v>
      </c>
      <c r="G129" s="98">
        <f t="shared" si="5"/>
        <v>1628.99</v>
      </c>
      <c r="H129" s="98"/>
      <c r="L129" s="95">
        <v>1.1000000000000001</v>
      </c>
    </row>
    <row r="130" spans="1:12" ht="15" hidden="1" x14ac:dyDescent="0.25">
      <c r="A130" s="93">
        <v>1629</v>
      </c>
      <c r="B130" s="96">
        <f t="shared" si="6"/>
        <v>1669.99</v>
      </c>
      <c r="C130" s="95">
        <v>1.1100000000000001</v>
      </c>
      <c r="E130" s="93">
        <v>1629</v>
      </c>
      <c r="G130" s="98">
        <f t="shared" si="5"/>
        <v>1669.99</v>
      </c>
      <c r="H130" s="98"/>
      <c r="L130" s="95">
        <v>1.1299999999999999</v>
      </c>
    </row>
    <row r="131" spans="1:12" ht="15" hidden="1" x14ac:dyDescent="0.25">
      <c r="A131" s="93">
        <v>1670</v>
      </c>
      <c r="B131" s="96">
        <f t="shared" si="6"/>
        <v>1709.99</v>
      </c>
      <c r="C131" s="95">
        <v>1.1399999999999999</v>
      </c>
      <c r="E131" s="93">
        <v>1670</v>
      </c>
      <c r="G131" s="98">
        <f t="shared" si="5"/>
        <v>1709.99</v>
      </c>
      <c r="H131" s="98"/>
      <c r="L131" s="95">
        <v>1.1599999999999999</v>
      </c>
    </row>
    <row r="132" spans="1:12" ht="15" hidden="1" x14ac:dyDescent="0.25">
      <c r="A132" s="93">
        <v>1710</v>
      </c>
      <c r="B132" s="96">
        <f t="shared" si="6"/>
        <v>1750.99</v>
      </c>
      <c r="C132" s="95">
        <v>1.1599999999999999</v>
      </c>
      <c r="E132" s="93">
        <v>1710</v>
      </c>
      <c r="G132" s="98">
        <f t="shared" si="5"/>
        <v>1750.99</v>
      </c>
      <c r="H132" s="98"/>
      <c r="L132" s="95">
        <v>1.19</v>
      </c>
    </row>
    <row r="133" spans="1:12" ht="15" hidden="1" x14ac:dyDescent="0.25">
      <c r="A133" s="93">
        <v>1751</v>
      </c>
      <c r="B133" s="96">
        <f t="shared" si="6"/>
        <v>1791.99</v>
      </c>
      <c r="C133" s="95">
        <v>2.38</v>
      </c>
      <c r="E133" s="93">
        <v>1751</v>
      </c>
      <c r="G133" s="98">
        <f t="shared" si="5"/>
        <v>1791.99</v>
      </c>
      <c r="H133" s="98"/>
      <c r="L133" s="95">
        <v>2.4300000000000002</v>
      </c>
    </row>
    <row r="134" spans="1:12" ht="15" hidden="1" x14ac:dyDescent="0.25">
      <c r="A134" s="93">
        <v>1792</v>
      </c>
      <c r="B134" s="96">
        <f t="shared" si="6"/>
        <v>1832.99</v>
      </c>
      <c r="C134" s="95">
        <v>2.4300000000000002</v>
      </c>
      <c r="E134" s="93">
        <v>1792</v>
      </c>
      <c r="G134" s="98">
        <f t="shared" si="5"/>
        <v>1832.99</v>
      </c>
      <c r="H134" s="98"/>
      <c r="L134" s="95">
        <v>2.48</v>
      </c>
    </row>
    <row r="135" spans="1:12" ht="15" hidden="1" x14ac:dyDescent="0.25">
      <c r="A135" s="93">
        <v>1833</v>
      </c>
      <c r="B135" s="96">
        <f t="shared" si="6"/>
        <v>1872.99</v>
      </c>
      <c r="C135" s="95">
        <v>2.4900000000000002</v>
      </c>
      <c r="E135" s="93">
        <v>1833</v>
      </c>
      <c r="G135" s="98">
        <f t="shared" si="5"/>
        <v>1872.99</v>
      </c>
      <c r="H135" s="98"/>
      <c r="L135" s="95">
        <v>2.54</v>
      </c>
    </row>
    <row r="136" spans="1:12" ht="15" hidden="1" x14ac:dyDescent="0.25">
      <c r="A136" s="93">
        <v>1873</v>
      </c>
      <c r="B136" s="96">
        <f t="shared" si="6"/>
        <v>1913.99</v>
      </c>
      <c r="C136" s="95">
        <v>4.76</v>
      </c>
      <c r="E136" s="93">
        <v>1873</v>
      </c>
      <c r="G136" s="98">
        <f t="shared" si="5"/>
        <v>1913.99</v>
      </c>
      <c r="H136" s="98"/>
      <c r="L136" s="95">
        <v>4.8499999999999996</v>
      </c>
    </row>
    <row r="137" spans="1:12" ht="15" hidden="1" x14ac:dyDescent="0.25">
      <c r="A137" s="93">
        <v>1914</v>
      </c>
      <c r="B137" s="96">
        <f t="shared" si="6"/>
        <v>1954.99</v>
      </c>
      <c r="C137" s="95">
        <v>4.8600000000000003</v>
      </c>
      <c r="E137" s="93">
        <v>1914</v>
      </c>
      <c r="G137" s="98">
        <f t="shared" si="5"/>
        <v>1954.99</v>
      </c>
      <c r="H137" s="98"/>
      <c r="L137" s="95">
        <v>4.96</v>
      </c>
    </row>
    <row r="138" spans="1:12" ht="15" hidden="1" x14ac:dyDescent="0.25">
      <c r="A138" s="93">
        <v>1955</v>
      </c>
      <c r="B138" s="96">
        <f t="shared" si="6"/>
        <v>1995.99</v>
      </c>
      <c r="C138" s="95">
        <v>4.96</v>
      </c>
      <c r="E138" s="93">
        <v>1955</v>
      </c>
      <c r="G138" s="98">
        <f t="shared" si="5"/>
        <v>1995.99</v>
      </c>
      <c r="H138" s="98"/>
      <c r="L138" s="95">
        <v>5.0599999999999996</v>
      </c>
    </row>
    <row r="139" spans="1:12" ht="15" hidden="1" x14ac:dyDescent="0.25">
      <c r="A139" s="93">
        <v>1996</v>
      </c>
      <c r="B139" s="96">
        <f t="shared" si="6"/>
        <v>2035.99</v>
      </c>
      <c r="C139" s="95">
        <v>8.43</v>
      </c>
      <c r="E139" s="93">
        <v>1996</v>
      </c>
      <c r="G139" s="98">
        <f t="shared" si="5"/>
        <v>2035.99</v>
      </c>
      <c r="H139" s="98"/>
      <c r="L139" s="95">
        <v>8.6</v>
      </c>
    </row>
    <row r="140" spans="1:12" ht="15" hidden="1" x14ac:dyDescent="0.25">
      <c r="A140" s="93">
        <v>2036</v>
      </c>
      <c r="B140" s="96">
        <f t="shared" si="6"/>
        <v>2117.9899999999998</v>
      </c>
      <c r="C140" s="95">
        <v>8.7100000000000009</v>
      </c>
      <c r="E140" s="93">
        <v>2036</v>
      </c>
      <c r="G140" s="98">
        <f t="shared" si="5"/>
        <v>2117.9899999999998</v>
      </c>
      <c r="H140" s="98"/>
      <c r="L140" s="95">
        <v>8.89</v>
      </c>
    </row>
    <row r="141" spans="1:12" ht="15" hidden="1" x14ac:dyDescent="0.25">
      <c r="A141" s="93">
        <v>2118</v>
      </c>
      <c r="B141" s="96">
        <f t="shared" si="6"/>
        <v>2198.9899999999998</v>
      </c>
      <c r="C141" s="95">
        <v>13.74</v>
      </c>
      <c r="E141" s="93">
        <v>2118</v>
      </c>
      <c r="G141" s="98">
        <f t="shared" si="5"/>
        <v>2198.9899999999998</v>
      </c>
      <c r="H141" s="98"/>
      <c r="L141" s="95">
        <v>14.02</v>
      </c>
    </row>
    <row r="142" spans="1:12" ht="15" hidden="1" x14ac:dyDescent="0.25">
      <c r="A142" s="93">
        <v>2199</v>
      </c>
      <c r="B142" s="96">
        <f t="shared" si="6"/>
        <v>2280.9899999999998</v>
      </c>
      <c r="C142" s="95">
        <v>14.26</v>
      </c>
      <c r="E142" s="93">
        <v>2199</v>
      </c>
      <c r="G142" s="98">
        <f t="shared" si="5"/>
        <v>2280.9899999999998</v>
      </c>
      <c r="H142" s="98"/>
      <c r="L142" s="95">
        <v>20.92</v>
      </c>
    </row>
    <row r="143" spans="1:12" ht="15" hidden="1" x14ac:dyDescent="0.25">
      <c r="A143" s="93">
        <v>2281</v>
      </c>
      <c r="B143" s="96">
        <f t="shared" si="6"/>
        <v>2361.9899999999998</v>
      </c>
      <c r="C143" s="95">
        <v>19.809999999999999</v>
      </c>
      <c r="E143" s="93">
        <v>2281</v>
      </c>
      <c r="G143" s="98">
        <f t="shared" si="5"/>
        <v>2361.9899999999998</v>
      </c>
      <c r="H143" s="98"/>
      <c r="L143" s="95">
        <v>29.98</v>
      </c>
    </row>
    <row r="144" spans="1:12" ht="15" hidden="1" x14ac:dyDescent="0.25">
      <c r="A144" s="93">
        <v>2362</v>
      </c>
      <c r="B144" s="96">
        <f t="shared" si="6"/>
        <v>2442.9899999999998</v>
      </c>
      <c r="C144" s="95">
        <v>25.7</v>
      </c>
      <c r="E144" s="93">
        <v>2362</v>
      </c>
      <c r="G144" s="98">
        <f t="shared" si="5"/>
        <v>2442.9899999999998</v>
      </c>
      <c r="H144" s="98"/>
      <c r="L144" s="95">
        <v>39.03</v>
      </c>
    </row>
    <row r="145" spans="1:12" ht="15" hidden="1" x14ac:dyDescent="0.25">
      <c r="A145" s="93">
        <v>2443</v>
      </c>
      <c r="B145" s="96">
        <f t="shared" si="6"/>
        <v>2524.9899999999998</v>
      </c>
      <c r="C145" s="95">
        <v>26.57</v>
      </c>
      <c r="E145" s="93">
        <v>2443</v>
      </c>
      <c r="G145" s="98">
        <f t="shared" si="5"/>
        <v>2524.9899999999998</v>
      </c>
      <c r="H145" s="98"/>
      <c r="L145" s="95">
        <v>48.08</v>
      </c>
    </row>
    <row r="146" spans="1:12" ht="15" hidden="1" x14ac:dyDescent="0.25">
      <c r="A146" s="93">
        <v>2525</v>
      </c>
      <c r="B146" s="96">
        <f t="shared" si="6"/>
        <v>2605.9899999999998</v>
      </c>
      <c r="C146" s="95">
        <v>35.56</v>
      </c>
      <c r="E146" s="93">
        <v>2525</v>
      </c>
      <c r="G146" s="98">
        <f t="shared" si="5"/>
        <v>2605.9899999999998</v>
      </c>
      <c r="H146" s="98"/>
      <c r="L146" s="95">
        <v>57.14</v>
      </c>
    </row>
    <row r="147" spans="1:12" ht="15" hidden="1" x14ac:dyDescent="0.25">
      <c r="A147" s="93">
        <v>2606</v>
      </c>
      <c r="B147" s="96">
        <f t="shared" si="6"/>
        <v>2687.99</v>
      </c>
      <c r="C147" s="95">
        <v>45.05</v>
      </c>
      <c r="E147" s="93">
        <v>2606</v>
      </c>
      <c r="G147" s="98">
        <f t="shared" si="5"/>
        <v>2687.99</v>
      </c>
      <c r="H147" s="98"/>
      <c r="L147" s="95">
        <v>66.19</v>
      </c>
    </row>
    <row r="148" spans="1:12" ht="15" hidden="1" x14ac:dyDescent="0.25">
      <c r="A148" s="93">
        <v>2688</v>
      </c>
      <c r="B148" s="96">
        <f t="shared" si="6"/>
        <v>2768.99</v>
      </c>
      <c r="C148" s="95">
        <v>46.43</v>
      </c>
      <c r="E148" s="93">
        <v>2688</v>
      </c>
      <c r="G148" s="98">
        <f t="shared" si="5"/>
        <v>2768.99</v>
      </c>
      <c r="H148" s="98"/>
      <c r="L148" s="95">
        <v>75.239999999999995</v>
      </c>
    </row>
    <row r="149" spans="1:12" ht="15" hidden="1" x14ac:dyDescent="0.25">
      <c r="A149" s="93">
        <v>2769</v>
      </c>
      <c r="B149" s="96">
        <f t="shared" si="6"/>
        <v>2850.99</v>
      </c>
      <c r="C149" s="95">
        <v>55.58</v>
      </c>
      <c r="E149" s="93">
        <v>2769</v>
      </c>
      <c r="G149" s="98">
        <f t="shared" si="5"/>
        <v>2850.99</v>
      </c>
      <c r="H149" s="98"/>
      <c r="L149" s="95">
        <v>84.3</v>
      </c>
    </row>
    <row r="150" spans="1:12" ht="15" hidden="1" x14ac:dyDescent="0.25">
      <c r="A150" s="93">
        <v>2851</v>
      </c>
      <c r="B150" s="96">
        <f t="shared" si="6"/>
        <v>2931.99</v>
      </c>
      <c r="C150" s="95">
        <v>60.7</v>
      </c>
      <c r="E150" s="93">
        <v>2851</v>
      </c>
      <c r="G150" s="98">
        <f t="shared" si="5"/>
        <v>2931.99</v>
      </c>
      <c r="H150" s="98"/>
      <c r="L150" s="95">
        <v>93.35</v>
      </c>
    </row>
    <row r="151" spans="1:12" ht="15" hidden="1" x14ac:dyDescent="0.25">
      <c r="A151" s="93">
        <v>2932</v>
      </c>
      <c r="B151" s="96">
        <f t="shared" si="6"/>
        <v>3013.99</v>
      </c>
      <c r="C151" s="95">
        <v>66.02</v>
      </c>
      <c r="E151" s="93">
        <v>2932</v>
      </c>
      <c r="G151" s="98">
        <f t="shared" si="5"/>
        <v>3013.99</v>
      </c>
      <c r="H151" s="98"/>
      <c r="L151" s="95">
        <v>102.4</v>
      </c>
    </row>
    <row r="152" spans="1:12" ht="15" hidden="1" x14ac:dyDescent="0.25">
      <c r="A152" s="93">
        <v>3014</v>
      </c>
      <c r="B152" s="96">
        <f t="shared" si="6"/>
        <v>3094.99</v>
      </c>
      <c r="C152" s="95">
        <v>71.540000000000006</v>
      </c>
      <c r="E152" s="93">
        <v>3014</v>
      </c>
      <c r="G152" s="98">
        <f t="shared" si="5"/>
        <v>3094.99</v>
      </c>
      <c r="H152" s="98"/>
      <c r="L152" s="95">
        <v>111.46</v>
      </c>
    </row>
    <row r="153" spans="1:12" ht="15" hidden="1" x14ac:dyDescent="0.25">
      <c r="A153" s="93">
        <v>3095</v>
      </c>
      <c r="B153" s="96">
        <f t="shared" si="6"/>
        <v>3176.99</v>
      </c>
      <c r="C153" s="95">
        <v>77.239999999999995</v>
      </c>
      <c r="E153" s="93">
        <v>3095</v>
      </c>
      <c r="G153" s="98">
        <f t="shared" si="5"/>
        <v>3176.99</v>
      </c>
      <c r="H153" s="98"/>
      <c r="L153" s="95">
        <v>122.79</v>
      </c>
    </row>
    <row r="154" spans="1:12" ht="15" hidden="1" x14ac:dyDescent="0.25">
      <c r="A154" s="93">
        <v>3177</v>
      </c>
      <c r="B154" s="96">
        <f t="shared" si="6"/>
        <v>3257.99</v>
      </c>
      <c r="C154" s="95">
        <v>83.14</v>
      </c>
      <c r="E154" s="93">
        <v>3177</v>
      </c>
      <c r="G154" s="98">
        <f t="shared" si="5"/>
        <v>3257.99</v>
      </c>
      <c r="H154" s="98"/>
      <c r="L154" s="95">
        <v>136.13</v>
      </c>
    </row>
    <row r="155" spans="1:12" ht="15" hidden="1" x14ac:dyDescent="0.25">
      <c r="A155" s="93">
        <v>3258</v>
      </c>
      <c r="B155" s="96">
        <f t="shared" si="6"/>
        <v>3338.99</v>
      </c>
      <c r="C155" s="95">
        <v>89.23</v>
      </c>
      <c r="E155" s="93">
        <v>3258</v>
      </c>
      <c r="G155" s="98">
        <f t="shared" si="5"/>
        <v>3338.99</v>
      </c>
      <c r="H155" s="98"/>
      <c r="L155" s="95">
        <v>149.47</v>
      </c>
    </row>
    <row r="156" spans="1:12" ht="15" hidden="1" x14ac:dyDescent="0.25">
      <c r="A156" s="93">
        <v>3339</v>
      </c>
      <c r="B156" s="96">
        <f t="shared" si="6"/>
        <v>3420.99</v>
      </c>
      <c r="C156" s="95">
        <v>95.51</v>
      </c>
      <c r="E156" s="93">
        <v>3339</v>
      </c>
      <c r="G156" s="98">
        <f t="shared" si="5"/>
        <v>3420.99</v>
      </c>
      <c r="H156" s="98"/>
      <c r="L156" s="95">
        <v>162.82</v>
      </c>
    </row>
    <row r="157" spans="1:12" ht="15" hidden="1" x14ac:dyDescent="0.25">
      <c r="A157" s="93">
        <v>3421</v>
      </c>
      <c r="B157" s="96">
        <f t="shared" si="6"/>
        <v>3501.99</v>
      </c>
      <c r="C157" s="95">
        <v>101.98</v>
      </c>
      <c r="E157" s="93">
        <v>3421</v>
      </c>
      <c r="G157" s="98">
        <f t="shared" si="5"/>
        <v>3501.99</v>
      </c>
      <c r="H157" s="98"/>
      <c r="L157" s="95">
        <v>176.16</v>
      </c>
    </row>
    <row r="158" spans="1:12" ht="15" hidden="1" x14ac:dyDescent="0.25">
      <c r="A158" s="93">
        <v>3502</v>
      </c>
      <c r="B158" s="96">
        <f t="shared" si="6"/>
        <v>3583.99</v>
      </c>
      <c r="C158" s="95">
        <v>108.64</v>
      </c>
      <c r="E158" s="93">
        <v>3502</v>
      </c>
      <c r="G158" s="98">
        <f t="shared" si="5"/>
        <v>3583.99</v>
      </c>
      <c r="H158" s="98"/>
      <c r="L158" s="95">
        <v>189.5</v>
      </c>
    </row>
    <row r="159" spans="1:12" ht="15" hidden="1" x14ac:dyDescent="0.25">
      <c r="A159" s="93">
        <v>3584</v>
      </c>
      <c r="B159" s="96">
        <f t="shared" si="6"/>
        <v>3664.99</v>
      </c>
      <c r="C159" s="95">
        <v>115.49</v>
      </c>
      <c r="E159" s="93">
        <v>3584</v>
      </c>
      <c r="G159" s="98">
        <f t="shared" si="5"/>
        <v>3664.99</v>
      </c>
      <c r="H159" s="98"/>
      <c r="L159" s="95">
        <v>202.84</v>
      </c>
    </row>
    <row r="160" spans="1:12" ht="15" hidden="1" x14ac:dyDescent="0.25">
      <c r="A160" s="93">
        <v>3665</v>
      </c>
      <c r="B160" s="96">
        <f t="shared" si="6"/>
        <v>3746.99</v>
      </c>
      <c r="C160" s="95">
        <v>122.54</v>
      </c>
      <c r="E160" s="93">
        <v>3665</v>
      </c>
      <c r="G160" s="98">
        <f t="shared" si="5"/>
        <v>3746.99</v>
      </c>
      <c r="H160" s="98"/>
      <c r="L160" s="95">
        <v>216.18</v>
      </c>
    </row>
    <row r="161" spans="1:13" ht="15" hidden="1" x14ac:dyDescent="0.25">
      <c r="A161" s="93">
        <v>3747</v>
      </c>
      <c r="B161" s="96">
        <f t="shared" si="6"/>
        <v>3827.99</v>
      </c>
      <c r="C161" s="95">
        <v>129.76</v>
      </c>
      <c r="E161" s="93">
        <v>3747</v>
      </c>
      <c r="G161" s="98">
        <f t="shared" si="5"/>
        <v>3827.99</v>
      </c>
      <c r="H161" s="98"/>
      <c r="L161" s="95">
        <v>229.52</v>
      </c>
    </row>
    <row r="162" spans="1:13" ht="15" hidden="1" x14ac:dyDescent="0.25">
      <c r="A162" s="93">
        <v>3828</v>
      </c>
      <c r="B162" s="96">
        <f t="shared" si="6"/>
        <v>3909.99</v>
      </c>
      <c r="C162" s="95">
        <v>137.18</v>
      </c>
      <c r="E162" s="93">
        <v>3828</v>
      </c>
      <c r="G162" s="98">
        <f t="shared" si="5"/>
        <v>3909.99</v>
      </c>
      <c r="H162" s="98"/>
      <c r="L162" s="95">
        <v>242.86</v>
      </c>
    </row>
    <row r="163" spans="1:13" ht="15" hidden="1" x14ac:dyDescent="0.25">
      <c r="A163" s="93">
        <v>3910</v>
      </c>
      <c r="B163" s="96">
        <f t="shared" si="6"/>
        <v>3990.99</v>
      </c>
      <c r="C163" s="95">
        <v>144.78</v>
      </c>
      <c r="E163" s="93">
        <v>3910</v>
      </c>
      <c r="G163" s="98">
        <f t="shared" si="5"/>
        <v>3990.99</v>
      </c>
      <c r="H163" s="98"/>
      <c r="L163" s="95">
        <v>256.20999999999998</v>
      </c>
    </row>
    <row r="164" spans="1:13" ht="15" hidden="1" x14ac:dyDescent="0.25">
      <c r="A164" s="93">
        <v>3991</v>
      </c>
      <c r="B164" s="96">
        <f t="shared" si="6"/>
        <v>4071.99</v>
      </c>
      <c r="C164" s="95">
        <v>152.58000000000001</v>
      </c>
      <c r="E164" s="93">
        <v>3991</v>
      </c>
      <c r="G164" s="98">
        <f t="shared" si="5"/>
        <v>4071.99</v>
      </c>
      <c r="H164" s="98"/>
      <c r="L164" s="95">
        <v>269.55</v>
      </c>
    </row>
    <row r="165" spans="1:13" ht="15" hidden="1" x14ac:dyDescent="0.25">
      <c r="A165" s="93">
        <v>4072</v>
      </c>
      <c r="B165" s="96">
        <f t="shared" si="6"/>
        <v>4275.99</v>
      </c>
      <c r="C165" s="95">
        <v>168.71</v>
      </c>
      <c r="E165" s="93">
        <v>4072</v>
      </c>
      <c r="G165" s="98">
        <f t="shared" si="5"/>
        <v>4275.99</v>
      </c>
      <c r="H165" s="98"/>
      <c r="L165" s="95">
        <v>282.89</v>
      </c>
    </row>
    <row r="166" spans="1:13" ht="15" hidden="1" x14ac:dyDescent="0.25">
      <c r="A166" s="93">
        <v>4276</v>
      </c>
      <c r="B166" s="96">
        <f t="shared" si="6"/>
        <v>4479.99</v>
      </c>
      <c r="C166" s="95">
        <v>189.92</v>
      </c>
      <c r="E166" s="93">
        <v>4276</v>
      </c>
      <c r="G166" s="98">
        <f t="shared" si="5"/>
        <v>4479.99</v>
      </c>
      <c r="H166" s="98"/>
      <c r="L166" s="95">
        <v>316.24</v>
      </c>
      <c r="M166">
        <f>+L166*26841</f>
        <v>8488197.8399999999</v>
      </c>
    </row>
    <row r="167" spans="1:13" ht="15" hidden="1" x14ac:dyDescent="0.25">
      <c r="A167" s="93">
        <v>4480</v>
      </c>
      <c r="B167" s="96">
        <f t="shared" si="6"/>
        <v>4682.99</v>
      </c>
      <c r="C167" s="95">
        <v>212.27</v>
      </c>
      <c r="E167" s="93">
        <v>4480</v>
      </c>
      <c r="G167" s="98">
        <f t="shared" si="5"/>
        <v>4682.99</v>
      </c>
      <c r="H167" s="98"/>
      <c r="L167" s="95">
        <v>349.6</v>
      </c>
    </row>
    <row r="168" spans="1:13" ht="15" hidden="1" x14ac:dyDescent="0.25">
      <c r="A168" s="93">
        <v>4683</v>
      </c>
      <c r="B168" s="96">
        <f t="shared" si="6"/>
        <v>4886.99</v>
      </c>
      <c r="C168" s="95">
        <v>235.75</v>
      </c>
      <c r="E168" s="93">
        <v>4683</v>
      </c>
      <c r="G168" s="98">
        <v>4700</v>
      </c>
      <c r="H168" s="98"/>
      <c r="L168" s="95">
        <v>382.95</v>
      </c>
    </row>
    <row r="169" spans="1:13" ht="15" hidden="1" x14ac:dyDescent="0.25">
      <c r="A169" s="93">
        <v>4887</v>
      </c>
      <c r="B169" s="96">
        <f t="shared" si="6"/>
        <v>5090.99</v>
      </c>
      <c r="C169" s="95">
        <v>260.33999999999997</v>
      </c>
    </row>
    <row r="170" spans="1:13" ht="15" hidden="1" x14ac:dyDescent="0.25">
      <c r="A170" s="93">
        <v>5091</v>
      </c>
      <c r="B170" s="96">
        <f t="shared" si="6"/>
        <v>5293.99</v>
      </c>
      <c r="C170" s="95">
        <v>286.02999999999997</v>
      </c>
    </row>
    <row r="171" spans="1:13" ht="15" hidden="1" x14ac:dyDescent="0.25">
      <c r="A171" s="93">
        <v>5294</v>
      </c>
      <c r="B171" s="96">
        <f t="shared" si="6"/>
        <v>5497.99</v>
      </c>
      <c r="C171" s="95">
        <v>312.81</v>
      </c>
    </row>
    <row r="172" spans="1:13" ht="15" hidden="1" x14ac:dyDescent="0.25">
      <c r="A172" s="93">
        <v>5498</v>
      </c>
      <c r="B172" s="96">
        <f t="shared" si="6"/>
        <v>5700.99</v>
      </c>
      <c r="C172" s="95">
        <v>340.66</v>
      </c>
    </row>
    <row r="173" spans="1:13" ht="15" hidden="1" x14ac:dyDescent="0.25">
      <c r="A173" s="93">
        <v>5701</v>
      </c>
      <c r="B173" s="96">
        <f t="shared" si="6"/>
        <v>5904.99</v>
      </c>
      <c r="C173" s="95">
        <v>369.57</v>
      </c>
    </row>
    <row r="174" spans="1:13" ht="15" hidden="1" x14ac:dyDescent="0.25">
      <c r="A174" s="93">
        <v>5905</v>
      </c>
      <c r="B174" s="96">
        <f t="shared" si="6"/>
        <v>6108.99</v>
      </c>
      <c r="C174" s="95">
        <v>399.52</v>
      </c>
    </row>
    <row r="175" spans="1:13" ht="15" hidden="1" x14ac:dyDescent="0.25">
      <c r="A175" s="93">
        <v>6109</v>
      </c>
      <c r="B175" s="96">
        <f t="shared" si="6"/>
        <v>6311.99</v>
      </c>
      <c r="C175" s="95">
        <v>430.49</v>
      </c>
    </row>
    <row r="176" spans="1:13" ht="15" hidden="1" x14ac:dyDescent="0.25">
      <c r="A176" s="93">
        <v>6312</v>
      </c>
      <c r="B176" s="96">
        <f t="shared" si="6"/>
        <v>6515.99</v>
      </c>
      <c r="C176" s="95">
        <v>462.46</v>
      </c>
    </row>
    <row r="177" spans="1:3" ht="15" hidden="1" x14ac:dyDescent="0.25">
      <c r="A177" s="93">
        <v>6516</v>
      </c>
      <c r="B177" s="96">
        <f t="shared" si="6"/>
        <v>6719.99</v>
      </c>
      <c r="C177" s="95">
        <v>495.43</v>
      </c>
    </row>
    <row r="178" spans="1:3" ht="15" hidden="1" x14ac:dyDescent="0.25">
      <c r="A178" s="93">
        <v>6720</v>
      </c>
      <c r="B178" s="96">
        <f t="shared" si="6"/>
        <v>6922.99</v>
      </c>
      <c r="C178" s="95">
        <v>529.36</v>
      </c>
    </row>
    <row r="179" spans="1:3" ht="15" hidden="1" x14ac:dyDescent="0.25">
      <c r="A179" s="93">
        <v>6923</v>
      </c>
      <c r="B179" s="96">
        <f t="shared" si="6"/>
        <v>7126.99</v>
      </c>
      <c r="C179" s="95">
        <v>564.23</v>
      </c>
    </row>
    <row r="180" spans="1:3" ht="15" hidden="1" x14ac:dyDescent="0.25">
      <c r="A180" s="93">
        <v>7127</v>
      </c>
      <c r="B180" s="96">
        <f t="shared" si="6"/>
        <v>7329.99</v>
      </c>
      <c r="C180" s="95">
        <v>600.04</v>
      </c>
    </row>
    <row r="181" spans="1:3" ht="15" hidden="1" x14ac:dyDescent="0.25">
      <c r="A181" s="93">
        <v>7330</v>
      </c>
      <c r="B181" s="96">
        <f t="shared" si="6"/>
        <v>7533.99</v>
      </c>
      <c r="C181" s="95">
        <v>636.75</v>
      </c>
    </row>
    <row r="182" spans="1:3" ht="15" hidden="1" x14ac:dyDescent="0.25">
      <c r="A182" s="93">
        <v>7534</v>
      </c>
      <c r="B182" s="96">
        <f t="shared" si="6"/>
        <v>7737.99</v>
      </c>
      <c r="C182" s="95">
        <v>674.35</v>
      </c>
    </row>
    <row r="183" spans="1:3" ht="15" hidden="1" x14ac:dyDescent="0.25">
      <c r="A183" s="93">
        <v>7738</v>
      </c>
      <c r="B183" s="96">
        <f t="shared" si="6"/>
        <v>7940.99</v>
      </c>
      <c r="C183" s="95">
        <v>712.8</v>
      </c>
    </row>
    <row r="184" spans="1:3" ht="15" hidden="1" x14ac:dyDescent="0.25">
      <c r="A184" s="93">
        <v>7941</v>
      </c>
      <c r="B184" s="96">
        <f t="shared" si="6"/>
        <v>8144.99</v>
      </c>
      <c r="C184" s="95">
        <v>752.1</v>
      </c>
    </row>
    <row r="185" spans="1:3" ht="15" hidden="1" x14ac:dyDescent="0.25">
      <c r="A185" s="93">
        <v>8145</v>
      </c>
      <c r="B185" s="96">
        <f t="shared" si="6"/>
        <v>8348.99</v>
      </c>
      <c r="C185" s="95">
        <v>792.22</v>
      </c>
    </row>
    <row r="186" spans="1:3" ht="15" hidden="1" x14ac:dyDescent="0.25">
      <c r="A186" s="93">
        <v>8349</v>
      </c>
      <c r="B186" s="96">
        <f t="shared" si="6"/>
        <v>8551.99</v>
      </c>
      <c r="C186" s="95">
        <v>833.12</v>
      </c>
    </row>
    <row r="187" spans="1:3" ht="15" hidden="1" x14ac:dyDescent="0.25">
      <c r="A187" s="93">
        <v>8552</v>
      </c>
      <c r="B187" s="96">
        <f t="shared" si="6"/>
        <v>8755.99</v>
      </c>
      <c r="C187" s="95">
        <v>874.79</v>
      </c>
    </row>
    <row r="188" spans="1:3" ht="15" hidden="1" x14ac:dyDescent="0.25">
      <c r="A188" s="93">
        <v>8756</v>
      </c>
      <c r="B188" s="96">
        <f t="shared" si="6"/>
        <v>8958.99</v>
      </c>
      <c r="C188" s="95">
        <v>917.21</v>
      </c>
    </row>
    <row r="189" spans="1:3" ht="15" hidden="1" x14ac:dyDescent="0.25">
      <c r="A189" s="93">
        <v>8959</v>
      </c>
      <c r="B189" s="96">
        <f t="shared" si="6"/>
        <v>9162.99</v>
      </c>
      <c r="C189" s="95">
        <v>960.34</v>
      </c>
    </row>
    <row r="190" spans="1:3" ht="15" hidden="1" x14ac:dyDescent="0.25">
      <c r="A190" s="93">
        <v>9163</v>
      </c>
      <c r="B190" s="96">
        <f t="shared" si="6"/>
        <v>9366.99</v>
      </c>
      <c r="C190" s="97">
        <v>1004.16</v>
      </c>
    </row>
    <row r="191" spans="1:3" ht="15" hidden="1" x14ac:dyDescent="0.25">
      <c r="A191" s="93">
        <v>9367</v>
      </c>
      <c r="B191" s="96">
        <f t="shared" si="6"/>
        <v>9569.99</v>
      </c>
      <c r="C191" s="97">
        <v>1048.6400000000001</v>
      </c>
    </row>
    <row r="192" spans="1:3" ht="15" hidden="1" x14ac:dyDescent="0.25">
      <c r="A192" s="93">
        <v>9570</v>
      </c>
      <c r="B192" s="96">
        <f t="shared" si="6"/>
        <v>9773.99</v>
      </c>
      <c r="C192" s="97">
        <v>1093.75</v>
      </c>
    </row>
    <row r="193" spans="1:3" ht="15" hidden="1" x14ac:dyDescent="0.25">
      <c r="A193" s="93">
        <v>9774</v>
      </c>
      <c r="B193" s="96">
        <f t="shared" ref="B193:B210" si="7">+A194-0.01</f>
        <v>9977.99</v>
      </c>
      <c r="C193" s="97">
        <v>1139.48</v>
      </c>
    </row>
    <row r="194" spans="1:3" ht="15" hidden="1" x14ac:dyDescent="0.25">
      <c r="A194" s="93">
        <v>9978</v>
      </c>
      <c r="B194" s="96">
        <f t="shared" si="7"/>
        <v>10180.99</v>
      </c>
      <c r="C194" s="97">
        <v>1185.78</v>
      </c>
    </row>
    <row r="195" spans="1:3" ht="15" hidden="1" x14ac:dyDescent="0.25">
      <c r="A195" s="93">
        <v>10181</v>
      </c>
      <c r="B195" s="96">
        <f t="shared" si="7"/>
        <v>10384.99</v>
      </c>
      <c r="C195" s="97">
        <v>1232.6199999999999</v>
      </c>
    </row>
    <row r="196" spans="1:3" ht="15" hidden="1" x14ac:dyDescent="0.25">
      <c r="A196" s="93">
        <v>10385</v>
      </c>
      <c r="B196" s="96">
        <f t="shared" si="7"/>
        <v>10587.99</v>
      </c>
      <c r="C196" s="97">
        <v>1279.99</v>
      </c>
    </row>
    <row r="197" spans="1:3" ht="15" hidden="1" x14ac:dyDescent="0.25">
      <c r="A197" s="93">
        <v>10588</v>
      </c>
      <c r="B197" s="96">
        <f t="shared" si="7"/>
        <v>10791.99</v>
      </c>
      <c r="C197" s="97">
        <v>1327.85</v>
      </c>
    </row>
    <row r="198" spans="1:3" ht="15" hidden="1" x14ac:dyDescent="0.25">
      <c r="A198" s="93">
        <v>10792</v>
      </c>
      <c r="B198" s="96">
        <f t="shared" si="7"/>
        <v>10995.99</v>
      </c>
      <c r="C198" s="97">
        <v>1376.16</v>
      </c>
    </row>
    <row r="199" spans="1:3" ht="15" hidden="1" x14ac:dyDescent="0.25">
      <c r="A199" s="93">
        <v>10996</v>
      </c>
      <c r="B199" s="96">
        <f t="shared" si="7"/>
        <v>11198.99</v>
      </c>
      <c r="C199" s="97">
        <v>1424.9</v>
      </c>
    </row>
    <row r="200" spans="1:3" ht="15" hidden="1" x14ac:dyDescent="0.25">
      <c r="A200" s="93">
        <v>11199</v>
      </c>
      <c r="B200" s="96">
        <f t="shared" si="7"/>
        <v>11402.99</v>
      </c>
      <c r="C200" s="97">
        <v>1474.04</v>
      </c>
    </row>
    <row r="201" spans="1:3" ht="15" hidden="1" x14ac:dyDescent="0.25">
      <c r="A201" s="93">
        <v>11403</v>
      </c>
      <c r="B201" s="96">
        <f t="shared" si="7"/>
        <v>11606.99</v>
      </c>
      <c r="C201" s="97">
        <v>1523.54</v>
      </c>
    </row>
    <row r="202" spans="1:3" ht="15" hidden="1" x14ac:dyDescent="0.25">
      <c r="A202" s="93">
        <v>11607</v>
      </c>
      <c r="B202" s="96">
        <f t="shared" si="7"/>
        <v>11809.99</v>
      </c>
      <c r="C202" s="97">
        <v>1573.37</v>
      </c>
    </row>
    <row r="203" spans="1:3" ht="15" hidden="1" x14ac:dyDescent="0.25">
      <c r="A203" s="93">
        <v>11810</v>
      </c>
      <c r="B203" s="96">
        <f t="shared" si="7"/>
        <v>12013.99</v>
      </c>
      <c r="C203" s="97">
        <v>1623.49</v>
      </c>
    </row>
    <row r="204" spans="1:3" ht="15" hidden="1" x14ac:dyDescent="0.25">
      <c r="A204" s="93">
        <v>12014</v>
      </c>
      <c r="B204" s="96">
        <f t="shared" si="7"/>
        <v>12216.99</v>
      </c>
      <c r="C204" s="97">
        <v>1673.89</v>
      </c>
    </row>
    <row r="205" spans="1:3" ht="15" hidden="1" x14ac:dyDescent="0.25">
      <c r="A205" s="93">
        <v>12217</v>
      </c>
      <c r="B205" s="96">
        <f t="shared" si="7"/>
        <v>12420.99</v>
      </c>
      <c r="C205" s="97">
        <v>1724.51</v>
      </c>
    </row>
    <row r="206" spans="1:3" ht="15" hidden="1" x14ac:dyDescent="0.25">
      <c r="A206" s="93">
        <v>12421</v>
      </c>
      <c r="B206" s="96">
        <f t="shared" si="7"/>
        <v>12624.99</v>
      </c>
      <c r="C206" s="97">
        <v>1775.33</v>
      </c>
    </row>
    <row r="207" spans="1:3" ht="15" hidden="1" x14ac:dyDescent="0.25">
      <c r="A207" s="93">
        <v>12625</v>
      </c>
      <c r="B207" s="96">
        <f t="shared" si="7"/>
        <v>12827.99</v>
      </c>
      <c r="C207" s="97">
        <v>1826.31</v>
      </c>
    </row>
    <row r="208" spans="1:3" ht="15" hidden="1" x14ac:dyDescent="0.25">
      <c r="A208" s="93">
        <v>12828</v>
      </c>
      <c r="B208" s="96">
        <f t="shared" si="7"/>
        <v>13031.99</v>
      </c>
      <c r="C208" s="97">
        <v>1877.42</v>
      </c>
    </row>
    <row r="209" spans="1:3" ht="15" hidden="1" x14ac:dyDescent="0.25">
      <c r="A209" s="93">
        <v>13032</v>
      </c>
      <c r="B209" s="96">
        <f t="shared" si="7"/>
        <v>13235.99</v>
      </c>
      <c r="C209" s="97">
        <v>1928.63</v>
      </c>
    </row>
    <row r="210" spans="1:3" ht="15" hidden="1" x14ac:dyDescent="0.25">
      <c r="A210" s="93">
        <v>13236</v>
      </c>
      <c r="B210" s="96">
        <f t="shared" si="7"/>
        <v>13438.99</v>
      </c>
      <c r="C210" s="97">
        <v>1979.89</v>
      </c>
    </row>
    <row r="211" spans="1:3" ht="15" hidden="1" x14ac:dyDescent="0.25">
      <c r="A211" s="93">
        <v>13439</v>
      </c>
      <c r="B211" s="96">
        <f>13643-0.01</f>
        <v>13642.99</v>
      </c>
      <c r="C211" s="97">
        <v>2031.18</v>
      </c>
    </row>
    <row r="212" spans="1:3" ht="25.5" hidden="1" x14ac:dyDescent="0.25">
      <c r="A212" s="95" t="s">
        <v>80</v>
      </c>
      <c r="B212" s="94"/>
      <c r="C212" s="95" t="s">
        <v>81</v>
      </c>
    </row>
    <row r="213" spans="1:3" hidden="1" x14ac:dyDescent="0.2"/>
  </sheetData>
  <sheetProtection algorithmName="SHA-512" hashValue="6SUKUOZongO11cllc+9fkHaNl6fA+Ay7KrOCqlk5gB0jhmYYENWp7MTYlbFM1vKowAYnrQIA7A6Jes//ly5XcQ==" saltValue="ecriXAlKL3p7EHGeHeRvfA==" spinCount="100000" sheet="1" objects="1" scenarios="1"/>
  <protectedRanges>
    <protectedRange sqref="O93" name="Rango1"/>
  </protectedRanges>
  <mergeCells count="46">
    <mergeCell ref="B26:D26"/>
    <mergeCell ref="B29:D29"/>
    <mergeCell ref="B31:D31"/>
    <mergeCell ref="B28:D28"/>
    <mergeCell ref="B23:D23"/>
    <mergeCell ref="B25:D25"/>
    <mergeCell ref="B27:D27"/>
    <mergeCell ref="L5:M5"/>
    <mergeCell ref="B4:D4"/>
    <mergeCell ref="B6:D6"/>
    <mergeCell ref="B12:D12"/>
    <mergeCell ref="L12:M12"/>
    <mergeCell ref="L1:M1"/>
    <mergeCell ref="C2:E2"/>
    <mergeCell ref="L2:M2"/>
    <mergeCell ref="C3:E3"/>
    <mergeCell ref="L3:M3"/>
    <mergeCell ref="B13:D13"/>
    <mergeCell ref="B14:D14"/>
    <mergeCell ref="L16:M16"/>
    <mergeCell ref="L7:M7"/>
    <mergeCell ref="B8:D8"/>
    <mergeCell ref="L8:M8"/>
    <mergeCell ref="B20:D20"/>
    <mergeCell ref="L24:O24"/>
    <mergeCell ref="B16:D16"/>
    <mergeCell ref="L18:M18"/>
    <mergeCell ref="B19:D19"/>
    <mergeCell ref="B17:D17"/>
    <mergeCell ref="B24:D24"/>
    <mergeCell ref="O98:AO98"/>
    <mergeCell ref="A21:E21"/>
    <mergeCell ref="R72:R73"/>
    <mergeCell ref="S72:T73"/>
    <mergeCell ref="L89:M89"/>
    <mergeCell ref="L90:M90"/>
    <mergeCell ref="A42:E42"/>
    <mergeCell ref="L67:N69"/>
    <mergeCell ref="Q67:R69"/>
    <mergeCell ref="U67:W69"/>
    <mergeCell ref="N27:O27"/>
    <mergeCell ref="A41:E41"/>
    <mergeCell ref="B33:D33"/>
    <mergeCell ref="B35:D35"/>
    <mergeCell ref="B37:D37"/>
    <mergeCell ref="B39:D39"/>
  </mergeCells>
  <hyperlinks>
    <hyperlink ref="B46" r:id="rId1" xr:uid="{00000000-0004-0000-0100-000000000000}"/>
  </hyperlinks>
  <pageMargins left="0.51181102362204722" right="0.51181102362204722" top="0.35433070866141736" bottom="0.35433070866141736" header="0.31496062992125984" footer="0.31496062992125984"/>
  <pageSetup orientation="portrait" verticalDpi="4294967293" r:id="rId2"/>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H54"/>
  <sheetViews>
    <sheetView showGridLines="0" view="pageBreakPreview" zoomScale="110" zoomScaleNormal="100" zoomScaleSheetLayoutView="110" workbookViewId="0">
      <selection activeCell="A3" sqref="A3:F3"/>
    </sheetView>
  </sheetViews>
  <sheetFormatPr baseColWidth="10" defaultRowHeight="12.75" x14ac:dyDescent="0.2"/>
  <cols>
    <col min="1" max="1" width="5.28515625" customWidth="1"/>
    <col min="2" max="2" width="9.140625" customWidth="1"/>
    <col min="3" max="3" width="47.140625" customWidth="1"/>
    <col min="4" max="4" width="21.140625" customWidth="1"/>
    <col min="5" max="5" width="5.28515625" customWidth="1"/>
    <col min="6" max="6" width="19.7109375" customWidth="1"/>
    <col min="7" max="7" width="0.42578125" customWidth="1"/>
    <col min="8" max="8" width="13.28515625" hidden="1" customWidth="1"/>
  </cols>
  <sheetData>
    <row r="1" spans="1:7" ht="24.75" customHeight="1" x14ac:dyDescent="0.2">
      <c r="A1" s="2454" t="s">
        <v>498</v>
      </c>
      <c r="B1" s="2455"/>
      <c r="C1" s="2455"/>
      <c r="D1" s="2455"/>
      <c r="E1" s="2455"/>
      <c r="F1" s="2456"/>
    </row>
    <row r="2" spans="1:7" ht="22.5" customHeight="1" thickBot="1" x14ac:dyDescent="0.25">
      <c r="A2" s="2457" t="s">
        <v>491</v>
      </c>
      <c r="B2" s="2458"/>
      <c r="C2" s="1077" t="str">
        <f>+'DATOS PARA DEPURAR'!C7</f>
        <v>RIOJAS QUINTERO MAIRA ALEJANDRA</v>
      </c>
      <c r="D2" s="1078" t="s">
        <v>347</v>
      </c>
      <c r="E2" s="2459">
        <f>+'DATOS PARA DEPURAR'!E7</f>
        <v>1065263869</v>
      </c>
      <c r="F2" s="2460"/>
    </row>
    <row r="3" spans="1:7" x14ac:dyDescent="0.2">
      <c r="A3" s="2461" t="s">
        <v>1013</v>
      </c>
      <c r="B3" s="2462"/>
      <c r="C3" s="2462"/>
      <c r="D3" s="2462"/>
      <c r="E3" s="2462"/>
      <c r="F3" s="2463"/>
    </row>
    <row r="4" spans="1:7" ht="17.25" customHeight="1" x14ac:dyDescent="0.25">
      <c r="A4" s="2429" t="s">
        <v>508</v>
      </c>
      <c r="B4" s="2464" t="s">
        <v>502</v>
      </c>
      <c r="C4" s="2464"/>
      <c r="D4" s="2464"/>
      <c r="E4" s="680">
        <v>58</v>
      </c>
      <c r="F4" s="759">
        <f>IF(SUM(D5:D7)&gt;0,SUM(D5:D7),0)</f>
        <v>69080000</v>
      </c>
    </row>
    <row r="5" spans="1:7" ht="13.5" customHeight="1" x14ac:dyDescent="0.2">
      <c r="A5" s="2429"/>
      <c r="C5" s="1123" t="s">
        <v>130</v>
      </c>
      <c r="D5" s="642">
        <f>+'DATOS PARA DEPURAR'!E84</f>
        <v>69080000</v>
      </c>
      <c r="E5" s="2468"/>
      <c r="F5" s="2435"/>
    </row>
    <row r="6" spans="1:7" ht="13.5" customHeight="1" x14ac:dyDescent="0.2">
      <c r="A6" s="2429"/>
      <c r="C6" s="1123" t="s">
        <v>389</v>
      </c>
      <c r="D6" s="642">
        <f>+'DATOS PARA DEPURAR'!E88</f>
        <v>0</v>
      </c>
      <c r="E6" s="2468"/>
      <c r="F6" s="2435"/>
    </row>
    <row r="7" spans="1:7" ht="13.5" customHeight="1" x14ac:dyDescent="0.2">
      <c r="A7" s="2429"/>
      <c r="C7" s="1123" t="s">
        <v>503</v>
      </c>
      <c r="D7" s="642">
        <f>+'DATOS PARA DEPURAR'!E95</f>
        <v>0</v>
      </c>
      <c r="E7" s="2468"/>
      <c r="F7" s="2435"/>
    </row>
    <row r="8" spans="1:7" ht="14.25" customHeight="1" x14ac:dyDescent="0.25">
      <c r="A8" s="2429"/>
      <c r="B8" s="758" t="s">
        <v>474</v>
      </c>
      <c r="C8" s="758"/>
      <c r="D8" s="758"/>
      <c r="E8" s="680">
        <v>59</v>
      </c>
      <c r="F8" s="759">
        <f>IF(SUM(D9:D11)&gt;0,SUM(D9:D11),0)</f>
        <v>46083267.999999993</v>
      </c>
    </row>
    <row r="9" spans="1:7" ht="14.25" customHeight="1" x14ac:dyDescent="0.25">
      <c r="A9" s="2429"/>
      <c r="B9" s="511"/>
      <c r="C9" s="1132" t="s">
        <v>975</v>
      </c>
      <c r="D9" s="921">
        <f>+'DATOS PARA DEPURAR'!$E$133</f>
        <v>46083267.999999993</v>
      </c>
      <c r="E9" s="181"/>
      <c r="F9" s="47"/>
    </row>
    <row r="10" spans="1:7" ht="14.25" customHeight="1" x14ac:dyDescent="0.2">
      <c r="A10" s="2429"/>
      <c r="B10" s="2465"/>
      <c r="C10" s="1132" t="s">
        <v>972</v>
      </c>
      <c r="D10" s="639">
        <f>+'DATOS PARA DEPURAR'!C119</f>
        <v>0</v>
      </c>
      <c r="E10" s="2432"/>
      <c r="F10" s="2433"/>
    </row>
    <row r="11" spans="1:7" ht="14.25" customHeight="1" x14ac:dyDescent="0.2">
      <c r="A11" s="2429"/>
      <c r="B11" s="2465"/>
      <c r="C11" s="1132" t="s">
        <v>973</v>
      </c>
      <c r="D11" s="639">
        <f>+'DATOS PARA DEPURAR'!C122</f>
        <v>0</v>
      </c>
      <c r="E11" s="2432"/>
      <c r="F11" s="2433"/>
    </row>
    <row r="12" spans="1:7" ht="14.25" customHeight="1" x14ac:dyDescent="0.25">
      <c r="A12" s="2429"/>
      <c r="B12" s="611"/>
      <c r="C12" s="1132" t="s">
        <v>974</v>
      </c>
      <c r="D12" s="673">
        <f>MIN(G13:G15)</f>
        <v>0</v>
      </c>
      <c r="E12" s="622"/>
      <c r="F12" s="629"/>
    </row>
    <row r="13" spans="1:7" ht="16.5" customHeight="1" x14ac:dyDescent="0.25">
      <c r="A13" s="2429"/>
      <c r="B13" s="758" t="s">
        <v>506</v>
      </c>
      <c r="C13" s="758"/>
      <c r="D13" s="758"/>
      <c r="E13" s="680">
        <v>60</v>
      </c>
      <c r="F13" s="759">
        <f>IF(SUM(D15:D29)&gt;0,SUM(D15:D29),0)</f>
        <v>1</v>
      </c>
      <c r="G13">
        <f>+'DATOS PARA DEPURAR'!C125</f>
        <v>0</v>
      </c>
    </row>
    <row r="14" spans="1:7" ht="17.25" customHeight="1" x14ac:dyDescent="0.25">
      <c r="A14" s="2429"/>
      <c r="C14" s="511" t="s">
        <v>185</v>
      </c>
      <c r="D14" s="646"/>
      <c r="E14" s="2448" t="s">
        <v>530</v>
      </c>
      <c r="F14" s="2435"/>
      <c r="G14" s="591">
        <f>F4*25%</f>
        <v>17270000</v>
      </c>
    </row>
    <row r="15" spans="1:7" ht="19.5" customHeight="1" thickBot="1" x14ac:dyDescent="0.25">
      <c r="A15" s="2429"/>
      <c r="C15" s="1074" t="s">
        <v>507</v>
      </c>
      <c r="D15" s="647">
        <f>+'DATOS PARA DEPURAR'!E189</f>
        <v>0</v>
      </c>
      <c r="E15" s="2448"/>
      <c r="F15" s="2435"/>
      <c r="G15">
        <f>2500*'DATOS PARA DEPURAR'!C24</f>
        <v>106030000</v>
      </c>
    </row>
    <row r="16" spans="1:7" ht="16.5" customHeight="1" x14ac:dyDescent="0.2">
      <c r="A16" s="2429"/>
      <c r="C16" s="946" t="s">
        <v>515</v>
      </c>
      <c r="D16" s="932"/>
      <c r="E16" s="2448"/>
      <c r="F16" s="2435"/>
    </row>
    <row r="17" spans="1:6" ht="17.25" customHeight="1" x14ac:dyDescent="0.2">
      <c r="A17" s="2429"/>
      <c r="C17" s="910" t="s">
        <v>811</v>
      </c>
      <c r="D17" s="642">
        <f>+'DATOS PARA DEPURAR'!C228</f>
        <v>0</v>
      </c>
      <c r="E17" s="2448"/>
      <c r="F17" s="2435"/>
    </row>
    <row r="18" spans="1:6" ht="22.5" customHeight="1" x14ac:dyDescent="0.2">
      <c r="A18" s="2429"/>
      <c r="C18" s="910" t="s">
        <v>549</v>
      </c>
      <c r="D18" s="642">
        <f>IF('DATOS PARA DEPURAR'!C243&gt;0,'DATOS PARA DEPURAR'!E243,0)</f>
        <v>0</v>
      </c>
      <c r="E18" s="2448"/>
      <c r="F18" s="2435"/>
    </row>
    <row r="19" spans="1:6" ht="22.5" customHeight="1" x14ac:dyDescent="0.2">
      <c r="A19" s="2429"/>
      <c r="C19" s="910" t="s">
        <v>518</v>
      </c>
      <c r="D19" s="642">
        <f>+'DATOS PARA DEPURAR'!C227</f>
        <v>1</v>
      </c>
      <c r="E19" s="2448"/>
      <c r="F19" s="2435"/>
    </row>
    <row r="20" spans="1:6" ht="12.75" customHeight="1" x14ac:dyDescent="0.2">
      <c r="A20" s="2429"/>
      <c r="C20" s="911" t="s">
        <v>522</v>
      </c>
      <c r="D20" s="642">
        <f>+'DATOS PARA DEPURAR'!C229</f>
        <v>0</v>
      </c>
      <c r="E20" s="2448"/>
      <c r="F20" s="2435"/>
    </row>
    <row r="21" spans="1:6" ht="12.75" customHeight="1" x14ac:dyDescent="0.25">
      <c r="A21" s="2429"/>
      <c r="B21" s="511"/>
      <c r="C21" s="947" t="s">
        <v>521</v>
      </c>
      <c r="D21" s="642">
        <f>+'DATOS PARA DEPURAR'!C230</f>
        <v>0</v>
      </c>
      <c r="E21" s="2448"/>
      <c r="F21" s="2435"/>
    </row>
    <row r="22" spans="1:6" ht="12.75" customHeight="1" x14ac:dyDescent="0.25">
      <c r="A22" s="2429"/>
      <c r="B22" s="511"/>
      <c r="C22" s="947" t="s">
        <v>939</v>
      </c>
      <c r="D22" s="642">
        <f>+'DATOS PARA DEPURAR'!C231</f>
        <v>0</v>
      </c>
      <c r="E22" s="2448"/>
      <c r="F22" s="2435"/>
    </row>
    <row r="23" spans="1:6" ht="12.75" customHeight="1" x14ac:dyDescent="0.25">
      <c r="A23" s="2429"/>
      <c r="B23" s="511"/>
      <c r="C23" s="947" t="s">
        <v>940</v>
      </c>
      <c r="D23" s="642">
        <f>+'DATOS PARA DEPURAR'!C232</f>
        <v>0</v>
      </c>
      <c r="E23" s="2448"/>
      <c r="F23" s="2435"/>
    </row>
    <row r="24" spans="1:6" ht="12.75" customHeight="1" x14ac:dyDescent="0.25">
      <c r="A24" s="2429"/>
      <c r="B24" s="511"/>
      <c r="C24" s="947" t="s">
        <v>942</v>
      </c>
      <c r="D24" s="642">
        <f>+'DATOS PARA DEPURAR'!C233</f>
        <v>0</v>
      </c>
      <c r="E24" s="2448"/>
      <c r="F24" s="2435"/>
    </row>
    <row r="25" spans="1:6" ht="12.75" customHeight="1" x14ac:dyDescent="0.25">
      <c r="A25" s="2429"/>
      <c r="B25" s="511"/>
      <c r="C25" s="947" t="s">
        <v>941</v>
      </c>
      <c r="D25" s="642">
        <f>+'DATOS PARA DEPURAR'!C234</f>
        <v>0</v>
      </c>
      <c r="E25" s="2448"/>
      <c r="F25" s="2435"/>
    </row>
    <row r="26" spans="1:6" ht="12.75" customHeight="1" x14ac:dyDescent="0.25">
      <c r="A26" s="2429"/>
      <c r="B26" s="511"/>
      <c r="C26" s="947" t="s">
        <v>473</v>
      </c>
      <c r="D26" s="642">
        <f>+'DATOS PARA DEPURAR'!C235</f>
        <v>0</v>
      </c>
      <c r="E26" s="2448"/>
      <c r="F26" s="2435"/>
    </row>
    <row r="27" spans="1:6" ht="12.75" customHeight="1" x14ac:dyDescent="0.2">
      <c r="A27" s="2429"/>
      <c r="C27" s="911" t="s">
        <v>523</v>
      </c>
      <c r="D27" s="642">
        <f>+'DATOS PARA DEPURAR'!C236</f>
        <v>0</v>
      </c>
      <c r="E27" s="2448"/>
      <c r="F27" s="2435"/>
    </row>
    <row r="28" spans="1:6" ht="12.75" customHeight="1" x14ac:dyDescent="0.2">
      <c r="A28" s="2429"/>
      <c r="C28" s="911" t="s">
        <v>938</v>
      </c>
      <c r="D28" s="642">
        <f>+'DATOS PARA DEPURAR'!C237</f>
        <v>0</v>
      </c>
      <c r="E28" s="2448"/>
      <c r="F28" s="2435"/>
    </row>
    <row r="29" spans="1:6" ht="12.75" customHeight="1" x14ac:dyDescent="0.2">
      <c r="A29" s="2429"/>
      <c r="C29" s="911" t="s">
        <v>424</v>
      </c>
      <c r="D29" s="642">
        <f>+'DATOS PARA DEPURAR'!C238</f>
        <v>0</v>
      </c>
      <c r="E29" s="2448"/>
      <c r="F29" s="2435"/>
    </row>
    <row r="30" spans="1:6" ht="17.25" customHeight="1" x14ac:dyDescent="0.25">
      <c r="A30" s="2429"/>
      <c r="B30" s="758" t="s">
        <v>743</v>
      </c>
      <c r="C30" s="758"/>
      <c r="D30" s="758"/>
      <c r="E30" s="680">
        <v>61</v>
      </c>
      <c r="F30" s="759">
        <f>IF((F4-F8-F13)&gt;0,F4-F8-F13,0)</f>
        <v>22996731.000000007</v>
      </c>
    </row>
    <row r="31" spans="1:6" ht="17.25" customHeight="1" x14ac:dyDescent="0.25">
      <c r="A31" s="2429"/>
      <c r="B31" s="511"/>
      <c r="C31" s="511"/>
      <c r="D31" s="511"/>
      <c r="E31" s="1075"/>
      <c r="F31" s="630"/>
    </row>
    <row r="32" spans="1:6" ht="17.25" customHeight="1" x14ac:dyDescent="0.25">
      <c r="A32" s="2429"/>
      <c r="B32" s="758" t="s">
        <v>524</v>
      </c>
      <c r="C32" s="758"/>
      <c r="D32" s="758"/>
      <c r="E32" s="680">
        <v>62</v>
      </c>
      <c r="F32" s="759">
        <v>0</v>
      </c>
    </row>
    <row r="33" spans="1:8" ht="17.25" customHeight="1" x14ac:dyDescent="0.25">
      <c r="A33" s="2429"/>
      <c r="B33" s="511"/>
      <c r="C33" s="511"/>
      <c r="D33" s="511"/>
      <c r="E33" s="1075"/>
      <c r="F33" s="630"/>
    </row>
    <row r="34" spans="1:8" ht="15.75" customHeight="1" x14ac:dyDescent="0.25">
      <c r="A34" s="2429"/>
      <c r="B34" s="2364" t="s">
        <v>476</v>
      </c>
      <c r="C34" s="2364"/>
      <c r="D34" s="2364"/>
      <c r="E34" s="680"/>
      <c r="F34" s="760">
        <f>IF((F30&gt;0),(D35+D40),0)</f>
        <v>0</v>
      </c>
    </row>
    <row r="35" spans="1:8" ht="18" customHeight="1" x14ac:dyDescent="0.25">
      <c r="A35" s="2429"/>
      <c r="C35" s="922" t="s">
        <v>477</v>
      </c>
      <c r="D35" s="642">
        <f>SUM(D36:D39)</f>
        <v>0</v>
      </c>
      <c r="E35" s="2453" t="s">
        <v>531</v>
      </c>
      <c r="F35" s="2435"/>
    </row>
    <row r="36" spans="1:8" ht="19.5" customHeight="1" x14ac:dyDescent="0.2">
      <c r="A36" s="2429"/>
      <c r="B36" s="2467"/>
      <c r="C36" s="1133" t="s">
        <v>976</v>
      </c>
      <c r="D36" s="642">
        <f>IF('DATOS PARA DEPURAR'!C246&lt;=1200*'DATOS PARA DEPURAR'!C24,'DATOS PARA DEPURAR'!C246,1200*'DATOS PARA DEPURAR'!C24)</f>
        <v>0</v>
      </c>
      <c r="E36" s="2453"/>
      <c r="F36" s="2435"/>
      <c r="H36" s="927" t="s">
        <v>788</v>
      </c>
    </row>
    <row r="37" spans="1:8" ht="13.5" customHeight="1" x14ac:dyDescent="0.2">
      <c r="A37" s="2429"/>
      <c r="B37" s="2467"/>
      <c r="C37" s="1133" t="s">
        <v>505</v>
      </c>
      <c r="D37" s="642">
        <f>MIN(H37:H38)</f>
        <v>0</v>
      </c>
      <c r="E37" s="2453"/>
      <c r="F37" s="2435"/>
      <c r="H37" s="1">
        <f>+'DATOS PARA DEPURAR'!C253</f>
        <v>0</v>
      </c>
    </row>
    <row r="38" spans="1:8" ht="24.75" customHeight="1" x14ac:dyDescent="0.2">
      <c r="A38" s="2429"/>
      <c r="B38" s="1076" t="s">
        <v>943</v>
      </c>
      <c r="C38" s="897" t="s">
        <v>944</v>
      </c>
      <c r="D38" s="925">
        <f>+'DATOS PARA DEPURAR'!C255</f>
        <v>0</v>
      </c>
      <c r="E38" s="2453"/>
      <c r="F38" s="2435"/>
      <c r="H38">
        <f>2500*'DATOS PARA DEPURAR'!C24</f>
        <v>106030000</v>
      </c>
    </row>
    <row r="39" spans="1:8" ht="13.5" customHeight="1" x14ac:dyDescent="0.2">
      <c r="A39" s="2429"/>
      <c r="B39" s="507" t="s">
        <v>483</v>
      </c>
      <c r="C39" s="920" t="s">
        <v>184</v>
      </c>
      <c r="D39" s="642">
        <f>IF('DATOS PARA DEPURAR'!C250&gt;0,'DATOS PARA DEPURAR'!C250*0.5,0)</f>
        <v>0</v>
      </c>
      <c r="E39" s="2453"/>
      <c r="F39" s="2435"/>
    </row>
    <row r="40" spans="1:8" ht="16.5" customHeight="1" x14ac:dyDescent="0.25">
      <c r="A40" s="2429"/>
      <c r="C40" s="922" t="s">
        <v>529</v>
      </c>
      <c r="D40" s="638">
        <f>MIN(D43:D45)</f>
        <v>0</v>
      </c>
      <c r="E40" s="2453"/>
      <c r="F40" s="2435"/>
    </row>
    <row r="41" spans="1:8" x14ac:dyDescent="0.2">
      <c r="A41" s="2429"/>
      <c r="B41" s="507" t="s">
        <v>484</v>
      </c>
      <c r="C41" s="947" t="s">
        <v>977</v>
      </c>
      <c r="D41" s="642">
        <f>IF(F4&gt;0,'DATOS PARA DEPURAR'!C289,0)</f>
        <v>0</v>
      </c>
      <c r="E41" s="2453"/>
      <c r="F41" s="2435"/>
    </row>
    <row r="42" spans="1:8" x14ac:dyDescent="0.2">
      <c r="A42" s="2429"/>
      <c r="B42" s="507" t="s">
        <v>485</v>
      </c>
      <c r="C42" s="905" t="s">
        <v>765</v>
      </c>
      <c r="D42" s="642">
        <f>IF(F4&gt;0,'DATOS PARA DEPURAR'!C292,0)</f>
        <v>0</v>
      </c>
      <c r="E42" s="2453"/>
      <c r="F42" s="2435"/>
    </row>
    <row r="43" spans="1:8" x14ac:dyDescent="0.2">
      <c r="A43" s="2429"/>
      <c r="B43" s="507"/>
      <c r="C43" s="906" t="s">
        <v>764</v>
      </c>
      <c r="D43" s="924">
        <f>SUM(D41:D42)</f>
        <v>0</v>
      </c>
      <c r="E43" s="2453"/>
      <c r="F43" s="2435"/>
    </row>
    <row r="44" spans="1:8" x14ac:dyDescent="0.2">
      <c r="A44" s="2429"/>
      <c r="B44" s="2469" t="s">
        <v>20</v>
      </c>
      <c r="C44" s="908" t="s">
        <v>772</v>
      </c>
      <c r="D44" s="644">
        <f>IF(D43&gt;0,(F4*30%),0)</f>
        <v>0</v>
      </c>
      <c r="E44" s="2453"/>
      <c r="F44" s="2435"/>
    </row>
    <row r="45" spans="1:8" ht="14.25" customHeight="1" x14ac:dyDescent="0.2">
      <c r="A45" s="2429"/>
      <c r="B45" s="2469"/>
      <c r="C45" s="908" t="s">
        <v>628</v>
      </c>
      <c r="D45" s="644">
        <f>IF(D43&gt;0,(3800*'DATOS PARA DEPURAR'!C24),0)</f>
        <v>0</v>
      </c>
      <c r="E45" s="2453"/>
      <c r="F45" s="2435"/>
    </row>
    <row r="46" spans="1:8" ht="21" customHeight="1" x14ac:dyDescent="0.2">
      <c r="A46" s="2429"/>
      <c r="B46" s="2442" t="s">
        <v>488</v>
      </c>
      <c r="C46" s="2442"/>
      <c r="D46" s="2442"/>
      <c r="E46" s="761">
        <v>69</v>
      </c>
      <c r="F46" s="760">
        <f>MIN(D47,D48,D49)</f>
        <v>0</v>
      </c>
    </row>
    <row r="47" spans="1:8" ht="17.25" customHeight="1" x14ac:dyDescent="0.2">
      <c r="A47" s="2429"/>
      <c r="B47" s="510"/>
      <c r="C47" s="1099" t="s">
        <v>493</v>
      </c>
      <c r="D47" s="770">
        <f>+F34</f>
        <v>0</v>
      </c>
      <c r="E47" s="2451"/>
      <c r="F47" s="2452"/>
    </row>
    <row r="48" spans="1:8" ht="15.75" customHeight="1" x14ac:dyDescent="0.2">
      <c r="A48" s="2429"/>
      <c r="B48" s="510"/>
      <c r="C48" s="1099" t="s">
        <v>955</v>
      </c>
      <c r="D48" s="1103">
        <f>IF((F4-F8-F13)&gt;0,(F30)*40%,0)</f>
        <v>9198692.4000000041</v>
      </c>
      <c r="E48" s="2451"/>
      <c r="F48" s="2452"/>
    </row>
    <row r="49" spans="1:6" ht="15.75" customHeight="1" x14ac:dyDescent="0.2">
      <c r="A49" s="2429"/>
      <c r="B49" s="510"/>
      <c r="C49" s="1097" t="s">
        <v>958</v>
      </c>
      <c r="D49" s="936">
        <f>IF((F30)&gt;0,1340*'DATOS PARA DEPURAR'!C24,0)</f>
        <v>56832080</v>
      </c>
      <c r="E49" s="2451"/>
      <c r="F49" s="2452"/>
    </row>
    <row r="50" spans="1:6" ht="15" customHeight="1" x14ac:dyDescent="0.2">
      <c r="A50" s="2429"/>
      <c r="B50" s="2442" t="s">
        <v>745</v>
      </c>
      <c r="C50" s="2442"/>
      <c r="D50" s="2442"/>
      <c r="E50" s="680">
        <v>70</v>
      </c>
      <c r="F50" s="762">
        <f>IF((F4+F32-F8-F13-F46)&gt;0,(F4+F32-F8-F13-F46),0)</f>
        <v>22996731.000000007</v>
      </c>
    </row>
    <row r="51" spans="1:6" ht="15" customHeight="1" x14ac:dyDescent="0.2">
      <c r="A51" s="2429"/>
      <c r="B51" s="2442" t="s">
        <v>746</v>
      </c>
      <c r="C51" s="2442"/>
      <c r="D51" s="2442"/>
      <c r="E51" s="680">
        <v>71</v>
      </c>
      <c r="F51" s="763">
        <f>IF((F8+F13+F46-F32-F4)&gt;0,F8+F13+F46-F32-F4,0)</f>
        <v>0</v>
      </c>
    </row>
    <row r="52" spans="1:6" ht="15" customHeight="1" x14ac:dyDescent="0.2">
      <c r="A52" s="2429"/>
      <c r="B52" s="2444" t="s">
        <v>686</v>
      </c>
      <c r="C52" s="2444"/>
      <c r="D52" s="2444"/>
      <c r="E52" s="680">
        <v>72</v>
      </c>
      <c r="F52" s="763">
        <f>+'DATOS PARA DEPURAR'!E320</f>
        <v>0</v>
      </c>
    </row>
    <row r="53" spans="1:6" ht="16.5" customHeight="1" thickBot="1" x14ac:dyDescent="0.3">
      <c r="A53" s="2430"/>
      <c r="B53" s="2466" t="s">
        <v>744</v>
      </c>
      <c r="C53" s="2466"/>
      <c r="D53" s="2466"/>
      <c r="E53" s="769">
        <v>73</v>
      </c>
      <c r="F53" s="765">
        <f>IF((F50-F52)&gt;0,F50-F52,0)</f>
        <v>22996731.000000007</v>
      </c>
    </row>
    <row r="54" spans="1:6" ht="16.5" customHeight="1" x14ac:dyDescent="0.2"/>
  </sheetData>
  <sheetProtection algorithmName="SHA-512" hashValue="jLk/7Jm89u74zoogRCyhA3faD2F3X1agBhSiL/or2Qm7kE6pcioTU2zFDC/W7cGo3naFfgq6zC4HDk4K36THVw==" saltValue="Nq/ySkGTxspApm+Nw5a60w==" spinCount="100000" sheet="1" objects="1" scenarios="1"/>
  <mergeCells count="22">
    <mergeCell ref="B52:D52"/>
    <mergeCell ref="E47:F49"/>
    <mergeCell ref="A1:F1"/>
    <mergeCell ref="A2:B2"/>
    <mergeCell ref="E2:F2"/>
    <mergeCell ref="A3:F3"/>
    <mergeCell ref="A4:A53"/>
    <mergeCell ref="B4:D4"/>
    <mergeCell ref="B10:B11"/>
    <mergeCell ref="B53:D53"/>
    <mergeCell ref="E10:F11"/>
    <mergeCell ref="B34:D34"/>
    <mergeCell ref="B36:B37"/>
    <mergeCell ref="E5:F7"/>
    <mergeCell ref="B44:B45"/>
    <mergeCell ref="B50:D50"/>
    <mergeCell ref="B51:D51"/>
    <mergeCell ref="B46:D46"/>
    <mergeCell ref="E14:E29"/>
    <mergeCell ref="F14:F29"/>
    <mergeCell ref="E35:E45"/>
    <mergeCell ref="F35:F45"/>
  </mergeCells>
  <hyperlinks>
    <hyperlink ref="A3" r:id="rId1" xr:uid="{DE483DE2-A08F-4E06-B0B1-C42DDF7AB9ED}"/>
  </hyperlinks>
  <printOptions horizontalCentered="1"/>
  <pageMargins left="0.11811023622047245" right="0.11811023622047245" top="0.15748031496062992" bottom="0.15748031496062992" header="0.31496062992125984" footer="0.31496062992125984"/>
  <pageSetup scale="85" orientation="portrait"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A1:F15"/>
  <sheetViews>
    <sheetView view="pageBreakPreview" zoomScale="85" zoomScaleNormal="100" zoomScaleSheetLayoutView="85" workbookViewId="0">
      <selection activeCell="A3" sqref="A3:F3"/>
    </sheetView>
  </sheetViews>
  <sheetFormatPr baseColWidth="10" defaultRowHeight="12.75" x14ac:dyDescent="0.2"/>
  <cols>
    <col min="1" max="1" width="5.28515625" customWidth="1"/>
    <col min="2" max="2" width="9.140625" customWidth="1"/>
    <col min="3" max="3" width="42.5703125" customWidth="1"/>
    <col min="4" max="4" width="23.42578125" customWidth="1"/>
    <col min="5" max="5" width="5.28515625" customWidth="1"/>
    <col min="6" max="6" width="19.7109375" customWidth="1"/>
    <col min="7" max="7" width="23.28515625" customWidth="1"/>
  </cols>
  <sheetData>
    <row r="1" spans="1:6" ht="23.25" customHeight="1" x14ac:dyDescent="0.2">
      <c r="A1" s="2470" t="s">
        <v>603</v>
      </c>
      <c r="B1" s="2471"/>
      <c r="C1" s="2471"/>
      <c r="D1" s="2471"/>
      <c r="E1" s="2471"/>
      <c r="F1" s="2472"/>
    </row>
    <row r="2" spans="1:6" ht="23.25" customHeight="1" x14ac:dyDescent="0.2">
      <c r="A2" s="2473" t="s">
        <v>491</v>
      </c>
      <c r="B2" s="2473"/>
      <c r="C2" s="593" t="str">
        <f>+'DATOS PARA DEPURAR'!C7</f>
        <v>RIOJAS QUINTERO MAIRA ALEJANDRA</v>
      </c>
      <c r="D2" s="649" t="s">
        <v>347</v>
      </c>
      <c r="E2" s="2449">
        <f>+'DATOS PARA DEPURAR'!E7</f>
        <v>1065263869</v>
      </c>
      <c r="F2" s="2474"/>
    </row>
    <row r="3" spans="1:6" ht="13.5" thickBot="1" x14ac:dyDescent="0.25">
      <c r="A3" s="2475" t="s">
        <v>1014</v>
      </c>
      <c r="B3" s="2379"/>
      <c r="C3" s="2379"/>
      <c r="D3" s="2379"/>
      <c r="E3" s="2379"/>
      <c r="F3" s="2379"/>
    </row>
    <row r="4" spans="1:6" ht="37.5" customHeight="1" x14ac:dyDescent="0.25">
      <c r="A4" s="2476" t="s">
        <v>602</v>
      </c>
      <c r="B4" s="2384" t="s">
        <v>574</v>
      </c>
      <c r="C4" s="2384"/>
      <c r="D4" s="2384"/>
      <c r="E4" s="755">
        <v>104</v>
      </c>
      <c r="F4" s="756">
        <f>IF(SUM(D5:D6)&gt;0,SUM(D5:D6),0)</f>
        <v>100000000</v>
      </c>
    </row>
    <row r="5" spans="1:6" ht="33" customHeight="1" x14ac:dyDescent="0.2">
      <c r="A5" s="2477"/>
      <c r="B5" s="2406"/>
      <c r="C5" s="1141" t="s">
        <v>604</v>
      </c>
      <c r="D5" s="642">
        <f>+'DATOS PARA DEPURAR'!B82</f>
        <v>100000000</v>
      </c>
      <c r="E5" s="2396"/>
      <c r="F5" s="2397"/>
    </row>
    <row r="6" spans="1:6" ht="26.25" customHeight="1" thickBot="1" x14ac:dyDescent="0.25">
      <c r="A6" s="2477"/>
      <c r="B6" s="2406"/>
      <c r="C6" s="956"/>
      <c r="D6" s="643"/>
      <c r="E6" s="2396"/>
      <c r="F6" s="2397"/>
    </row>
    <row r="7" spans="1:6" ht="17.25" customHeight="1" x14ac:dyDescent="0.25">
      <c r="A7" s="2477"/>
      <c r="B7" s="758" t="s">
        <v>474</v>
      </c>
      <c r="C7" s="758"/>
      <c r="D7" s="758"/>
      <c r="E7" s="680">
        <v>105</v>
      </c>
      <c r="F7" s="759">
        <f>IF(SUM(D8:D9)&gt;0,SUM(D8:D9),0)</f>
        <v>0</v>
      </c>
    </row>
    <row r="8" spans="1:6" ht="27" customHeight="1" x14ac:dyDescent="0.2">
      <c r="A8" s="2477"/>
      <c r="B8" s="2479"/>
      <c r="C8" s="1139" t="s">
        <v>605</v>
      </c>
      <c r="D8" s="519">
        <f>+'DATOS PARA DEPURAR'!B135</f>
        <v>0</v>
      </c>
      <c r="E8" s="2403"/>
      <c r="F8" s="2369"/>
    </row>
    <row r="9" spans="1:6" ht="17.25" customHeight="1" x14ac:dyDescent="0.2">
      <c r="A9" s="2477"/>
      <c r="B9" s="2479"/>
      <c r="C9" s="1140"/>
      <c r="D9" s="518"/>
      <c r="E9" s="2403"/>
      <c r="F9" s="2369"/>
    </row>
    <row r="10" spans="1:6" ht="29.25" customHeight="1" x14ac:dyDescent="0.25">
      <c r="A10" s="2477"/>
      <c r="B10" s="758" t="s">
        <v>874</v>
      </c>
      <c r="C10" s="758"/>
      <c r="D10" s="758"/>
      <c r="E10" s="680">
        <v>106</v>
      </c>
      <c r="F10" s="759">
        <f>IF((F4-F7)&gt;0,F4-F7,0)</f>
        <v>100000000</v>
      </c>
    </row>
    <row r="11" spans="1:6" ht="29.25" customHeight="1" x14ac:dyDescent="0.2">
      <c r="A11" s="2477"/>
      <c r="B11" s="2480" t="s">
        <v>576</v>
      </c>
      <c r="C11" s="2480"/>
      <c r="D11" s="2480"/>
      <c r="E11" s="680">
        <v>107</v>
      </c>
      <c r="F11" s="760">
        <f>+'DATOS PARA DEPURAR'!C82-'DATOS PARA DEPURAR'!C135</f>
        <v>0</v>
      </c>
    </row>
    <row r="12" spans="1:6" ht="29.25" customHeight="1" x14ac:dyDescent="0.2">
      <c r="A12" s="2477"/>
      <c r="B12" s="2480" t="s">
        <v>871</v>
      </c>
      <c r="C12" s="2480"/>
      <c r="D12" s="2480"/>
      <c r="E12" s="680">
        <v>108</v>
      </c>
      <c r="F12" s="760">
        <f>+'DATOS PARA DEPURAR'!D82-'DATOS PARA DEPURAR'!D135</f>
        <v>100000000</v>
      </c>
    </row>
    <row r="13" spans="1:6" ht="24.75" customHeight="1" x14ac:dyDescent="0.25">
      <c r="A13" s="2477"/>
      <c r="B13" s="2364" t="s">
        <v>872</v>
      </c>
      <c r="C13" s="2364"/>
      <c r="D13" s="2364"/>
      <c r="E13" s="680">
        <v>109</v>
      </c>
      <c r="F13" s="760">
        <v>0</v>
      </c>
    </row>
    <row r="14" spans="1:6" ht="30.75" customHeight="1" thickBot="1" x14ac:dyDescent="0.25">
      <c r="A14" s="2478"/>
      <c r="B14" s="2481" t="s">
        <v>649</v>
      </c>
      <c r="C14" s="2481"/>
      <c r="D14" s="2481"/>
      <c r="E14" s="764">
        <v>110</v>
      </c>
      <c r="F14" s="765">
        <f>+F13</f>
        <v>0</v>
      </c>
    </row>
    <row r="15" spans="1:6" ht="16.5" customHeight="1" x14ac:dyDescent="0.2"/>
  </sheetData>
  <sheetProtection algorithmName="SHA-512" hashValue="W6I3CUrRKI1x6zVl/ipfDFM7NioH23AThMxucF0xd0DOWUW3ps8ZiTphcswKH/2VSjWdD4bw2a5svCfWZNRyGw==" saltValue="my809WakCbZoaPGfVqt6QQ==" spinCount="100000" sheet="1" objects="1" scenarios="1"/>
  <mergeCells count="14">
    <mergeCell ref="A1:F1"/>
    <mergeCell ref="A2:B2"/>
    <mergeCell ref="E2:F2"/>
    <mergeCell ref="A3:F3"/>
    <mergeCell ref="A4:A14"/>
    <mergeCell ref="B4:D4"/>
    <mergeCell ref="B5:B6"/>
    <mergeCell ref="B8:B9"/>
    <mergeCell ref="E8:F9"/>
    <mergeCell ref="B11:D11"/>
    <mergeCell ref="B14:D14"/>
    <mergeCell ref="B12:D12"/>
    <mergeCell ref="B13:D13"/>
    <mergeCell ref="E5:F6"/>
  </mergeCells>
  <hyperlinks>
    <hyperlink ref="A3" r:id="rId1" xr:uid="{A7D02DF7-E492-47B1-83A2-3EFF0294398A}"/>
  </hyperlinks>
  <printOptions horizontalCentered="1"/>
  <pageMargins left="0.11811023622047245" right="0.11811023622047245" top="0.15748031496062992" bottom="0.15748031496062992" header="0.31496062992125984" footer="0.31496062992125984"/>
  <pageSetup scale="95" orientation="portrait"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D3EE7-65ED-47EB-9A32-54941CF1FDFF}">
  <dimension ref="A1:F25"/>
  <sheetViews>
    <sheetView showGridLines="0" view="pageBreakPreview" zoomScale="145" zoomScaleNormal="100" zoomScaleSheetLayoutView="145" workbookViewId="0">
      <selection activeCell="F8" sqref="F8"/>
    </sheetView>
  </sheetViews>
  <sheetFormatPr baseColWidth="10" defaultRowHeight="12.75" x14ac:dyDescent="0.2"/>
  <cols>
    <col min="1" max="1" width="4.140625" customWidth="1"/>
    <col min="2" max="2" width="7.42578125" customWidth="1"/>
    <col min="3" max="3" width="55.7109375" customWidth="1"/>
    <col min="4" max="4" width="17.140625" customWidth="1"/>
    <col min="5" max="5" width="5.28515625" customWidth="1"/>
    <col min="6" max="6" width="16.5703125" customWidth="1"/>
    <col min="7" max="7" width="23.28515625" customWidth="1"/>
    <col min="257" max="257" width="4.140625" customWidth="1"/>
    <col min="258" max="258" width="8" customWidth="1"/>
    <col min="259" max="259" width="41.5703125" customWidth="1"/>
    <col min="260" max="260" width="19.140625" customWidth="1"/>
    <col min="261" max="261" width="5.28515625" customWidth="1"/>
    <col min="262" max="262" width="18.140625" customWidth="1"/>
    <col min="263" max="263" width="23.28515625" customWidth="1"/>
    <col min="513" max="513" width="4.140625" customWidth="1"/>
    <col min="514" max="514" width="8" customWidth="1"/>
    <col min="515" max="515" width="41.5703125" customWidth="1"/>
    <col min="516" max="516" width="19.140625" customWidth="1"/>
    <col min="517" max="517" width="5.28515625" customWidth="1"/>
    <col min="518" max="518" width="18.140625" customWidth="1"/>
    <col min="519" max="519" width="23.28515625" customWidth="1"/>
    <col min="769" max="769" width="4.140625" customWidth="1"/>
    <col min="770" max="770" width="8" customWidth="1"/>
    <col min="771" max="771" width="41.5703125" customWidth="1"/>
    <col min="772" max="772" width="19.140625" customWidth="1"/>
    <col min="773" max="773" width="5.28515625" customWidth="1"/>
    <col min="774" max="774" width="18.140625" customWidth="1"/>
    <col min="775" max="775" width="23.28515625" customWidth="1"/>
    <col min="1025" max="1025" width="4.140625" customWidth="1"/>
    <col min="1026" max="1026" width="8" customWidth="1"/>
    <col min="1027" max="1027" width="41.5703125" customWidth="1"/>
    <col min="1028" max="1028" width="19.140625" customWidth="1"/>
    <col min="1029" max="1029" width="5.28515625" customWidth="1"/>
    <col min="1030" max="1030" width="18.140625" customWidth="1"/>
    <col min="1031" max="1031" width="23.28515625" customWidth="1"/>
    <col min="1281" max="1281" width="4.140625" customWidth="1"/>
    <col min="1282" max="1282" width="8" customWidth="1"/>
    <col min="1283" max="1283" width="41.5703125" customWidth="1"/>
    <col min="1284" max="1284" width="19.140625" customWidth="1"/>
    <col min="1285" max="1285" width="5.28515625" customWidth="1"/>
    <col min="1286" max="1286" width="18.140625" customWidth="1"/>
    <col min="1287" max="1287" width="23.28515625" customWidth="1"/>
    <col min="1537" max="1537" width="4.140625" customWidth="1"/>
    <col min="1538" max="1538" width="8" customWidth="1"/>
    <col min="1539" max="1539" width="41.5703125" customWidth="1"/>
    <col min="1540" max="1540" width="19.140625" customWidth="1"/>
    <col min="1541" max="1541" width="5.28515625" customWidth="1"/>
    <col min="1542" max="1542" width="18.140625" customWidth="1"/>
    <col min="1543" max="1543" width="23.28515625" customWidth="1"/>
    <col min="1793" max="1793" width="4.140625" customWidth="1"/>
    <col min="1794" max="1794" width="8" customWidth="1"/>
    <col min="1795" max="1795" width="41.5703125" customWidth="1"/>
    <col min="1796" max="1796" width="19.140625" customWidth="1"/>
    <col min="1797" max="1797" width="5.28515625" customWidth="1"/>
    <col min="1798" max="1798" width="18.140625" customWidth="1"/>
    <col min="1799" max="1799" width="23.28515625" customWidth="1"/>
    <col min="2049" max="2049" width="4.140625" customWidth="1"/>
    <col min="2050" max="2050" width="8" customWidth="1"/>
    <col min="2051" max="2051" width="41.5703125" customWidth="1"/>
    <col min="2052" max="2052" width="19.140625" customWidth="1"/>
    <col min="2053" max="2053" width="5.28515625" customWidth="1"/>
    <col min="2054" max="2054" width="18.140625" customWidth="1"/>
    <col min="2055" max="2055" width="23.28515625" customWidth="1"/>
    <col min="2305" max="2305" width="4.140625" customWidth="1"/>
    <col min="2306" max="2306" width="8" customWidth="1"/>
    <col min="2307" max="2307" width="41.5703125" customWidth="1"/>
    <col min="2308" max="2308" width="19.140625" customWidth="1"/>
    <col min="2309" max="2309" width="5.28515625" customWidth="1"/>
    <col min="2310" max="2310" width="18.140625" customWidth="1"/>
    <col min="2311" max="2311" width="23.28515625" customWidth="1"/>
    <col min="2561" max="2561" width="4.140625" customWidth="1"/>
    <col min="2562" max="2562" width="8" customWidth="1"/>
    <col min="2563" max="2563" width="41.5703125" customWidth="1"/>
    <col min="2564" max="2564" width="19.140625" customWidth="1"/>
    <col min="2565" max="2565" width="5.28515625" customWidth="1"/>
    <col min="2566" max="2566" width="18.140625" customWidth="1"/>
    <col min="2567" max="2567" width="23.28515625" customWidth="1"/>
    <col min="2817" max="2817" width="4.140625" customWidth="1"/>
    <col min="2818" max="2818" width="8" customWidth="1"/>
    <col min="2819" max="2819" width="41.5703125" customWidth="1"/>
    <col min="2820" max="2820" width="19.140625" customWidth="1"/>
    <col min="2821" max="2821" width="5.28515625" customWidth="1"/>
    <col min="2822" max="2822" width="18.140625" customWidth="1"/>
    <col min="2823" max="2823" width="23.28515625" customWidth="1"/>
    <col min="3073" max="3073" width="4.140625" customWidth="1"/>
    <col min="3074" max="3074" width="8" customWidth="1"/>
    <col min="3075" max="3075" width="41.5703125" customWidth="1"/>
    <col min="3076" max="3076" width="19.140625" customWidth="1"/>
    <col min="3077" max="3077" width="5.28515625" customWidth="1"/>
    <col min="3078" max="3078" width="18.140625" customWidth="1"/>
    <col min="3079" max="3079" width="23.28515625" customWidth="1"/>
    <col min="3329" max="3329" width="4.140625" customWidth="1"/>
    <col min="3330" max="3330" width="8" customWidth="1"/>
    <col min="3331" max="3331" width="41.5703125" customWidth="1"/>
    <col min="3332" max="3332" width="19.140625" customWidth="1"/>
    <col min="3333" max="3333" width="5.28515625" customWidth="1"/>
    <col min="3334" max="3334" width="18.140625" customWidth="1"/>
    <col min="3335" max="3335" width="23.28515625" customWidth="1"/>
    <col min="3585" max="3585" width="4.140625" customWidth="1"/>
    <col min="3586" max="3586" width="8" customWidth="1"/>
    <col min="3587" max="3587" width="41.5703125" customWidth="1"/>
    <col min="3588" max="3588" width="19.140625" customWidth="1"/>
    <col min="3589" max="3589" width="5.28515625" customWidth="1"/>
    <col min="3590" max="3590" width="18.140625" customWidth="1"/>
    <col min="3591" max="3591" width="23.28515625" customWidth="1"/>
    <col min="3841" max="3841" width="4.140625" customWidth="1"/>
    <col min="3842" max="3842" width="8" customWidth="1"/>
    <col min="3843" max="3843" width="41.5703125" customWidth="1"/>
    <col min="3844" max="3844" width="19.140625" customWidth="1"/>
    <col min="3845" max="3845" width="5.28515625" customWidth="1"/>
    <col min="3846" max="3846" width="18.140625" customWidth="1"/>
    <col min="3847" max="3847" width="23.28515625" customWidth="1"/>
    <col min="4097" max="4097" width="4.140625" customWidth="1"/>
    <col min="4098" max="4098" width="8" customWidth="1"/>
    <col min="4099" max="4099" width="41.5703125" customWidth="1"/>
    <col min="4100" max="4100" width="19.140625" customWidth="1"/>
    <col min="4101" max="4101" width="5.28515625" customWidth="1"/>
    <col min="4102" max="4102" width="18.140625" customWidth="1"/>
    <col min="4103" max="4103" width="23.28515625" customWidth="1"/>
    <col min="4353" max="4353" width="4.140625" customWidth="1"/>
    <col min="4354" max="4354" width="8" customWidth="1"/>
    <col min="4355" max="4355" width="41.5703125" customWidth="1"/>
    <col min="4356" max="4356" width="19.140625" customWidth="1"/>
    <col min="4357" max="4357" width="5.28515625" customWidth="1"/>
    <col min="4358" max="4358" width="18.140625" customWidth="1"/>
    <col min="4359" max="4359" width="23.28515625" customWidth="1"/>
    <col min="4609" max="4609" width="4.140625" customWidth="1"/>
    <col min="4610" max="4610" width="8" customWidth="1"/>
    <col min="4611" max="4611" width="41.5703125" customWidth="1"/>
    <col min="4612" max="4612" width="19.140625" customWidth="1"/>
    <col min="4613" max="4613" width="5.28515625" customWidth="1"/>
    <col min="4614" max="4614" width="18.140625" customWidth="1"/>
    <col min="4615" max="4615" width="23.28515625" customWidth="1"/>
    <col min="4865" max="4865" width="4.140625" customWidth="1"/>
    <col min="4866" max="4866" width="8" customWidth="1"/>
    <col min="4867" max="4867" width="41.5703125" customWidth="1"/>
    <col min="4868" max="4868" width="19.140625" customWidth="1"/>
    <col min="4869" max="4869" width="5.28515625" customWidth="1"/>
    <col min="4870" max="4870" width="18.140625" customWidth="1"/>
    <col min="4871" max="4871" width="23.28515625" customWidth="1"/>
    <col min="5121" max="5121" width="4.140625" customWidth="1"/>
    <col min="5122" max="5122" width="8" customWidth="1"/>
    <col min="5123" max="5123" width="41.5703125" customWidth="1"/>
    <col min="5124" max="5124" width="19.140625" customWidth="1"/>
    <col min="5125" max="5125" width="5.28515625" customWidth="1"/>
    <col min="5126" max="5126" width="18.140625" customWidth="1"/>
    <col min="5127" max="5127" width="23.28515625" customWidth="1"/>
    <col min="5377" max="5377" width="4.140625" customWidth="1"/>
    <col min="5378" max="5378" width="8" customWidth="1"/>
    <col min="5379" max="5379" width="41.5703125" customWidth="1"/>
    <col min="5380" max="5380" width="19.140625" customWidth="1"/>
    <col min="5381" max="5381" width="5.28515625" customWidth="1"/>
    <col min="5382" max="5382" width="18.140625" customWidth="1"/>
    <col min="5383" max="5383" width="23.28515625" customWidth="1"/>
    <col min="5633" max="5633" width="4.140625" customWidth="1"/>
    <col min="5634" max="5634" width="8" customWidth="1"/>
    <col min="5635" max="5635" width="41.5703125" customWidth="1"/>
    <col min="5636" max="5636" width="19.140625" customWidth="1"/>
    <col min="5637" max="5637" width="5.28515625" customWidth="1"/>
    <col min="5638" max="5638" width="18.140625" customWidth="1"/>
    <col min="5639" max="5639" width="23.28515625" customWidth="1"/>
    <col min="5889" max="5889" width="4.140625" customWidth="1"/>
    <col min="5890" max="5890" width="8" customWidth="1"/>
    <col min="5891" max="5891" width="41.5703125" customWidth="1"/>
    <col min="5892" max="5892" width="19.140625" customWidth="1"/>
    <col min="5893" max="5893" width="5.28515625" customWidth="1"/>
    <col min="5894" max="5894" width="18.140625" customWidth="1"/>
    <col min="5895" max="5895" width="23.28515625" customWidth="1"/>
    <col min="6145" max="6145" width="4.140625" customWidth="1"/>
    <col min="6146" max="6146" width="8" customWidth="1"/>
    <col min="6147" max="6147" width="41.5703125" customWidth="1"/>
    <col min="6148" max="6148" width="19.140625" customWidth="1"/>
    <col min="6149" max="6149" width="5.28515625" customWidth="1"/>
    <col min="6150" max="6150" width="18.140625" customWidth="1"/>
    <col min="6151" max="6151" width="23.28515625" customWidth="1"/>
    <col min="6401" max="6401" width="4.140625" customWidth="1"/>
    <col min="6402" max="6402" width="8" customWidth="1"/>
    <col min="6403" max="6403" width="41.5703125" customWidth="1"/>
    <col min="6404" max="6404" width="19.140625" customWidth="1"/>
    <col min="6405" max="6405" width="5.28515625" customWidth="1"/>
    <col min="6406" max="6406" width="18.140625" customWidth="1"/>
    <col min="6407" max="6407" width="23.28515625" customWidth="1"/>
    <col min="6657" max="6657" width="4.140625" customWidth="1"/>
    <col min="6658" max="6658" width="8" customWidth="1"/>
    <col min="6659" max="6659" width="41.5703125" customWidth="1"/>
    <col min="6660" max="6660" width="19.140625" customWidth="1"/>
    <col min="6661" max="6661" width="5.28515625" customWidth="1"/>
    <col min="6662" max="6662" width="18.140625" customWidth="1"/>
    <col min="6663" max="6663" width="23.28515625" customWidth="1"/>
    <col min="6913" max="6913" width="4.140625" customWidth="1"/>
    <col min="6914" max="6914" width="8" customWidth="1"/>
    <col min="6915" max="6915" width="41.5703125" customWidth="1"/>
    <col min="6916" max="6916" width="19.140625" customWidth="1"/>
    <col min="6917" max="6917" width="5.28515625" customWidth="1"/>
    <col min="6918" max="6918" width="18.140625" customWidth="1"/>
    <col min="6919" max="6919" width="23.28515625" customWidth="1"/>
    <col min="7169" max="7169" width="4.140625" customWidth="1"/>
    <col min="7170" max="7170" width="8" customWidth="1"/>
    <col min="7171" max="7171" width="41.5703125" customWidth="1"/>
    <col min="7172" max="7172" width="19.140625" customWidth="1"/>
    <col min="7173" max="7173" width="5.28515625" customWidth="1"/>
    <col min="7174" max="7174" width="18.140625" customWidth="1"/>
    <col min="7175" max="7175" width="23.28515625" customWidth="1"/>
    <col min="7425" max="7425" width="4.140625" customWidth="1"/>
    <col min="7426" max="7426" width="8" customWidth="1"/>
    <col min="7427" max="7427" width="41.5703125" customWidth="1"/>
    <col min="7428" max="7428" width="19.140625" customWidth="1"/>
    <col min="7429" max="7429" width="5.28515625" customWidth="1"/>
    <col min="7430" max="7430" width="18.140625" customWidth="1"/>
    <col min="7431" max="7431" width="23.28515625" customWidth="1"/>
    <col min="7681" max="7681" width="4.140625" customWidth="1"/>
    <col min="7682" max="7682" width="8" customWidth="1"/>
    <col min="7683" max="7683" width="41.5703125" customWidth="1"/>
    <col min="7684" max="7684" width="19.140625" customWidth="1"/>
    <col min="7685" max="7685" width="5.28515625" customWidth="1"/>
    <col min="7686" max="7686" width="18.140625" customWidth="1"/>
    <col min="7687" max="7687" width="23.28515625" customWidth="1"/>
    <col min="7937" max="7937" width="4.140625" customWidth="1"/>
    <col min="7938" max="7938" width="8" customWidth="1"/>
    <col min="7939" max="7939" width="41.5703125" customWidth="1"/>
    <col min="7940" max="7940" width="19.140625" customWidth="1"/>
    <col min="7941" max="7941" width="5.28515625" customWidth="1"/>
    <col min="7942" max="7942" width="18.140625" customWidth="1"/>
    <col min="7943" max="7943" width="23.28515625" customWidth="1"/>
    <col min="8193" max="8193" width="4.140625" customWidth="1"/>
    <col min="8194" max="8194" width="8" customWidth="1"/>
    <col min="8195" max="8195" width="41.5703125" customWidth="1"/>
    <col min="8196" max="8196" width="19.140625" customWidth="1"/>
    <col min="8197" max="8197" width="5.28515625" customWidth="1"/>
    <col min="8198" max="8198" width="18.140625" customWidth="1"/>
    <col min="8199" max="8199" width="23.28515625" customWidth="1"/>
    <col min="8449" max="8449" width="4.140625" customWidth="1"/>
    <col min="8450" max="8450" width="8" customWidth="1"/>
    <col min="8451" max="8451" width="41.5703125" customWidth="1"/>
    <col min="8452" max="8452" width="19.140625" customWidth="1"/>
    <col min="8453" max="8453" width="5.28515625" customWidth="1"/>
    <col min="8454" max="8454" width="18.140625" customWidth="1"/>
    <col min="8455" max="8455" width="23.28515625" customWidth="1"/>
    <col min="8705" max="8705" width="4.140625" customWidth="1"/>
    <col min="8706" max="8706" width="8" customWidth="1"/>
    <col min="8707" max="8707" width="41.5703125" customWidth="1"/>
    <col min="8708" max="8708" width="19.140625" customWidth="1"/>
    <col min="8709" max="8709" width="5.28515625" customWidth="1"/>
    <col min="8710" max="8710" width="18.140625" customWidth="1"/>
    <col min="8711" max="8711" width="23.28515625" customWidth="1"/>
    <col min="8961" max="8961" width="4.140625" customWidth="1"/>
    <col min="8962" max="8962" width="8" customWidth="1"/>
    <col min="8963" max="8963" width="41.5703125" customWidth="1"/>
    <col min="8964" max="8964" width="19.140625" customWidth="1"/>
    <col min="8965" max="8965" width="5.28515625" customWidth="1"/>
    <col min="8966" max="8966" width="18.140625" customWidth="1"/>
    <col min="8967" max="8967" width="23.28515625" customWidth="1"/>
    <col min="9217" max="9217" width="4.140625" customWidth="1"/>
    <col min="9218" max="9218" width="8" customWidth="1"/>
    <col min="9219" max="9219" width="41.5703125" customWidth="1"/>
    <col min="9220" max="9220" width="19.140625" customWidth="1"/>
    <col min="9221" max="9221" width="5.28515625" customWidth="1"/>
    <col min="9222" max="9222" width="18.140625" customWidth="1"/>
    <col min="9223" max="9223" width="23.28515625" customWidth="1"/>
    <col min="9473" max="9473" width="4.140625" customWidth="1"/>
    <col min="9474" max="9474" width="8" customWidth="1"/>
    <col min="9475" max="9475" width="41.5703125" customWidth="1"/>
    <col min="9476" max="9476" width="19.140625" customWidth="1"/>
    <col min="9477" max="9477" width="5.28515625" customWidth="1"/>
    <col min="9478" max="9478" width="18.140625" customWidth="1"/>
    <col min="9479" max="9479" width="23.28515625" customWidth="1"/>
    <col min="9729" max="9729" width="4.140625" customWidth="1"/>
    <col min="9730" max="9730" width="8" customWidth="1"/>
    <col min="9731" max="9731" width="41.5703125" customWidth="1"/>
    <col min="9732" max="9732" width="19.140625" customWidth="1"/>
    <col min="9733" max="9733" width="5.28515625" customWidth="1"/>
    <col min="9734" max="9734" width="18.140625" customWidth="1"/>
    <col min="9735" max="9735" width="23.28515625" customWidth="1"/>
    <col min="9985" max="9985" width="4.140625" customWidth="1"/>
    <col min="9986" max="9986" width="8" customWidth="1"/>
    <col min="9987" max="9987" width="41.5703125" customWidth="1"/>
    <col min="9988" max="9988" width="19.140625" customWidth="1"/>
    <col min="9989" max="9989" width="5.28515625" customWidth="1"/>
    <col min="9990" max="9990" width="18.140625" customWidth="1"/>
    <col min="9991" max="9991" width="23.28515625" customWidth="1"/>
    <col min="10241" max="10241" width="4.140625" customWidth="1"/>
    <col min="10242" max="10242" width="8" customWidth="1"/>
    <col min="10243" max="10243" width="41.5703125" customWidth="1"/>
    <col min="10244" max="10244" width="19.140625" customWidth="1"/>
    <col min="10245" max="10245" width="5.28515625" customWidth="1"/>
    <col min="10246" max="10246" width="18.140625" customWidth="1"/>
    <col min="10247" max="10247" width="23.28515625" customWidth="1"/>
    <col min="10497" max="10497" width="4.140625" customWidth="1"/>
    <col min="10498" max="10498" width="8" customWidth="1"/>
    <col min="10499" max="10499" width="41.5703125" customWidth="1"/>
    <col min="10500" max="10500" width="19.140625" customWidth="1"/>
    <col min="10501" max="10501" width="5.28515625" customWidth="1"/>
    <col min="10502" max="10502" width="18.140625" customWidth="1"/>
    <col min="10503" max="10503" width="23.28515625" customWidth="1"/>
    <col min="10753" max="10753" width="4.140625" customWidth="1"/>
    <col min="10754" max="10754" width="8" customWidth="1"/>
    <col min="10755" max="10755" width="41.5703125" customWidth="1"/>
    <col min="10756" max="10756" width="19.140625" customWidth="1"/>
    <col min="10757" max="10757" width="5.28515625" customWidth="1"/>
    <col min="10758" max="10758" width="18.140625" customWidth="1"/>
    <col min="10759" max="10759" width="23.28515625" customWidth="1"/>
    <col min="11009" max="11009" width="4.140625" customWidth="1"/>
    <col min="11010" max="11010" width="8" customWidth="1"/>
    <col min="11011" max="11011" width="41.5703125" customWidth="1"/>
    <col min="11012" max="11012" width="19.140625" customWidth="1"/>
    <col min="11013" max="11013" width="5.28515625" customWidth="1"/>
    <col min="11014" max="11014" width="18.140625" customWidth="1"/>
    <col min="11015" max="11015" width="23.28515625" customWidth="1"/>
    <col min="11265" max="11265" width="4.140625" customWidth="1"/>
    <col min="11266" max="11266" width="8" customWidth="1"/>
    <col min="11267" max="11267" width="41.5703125" customWidth="1"/>
    <col min="11268" max="11268" width="19.140625" customWidth="1"/>
    <col min="11269" max="11269" width="5.28515625" customWidth="1"/>
    <col min="11270" max="11270" width="18.140625" customWidth="1"/>
    <col min="11271" max="11271" width="23.28515625" customWidth="1"/>
    <col min="11521" max="11521" width="4.140625" customWidth="1"/>
    <col min="11522" max="11522" width="8" customWidth="1"/>
    <col min="11523" max="11523" width="41.5703125" customWidth="1"/>
    <col min="11524" max="11524" width="19.140625" customWidth="1"/>
    <col min="11525" max="11525" width="5.28515625" customWidth="1"/>
    <col min="11526" max="11526" width="18.140625" customWidth="1"/>
    <col min="11527" max="11527" width="23.28515625" customWidth="1"/>
    <col min="11777" max="11777" width="4.140625" customWidth="1"/>
    <col min="11778" max="11778" width="8" customWidth="1"/>
    <col min="11779" max="11779" width="41.5703125" customWidth="1"/>
    <col min="11780" max="11780" width="19.140625" customWidth="1"/>
    <col min="11781" max="11781" width="5.28515625" customWidth="1"/>
    <col min="11782" max="11782" width="18.140625" customWidth="1"/>
    <col min="11783" max="11783" width="23.28515625" customWidth="1"/>
    <col min="12033" max="12033" width="4.140625" customWidth="1"/>
    <col min="12034" max="12034" width="8" customWidth="1"/>
    <col min="12035" max="12035" width="41.5703125" customWidth="1"/>
    <col min="12036" max="12036" width="19.140625" customWidth="1"/>
    <col min="12037" max="12037" width="5.28515625" customWidth="1"/>
    <col min="12038" max="12038" width="18.140625" customWidth="1"/>
    <col min="12039" max="12039" width="23.28515625" customWidth="1"/>
    <col min="12289" max="12289" width="4.140625" customWidth="1"/>
    <col min="12290" max="12290" width="8" customWidth="1"/>
    <col min="12291" max="12291" width="41.5703125" customWidth="1"/>
    <col min="12292" max="12292" width="19.140625" customWidth="1"/>
    <col min="12293" max="12293" width="5.28515625" customWidth="1"/>
    <col min="12294" max="12294" width="18.140625" customWidth="1"/>
    <col min="12295" max="12295" width="23.28515625" customWidth="1"/>
    <col min="12545" max="12545" width="4.140625" customWidth="1"/>
    <col min="12546" max="12546" width="8" customWidth="1"/>
    <col min="12547" max="12547" width="41.5703125" customWidth="1"/>
    <col min="12548" max="12548" width="19.140625" customWidth="1"/>
    <col min="12549" max="12549" width="5.28515625" customWidth="1"/>
    <col min="12550" max="12550" width="18.140625" customWidth="1"/>
    <col min="12551" max="12551" width="23.28515625" customWidth="1"/>
    <col min="12801" max="12801" width="4.140625" customWidth="1"/>
    <col min="12802" max="12802" width="8" customWidth="1"/>
    <col min="12803" max="12803" width="41.5703125" customWidth="1"/>
    <col min="12804" max="12804" width="19.140625" customWidth="1"/>
    <col min="12805" max="12805" width="5.28515625" customWidth="1"/>
    <col min="12806" max="12806" width="18.140625" customWidth="1"/>
    <col min="12807" max="12807" width="23.28515625" customWidth="1"/>
    <col min="13057" max="13057" width="4.140625" customWidth="1"/>
    <col min="13058" max="13058" width="8" customWidth="1"/>
    <col min="13059" max="13059" width="41.5703125" customWidth="1"/>
    <col min="13060" max="13060" width="19.140625" customWidth="1"/>
    <col min="13061" max="13061" width="5.28515625" customWidth="1"/>
    <col min="13062" max="13062" width="18.140625" customWidth="1"/>
    <col min="13063" max="13063" width="23.28515625" customWidth="1"/>
    <col min="13313" max="13313" width="4.140625" customWidth="1"/>
    <col min="13314" max="13314" width="8" customWidth="1"/>
    <col min="13315" max="13315" width="41.5703125" customWidth="1"/>
    <col min="13316" max="13316" width="19.140625" customWidth="1"/>
    <col min="13317" max="13317" width="5.28515625" customWidth="1"/>
    <col min="13318" max="13318" width="18.140625" customWidth="1"/>
    <col min="13319" max="13319" width="23.28515625" customWidth="1"/>
    <col min="13569" max="13569" width="4.140625" customWidth="1"/>
    <col min="13570" max="13570" width="8" customWidth="1"/>
    <col min="13571" max="13571" width="41.5703125" customWidth="1"/>
    <col min="13572" max="13572" width="19.140625" customWidth="1"/>
    <col min="13573" max="13573" width="5.28515625" customWidth="1"/>
    <col min="13574" max="13574" width="18.140625" customWidth="1"/>
    <col min="13575" max="13575" width="23.28515625" customWidth="1"/>
    <col min="13825" max="13825" width="4.140625" customWidth="1"/>
    <col min="13826" max="13826" width="8" customWidth="1"/>
    <col min="13827" max="13827" width="41.5703125" customWidth="1"/>
    <col min="13828" max="13828" width="19.140625" customWidth="1"/>
    <col min="13829" max="13829" width="5.28515625" customWidth="1"/>
    <col min="13830" max="13830" width="18.140625" customWidth="1"/>
    <col min="13831" max="13831" width="23.28515625" customWidth="1"/>
    <col min="14081" max="14081" width="4.140625" customWidth="1"/>
    <col min="14082" max="14082" width="8" customWidth="1"/>
    <col min="14083" max="14083" width="41.5703125" customWidth="1"/>
    <col min="14084" max="14084" width="19.140625" customWidth="1"/>
    <col min="14085" max="14085" width="5.28515625" customWidth="1"/>
    <col min="14086" max="14086" width="18.140625" customWidth="1"/>
    <col min="14087" max="14087" width="23.28515625" customWidth="1"/>
    <col min="14337" max="14337" width="4.140625" customWidth="1"/>
    <col min="14338" max="14338" width="8" customWidth="1"/>
    <col min="14339" max="14339" width="41.5703125" customWidth="1"/>
    <col min="14340" max="14340" width="19.140625" customWidth="1"/>
    <col min="14341" max="14341" width="5.28515625" customWidth="1"/>
    <col min="14342" max="14342" width="18.140625" customWidth="1"/>
    <col min="14343" max="14343" width="23.28515625" customWidth="1"/>
    <col min="14593" max="14593" width="4.140625" customWidth="1"/>
    <col min="14594" max="14594" width="8" customWidth="1"/>
    <col min="14595" max="14595" width="41.5703125" customWidth="1"/>
    <col min="14596" max="14596" width="19.140625" customWidth="1"/>
    <col min="14597" max="14597" width="5.28515625" customWidth="1"/>
    <col min="14598" max="14598" width="18.140625" customWidth="1"/>
    <col min="14599" max="14599" width="23.28515625" customWidth="1"/>
    <col min="14849" max="14849" width="4.140625" customWidth="1"/>
    <col min="14850" max="14850" width="8" customWidth="1"/>
    <col min="14851" max="14851" width="41.5703125" customWidth="1"/>
    <col min="14852" max="14852" width="19.140625" customWidth="1"/>
    <col min="14853" max="14853" width="5.28515625" customWidth="1"/>
    <col min="14854" max="14854" width="18.140625" customWidth="1"/>
    <col min="14855" max="14855" width="23.28515625" customWidth="1"/>
    <col min="15105" max="15105" width="4.140625" customWidth="1"/>
    <col min="15106" max="15106" width="8" customWidth="1"/>
    <col min="15107" max="15107" width="41.5703125" customWidth="1"/>
    <col min="15108" max="15108" width="19.140625" customWidth="1"/>
    <col min="15109" max="15109" width="5.28515625" customWidth="1"/>
    <col min="15110" max="15110" width="18.140625" customWidth="1"/>
    <col min="15111" max="15111" width="23.28515625" customWidth="1"/>
    <col min="15361" max="15361" width="4.140625" customWidth="1"/>
    <col min="15362" max="15362" width="8" customWidth="1"/>
    <col min="15363" max="15363" width="41.5703125" customWidth="1"/>
    <col min="15364" max="15364" width="19.140625" customWidth="1"/>
    <col min="15365" max="15365" width="5.28515625" customWidth="1"/>
    <col min="15366" max="15366" width="18.140625" customWidth="1"/>
    <col min="15367" max="15367" width="23.28515625" customWidth="1"/>
    <col min="15617" max="15617" width="4.140625" customWidth="1"/>
    <col min="15618" max="15618" width="8" customWidth="1"/>
    <col min="15619" max="15619" width="41.5703125" customWidth="1"/>
    <col min="15620" max="15620" width="19.140625" customWidth="1"/>
    <col min="15621" max="15621" width="5.28515625" customWidth="1"/>
    <col min="15622" max="15622" width="18.140625" customWidth="1"/>
    <col min="15623" max="15623" width="23.28515625" customWidth="1"/>
    <col min="15873" max="15873" width="4.140625" customWidth="1"/>
    <col min="15874" max="15874" width="8" customWidth="1"/>
    <col min="15875" max="15875" width="41.5703125" customWidth="1"/>
    <col min="15876" max="15876" width="19.140625" customWidth="1"/>
    <col min="15877" max="15877" width="5.28515625" customWidth="1"/>
    <col min="15878" max="15878" width="18.140625" customWidth="1"/>
    <col min="15879" max="15879" width="23.28515625" customWidth="1"/>
    <col min="16129" max="16129" width="4.140625" customWidth="1"/>
    <col min="16130" max="16130" width="8" customWidth="1"/>
    <col min="16131" max="16131" width="41.5703125" customWidth="1"/>
    <col min="16132" max="16132" width="19.140625" customWidth="1"/>
    <col min="16133" max="16133" width="5.28515625" customWidth="1"/>
    <col min="16134" max="16134" width="18.140625" customWidth="1"/>
    <col min="16135" max="16135" width="23.28515625" customWidth="1"/>
  </cols>
  <sheetData>
    <row r="1" spans="1:6" ht="16.5" thickBot="1" x14ac:dyDescent="0.25">
      <c r="A1" s="2483" t="s">
        <v>878</v>
      </c>
      <c r="B1" s="2484"/>
      <c r="C1" s="2484"/>
      <c r="D1" s="2484"/>
      <c r="E1" s="2484"/>
      <c r="F1" s="2485"/>
    </row>
    <row r="2" spans="1:6" ht="24" customHeight="1" x14ac:dyDescent="0.2">
      <c r="A2" s="2486" t="s">
        <v>491</v>
      </c>
      <c r="B2" s="2487"/>
      <c r="C2" s="990" t="str">
        <f>+'DATOS PARA DEPURAR'!C7</f>
        <v>RIOJAS QUINTERO MAIRA ALEJANDRA</v>
      </c>
      <c r="D2" s="991" t="s">
        <v>347</v>
      </c>
      <c r="E2" s="2488">
        <f>+'DATOS PARA DEPURAR'!E7</f>
        <v>1065263869</v>
      </c>
      <c r="F2" s="2489"/>
    </row>
    <row r="3" spans="1:6" ht="13.5" customHeight="1" thickBot="1" x14ac:dyDescent="0.25">
      <c r="A3" s="2490"/>
      <c r="B3" s="2379"/>
      <c r="C3" s="2379"/>
      <c r="D3" s="2379"/>
      <c r="E3" s="2379"/>
      <c r="F3" s="2380"/>
    </row>
    <row r="4" spans="1:6" ht="15.75" x14ac:dyDescent="0.25">
      <c r="A4" s="2491" t="s">
        <v>68</v>
      </c>
      <c r="B4" s="2384" t="s">
        <v>879</v>
      </c>
      <c r="C4" s="2384"/>
      <c r="D4" s="2384"/>
      <c r="E4" s="755">
        <v>112</v>
      </c>
      <c r="F4" s="1137">
        <f>IF(SUM(D5:D12)&gt;0,SUM(D5:D12),0)</f>
        <v>1890000000</v>
      </c>
    </row>
    <row r="5" spans="1:6" ht="15" x14ac:dyDescent="0.25">
      <c r="A5" s="2429"/>
      <c r="C5" s="982" t="s">
        <v>884</v>
      </c>
      <c r="D5" s="983">
        <f>+'DATOS PARA DEPURAR'!B63+'DATOS PARA DEPURAR'!B65</f>
        <v>0</v>
      </c>
      <c r="E5" s="2492" t="s">
        <v>885</v>
      </c>
      <c r="F5" s="47"/>
    </row>
    <row r="6" spans="1:6" ht="15" x14ac:dyDescent="0.25">
      <c r="A6" s="2429"/>
      <c r="C6" s="982" t="s">
        <v>825</v>
      </c>
      <c r="D6" s="983">
        <f>+'DATOS PARA DEPURAR'!E67</f>
        <v>400000000</v>
      </c>
      <c r="E6" s="2492"/>
      <c r="F6" s="47"/>
    </row>
    <row r="7" spans="1:6" ht="15" x14ac:dyDescent="0.25">
      <c r="A7" s="2429"/>
      <c r="C7" s="979" t="s">
        <v>826</v>
      </c>
      <c r="D7" s="983">
        <f>+'DATOS PARA DEPURAR'!E69</f>
        <v>400000000</v>
      </c>
      <c r="E7" s="2492"/>
      <c r="F7" s="47"/>
    </row>
    <row r="8" spans="1:6" ht="15" x14ac:dyDescent="0.25">
      <c r="A8" s="2429"/>
      <c r="C8" s="979" t="s">
        <v>70</v>
      </c>
      <c r="D8" s="983">
        <f>+'DATOS PARA DEPURAR'!E75</f>
        <v>140000000</v>
      </c>
      <c r="E8" s="2492"/>
      <c r="F8" s="47"/>
    </row>
    <row r="9" spans="1:6" ht="18" x14ac:dyDescent="0.25">
      <c r="A9" s="2429"/>
      <c r="C9" s="981" t="s">
        <v>830</v>
      </c>
      <c r="D9" s="983">
        <f>+'DATOS PARA DEPURAR'!E76</f>
        <v>150000000</v>
      </c>
      <c r="E9" s="2492"/>
      <c r="F9" s="47"/>
    </row>
    <row r="10" spans="1:6" ht="18" x14ac:dyDescent="0.25">
      <c r="A10" s="2429"/>
      <c r="C10" s="981" t="s">
        <v>831</v>
      </c>
      <c r="D10" s="983">
        <f>+'DATOS PARA DEPURAR'!E77</f>
        <v>400000000</v>
      </c>
      <c r="E10" s="2492"/>
      <c r="F10" s="47"/>
    </row>
    <row r="11" spans="1:6" ht="18" x14ac:dyDescent="0.25">
      <c r="A11" s="2429"/>
      <c r="C11" s="981" t="s">
        <v>71</v>
      </c>
      <c r="D11" s="983">
        <f>+'DATOS PARA DEPURAR'!E78</f>
        <v>400000000</v>
      </c>
      <c r="E11" s="2492"/>
      <c r="F11" s="47"/>
    </row>
    <row r="12" spans="1:6" ht="15" x14ac:dyDescent="0.25">
      <c r="A12" s="2429"/>
      <c r="C12" s="979" t="s">
        <v>887</v>
      </c>
      <c r="D12" s="983">
        <f>+'DATOS PARA DEPURAR'!E66</f>
        <v>0</v>
      </c>
      <c r="E12" s="2492"/>
      <c r="F12" s="47"/>
    </row>
    <row r="13" spans="1:6" ht="15.75" x14ac:dyDescent="0.25">
      <c r="A13" s="2429"/>
      <c r="B13" s="758" t="s">
        <v>880</v>
      </c>
      <c r="C13" s="758"/>
      <c r="D13" s="758"/>
      <c r="E13" s="680">
        <v>113</v>
      </c>
      <c r="F13" s="976">
        <f>IF(SUM(D15:D16)&gt;0,SUM(D15:D16),0)</f>
        <v>0</v>
      </c>
    </row>
    <row r="14" spans="1:6" ht="15" x14ac:dyDescent="0.2">
      <c r="A14" s="2429"/>
      <c r="C14" s="1138" t="s">
        <v>185</v>
      </c>
      <c r="D14" s="646"/>
      <c r="E14" s="2493" t="s">
        <v>881</v>
      </c>
      <c r="F14" s="2435"/>
    </row>
    <row r="15" spans="1:6" ht="13.5" customHeight="1" x14ac:dyDescent="0.2">
      <c r="A15" s="2429"/>
      <c r="C15" s="920" t="s">
        <v>884</v>
      </c>
      <c r="D15" s="1134">
        <f>+'DATOS PARA DEPURAR'!D175+'DATOS PARA DEPURAR'!D176</f>
        <v>0</v>
      </c>
      <c r="E15" s="2493"/>
      <c r="F15" s="2435"/>
    </row>
    <row r="16" spans="1:6" ht="15.75" thickBot="1" x14ac:dyDescent="0.3">
      <c r="A16" s="2429"/>
      <c r="C16" s="920"/>
      <c r="D16" s="1135"/>
      <c r="E16" s="2493"/>
      <c r="F16" s="2435"/>
    </row>
    <row r="17" spans="1:6" ht="15.75" x14ac:dyDescent="0.25">
      <c r="A17" s="2429"/>
      <c r="B17" s="758" t="s">
        <v>882</v>
      </c>
      <c r="C17" s="758"/>
      <c r="D17" s="758"/>
      <c r="E17" s="680">
        <v>114</v>
      </c>
      <c r="F17" s="976">
        <f>SUM(D18:D23)</f>
        <v>1089195000</v>
      </c>
    </row>
    <row r="18" spans="1:6" ht="15.75" x14ac:dyDescent="0.25">
      <c r="A18" s="2429"/>
      <c r="B18" s="511"/>
      <c r="C18" s="982" t="s">
        <v>825</v>
      </c>
      <c r="D18" s="980">
        <f>+'DATOS PARA DEPURAR'!E308</f>
        <v>400000000</v>
      </c>
      <c r="E18" s="2494" t="s">
        <v>886</v>
      </c>
      <c r="F18" s="2482"/>
    </row>
    <row r="19" spans="1:6" ht="15.75" x14ac:dyDescent="0.25">
      <c r="A19" s="2429"/>
      <c r="B19" s="511"/>
      <c r="C19" s="979" t="s">
        <v>826</v>
      </c>
      <c r="D19" s="980">
        <f>+'DATOS PARA DEPURAR'!E309</f>
        <v>275678000</v>
      </c>
      <c r="E19" s="2494"/>
      <c r="F19" s="2482"/>
    </row>
    <row r="20" spans="1:6" ht="15.75" x14ac:dyDescent="0.25">
      <c r="A20" s="2429"/>
      <c r="B20" s="511"/>
      <c r="C20" s="979" t="s">
        <v>70</v>
      </c>
      <c r="D20" s="980">
        <f>+'DATOS PARA DEPURAR'!E310</f>
        <v>137839000</v>
      </c>
      <c r="E20" s="2494"/>
      <c r="F20" s="2482"/>
    </row>
    <row r="21" spans="1:6" ht="18" x14ac:dyDescent="0.25">
      <c r="A21" s="2429"/>
      <c r="B21" s="511"/>
      <c r="C21" s="981" t="s">
        <v>830</v>
      </c>
      <c r="D21" s="980">
        <f>+'DATOS PARA DEPURAR'!E311</f>
        <v>137839000</v>
      </c>
      <c r="E21" s="2494"/>
      <c r="F21" s="2482"/>
    </row>
    <row r="22" spans="1:6" ht="18" x14ac:dyDescent="0.25">
      <c r="A22" s="2429"/>
      <c r="B22" s="511"/>
      <c r="C22" s="981" t="s">
        <v>831</v>
      </c>
      <c r="D22" s="980">
        <f>+'DATOS PARA DEPURAR'!E312</f>
        <v>68919500</v>
      </c>
      <c r="E22" s="2494"/>
      <c r="F22" s="2482"/>
    </row>
    <row r="23" spans="1:6" ht="18.75" thickBot="1" x14ac:dyDescent="0.3">
      <c r="A23" s="2429"/>
      <c r="B23" s="511"/>
      <c r="C23" s="981" t="s">
        <v>71</v>
      </c>
      <c r="D23" s="1136">
        <f>+'DATOS PARA DEPURAR'!E314</f>
        <v>68919500</v>
      </c>
      <c r="E23" s="2494"/>
      <c r="F23" s="2482"/>
    </row>
    <row r="24" spans="1:6" ht="15.75" x14ac:dyDescent="0.25">
      <c r="A24" s="2429"/>
      <c r="B24" s="758" t="s">
        <v>883</v>
      </c>
      <c r="C24" s="758"/>
      <c r="D24" s="758"/>
      <c r="E24" s="680">
        <v>115</v>
      </c>
      <c r="F24" s="976">
        <f>+F4-F13-F17</f>
        <v>800805000</v>
      </c>
    </row>
    <row r="25" spans="1:6" ht="0.75" customHeight="1" thickBot="1" x14ac:dyDescent="0.3">
      <c r="A25" s="2430"/>
      <c r="B25" s="977"/>
      <c r="C25" s="984">
        <f>(F24-D12)*15%+D12*20%</f>
        <v>120120750</v>
      </c>
      <c r="D25" s="977"/>
      <c r="E25" s="963"/>
      <c r="F25" s="978"/>
    </row>
  </sheetData>
  <sheetProtection algorithmName="SHA-512" hashValue="arGsjPWhxUL/zif5SlTxTEanFy9hejPxMwyQKxcgpinuAylNixHb3O1GL9Wx47bkdHfHpemGjw6K2rprf5bQCg==" saltValue="4LFTklfbdK5oxwFaAhGYTQ==" spinCount="100000" sheet="1" objects="1" scenarios="1"/>
  <mergeCells count="11">
    <mergeCell ref="F18:F23"/>
    <mergeCell ref="A1:F1"/>
    <mergeCell ref="A2:B2"/>
    <mergeCell ref="E2:F2"/>
    <mergeCell ref="A3:F3"/>
    <mergeCell ref="A4:A25"/>
    <mergeCell ref="B4:D4"/>
    <mergeCell ref="E5:E12"/>
    <mergeCell ref="E14:E16"/>
    <mergeCell ref="F14:F16"/>
    <mergeCell ref="E18:E23"/>
  </mergeCells>
  <pageMargins left="0.31496062992125984" right="0.51181102362204722" top="0.74803149606299213" bottom="0.74803149606299213" header="0.31496062992125984" footer="0.31496062992125984"/>
  <pageSetup scale="8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4">
    <tabColor rgb="FFFFFF00"/>
  </sheetPr>
  <dimension ref="A1:BC211"/>
  <sheetViews>
    <sheetView view="pageBreakPreview" topLeftCell="F31" zoomScale="115" zoomScaleNormal="100" zoomScaleSheetLayoutView="115" workbookViewId="0">
      <selection activeCell="I37" sqref="I37"/>
    </sheetView>
  </sheetViews>
  <sheetFormatPr baseColWidth="10" defaultRowHeight="12.75" x14ac:dyDescent="0.2"/>
  <cols>
    <col min="1" max="1" width="8.5703125" customWidth="1"/>
    <col min="2" max="2" width="46" customWidth="1"/>
    <col min="3" max="3" width="14.5703125" customWidth="1"/>
    <col min="4" max="4" width="9.140625" customWidth="1"/>
    <col min="5" max="5" width="10.42578125" bestFit="1" customWidth="1"/>
    <col min="6" max="6" width="50.42578125" bestFit="1" customWidth="1"/>
    <col min="7" max="7" width="8" bestFit="1" customWidth="1"/>
    <col min="8" max="8" width="0.140625" hidden="1" customWidth="1"/>
    <col min="9" max="9" width="67.28515625" bestFit="1" customWidth="1"/>
    <col min="10" max="10" width="13.28515625" bestFit="1" customWidth="1"/>
    <col min="11" max="11" width="12.28515625" bestFit="1" customWidth="1"/>
    <col min="12" max="12" width="11.28515625" bestFit="1" customWidth="1"/>
    <col min="13" max="13" width="6.85546875" bestFit="1" customWidth="1"/>
    <col min="14" max="14" width="71.42578125" bestFit="1" customWidth="1"/>
    <col min="15" max="15" width="37.5703125" bestFit="1" customWidth="1"/>
    <col min="16" max="16" width="13.28515625" bestFit="1" customWidth="1"/>
    <col min="17" max="17" width="2" bestFit="1" customWidth="1"/>
    <col min="18" max="18" width="0.140625" hidden="1" customWidth="1"/>
    <col min="19" max="20" width="2" bestFit="1" customWidth="1"/>
    <col min="21" max="21" width="9.7109375" bestFit="1" customWidth="1"/>
    <col min="22" max="22" width="2" bestFit="1" customWidth="1"/>
    <col min="23" max="23" width="1.5703125" bestFit="1" customWidth="1"/>
    <col min="24" max="24" width="7" bestFit="1" customWidth="1"/>
    <col min="25" max="25" width="2" bestFit="1" customWidth="1"/>
    <col min="26" max="26" width="0.140625" hidden="1" customWidth="1"/>
    <col min="27" max="27" width="2" bestFit="1" customWidth="1"/>
    <col min="28" max="28" width="0.140625" hidden="1" customWidth="1"/>
    <col min="29" max="30" width="2" bestFit="1" customWidth="1"/>
    <col min="31" max="31" width="0.140625" hidden="1" customWidth="1"/>
    <col min="32" max="32" width="2" bestFit="1" customWidth="1"/>
    <col min="33" max="33" width="7.5703125" bestFit="1" customWidth="1"/>
    <col min="34" max="36" width="0.140625" hidden="1" customWidth="1"/>
    <col min="37" max="37" width="2.140625" bestFit="1" customWidth="1"/>
    <col min="38" max="46" width="0.140625" hidden="1" customWidth="1"/>
    <col min="47" max="47" width="8.140625" bestFit="1" customWidth="1"/>
    <col min="48" max="48" width="7.5703125" bestFit="1" customWidth="1"/>
    <col min="49" max="49" width="6.85546875" bestFit="1" customWidth="1"/>
    <col min="50" max="50" width="11.28515625" bestFit="1" customWidth="1"/>
    <col min="51" max="55" width="17.85546875" hidden="1" customWidth="1"/>
    <col min="56" max="162" width="17.85546875" customWidth="1"/>
    <col min="251" max="252" width="11.42578125" customWidth="1"/>
  </cols>
  <sheetData>
    <row r="1" spans="1:50" ht="20.25" customHeight="1" x14ac:dyDescent="0.2">
      <c r="A1" s="135" t="s">
        <v>183</v>
      </c>
      <c r="B1" s="70"/>
      <c r="C1" s="136" t="s">
        <v>0</v>
      </c>
      <c r="D1" s="122"/>
      <c r="E1" s="71"/>
      <c r="I1" s="1250" t="s">
        <v>3</v>
      </c>
      <c r="J1" s="1251"/>
      <c r="K1" s="132" t="s">
        <v>45</v>
      </c>
      <c r="L1" s="36">
        <f>+'DATOS PARA DEPURAR'!E29</f>
        <v>82752000</v>
      </c>
      <c r="AU1" s="44" t="e">
        <f>+#REF!/'DATOS PARA DEPURAR'!C24</f>
        <v>#REF!</v>
      </c>
    </row>
    <row r="2" spans="1:50" ht="21" customHeight="1" thickBot="1" x14ac:dyDescent="0.35">
      <c r="A2" s="46"/>
      <c r="B2" s="115" t="str">
        <f>+'DATOS PARA DEPURAR'!C7</f>
        <v>RIOJAS QUINTERO MAIRA ALEJANDRA</v>
      </c>
      <c r="C2" s="1252">
        <f>+'DATOS PARA DEPURAR'!C5</f>
        <v>2023</v>
      </c>
      <c r="D2" s="1253"/>
      <c r="E2" s="1254"/>
      <c r="I2" s="1255" t="s">
        <v>310</v>
      </c>
      <c r="J2" s="1256"/>
      <c r="K2" s="133" t="s">
        <v>46</v>
      </c>
      <c r="L2" s="33">
        <f>+'DATOS PARA DEPURAR'!E32</f>
        <v>10746000</v>
      </c>
      <c r="AU2" s="41">
        <v>0</v>
      </c>
      <c r="AV2" s="41">
        <f>+AU3-0.01</f>
        <v>128.95000000000002</v>
      </c>
      <c r="AW2" s="41">
        <v>0</v>
      </c>
    </row>
    <row r="3" spans="1:50" ht="22.5" customHeight="1" thickBot="1" x14ac:dyDescent="0.3">
      <c r="A3" s="72" t="s">
        <v>347</v>
      </c>
      <c r="B3" s="73">
        <f>+'DATOS PARA DEPURAR'!E7</f>
        <v>1065263869</v>
      </c>
      <c r="C3" s="2512" t="s">
        <v>342</v>
      </c>
      <c r="D3" s="2513"/>
      <c r="E3" s="2514"/>
      <c r="I3" s="1255" t="s">
        <v>311</v>
      </c>
      <c r="J3" s="1256"/>
      <c r="K3" s="133" t="s">
        <v>46</v>
      </c>
      <c r="L3" s="33">
        <f>+'DATOS PARA DEPURAR'!E33</f>
        <v>0</v>
      </c>
      <c r="AU3" s="41">
        <v>128.96</v>
      </c>
      <c r="AV3" s="41">
        <f>+AU6-0.01</f>
        <v>132.35000000000002</v>
      </c>
      <c r="AW3" s="41">
        <v>0.09</v>
      </c>
      <c r="AX3" s="1">
        <f>+AW3*'DATOS PARA DEPURAR'!$C$24</f>
        <v>3817.08</v>
      </c>
    </row>
    <row r="4" spans="1:50" ht="15.75" customHeight="1" x14ac:dyDescent="0.2">
      <c r="A4" s="464">
        <v>27</v>
      </c>
      <c r="B4" s="2504" t="s">
        <v>382</v>
      </c>
      <c r="C4" s="2504"/>
      <c r="D4" s="2504"/>
      <c r="E4" s="463">
        <f>IF((E$13)&gt;0,F4,0)</f>
        <v>0</v>
      </c>
      <c r="F4">
        <f>+'PATRIMONIO BRUTO'!F91</f>
        <v>4153418915.25</v>
      </c>
      <c r="I4" s="331" t="str">
        <f>+'DATOS PARA DEPURAR'!B31</f>
        <v>OTROS INGRESOS LABORALES - FORMATO 220</v>
      </c>
      <c r="J4" s="332"/>
      <c r="K4" s="133" t="s">
        <v>314</v>
      </c>
      <c r="L4" s="33">
        <f>+'DATOS PARA DEPURAR'!E31</f>
        <v>0</v>
      </c>
      <c r="AU4" s="41"/>
      <c r="AV4" s="41"/>
      <c r="AW4" s="41"/>
      <c r="AX4" s="1"/>
    </row>
    <row r="5" spans="1:50" ht="15.75" customHeight="1" x14ac:dyDescent="0.2">
      <c r="A5" s="355">
        <v>28</v>
      </c>
      <c r="B5" s="1279" t="s">
        <v>105</v>
      </c>
      <c r="C5" s="1241"/>
      <c r="D5" s="2505"/>
      <c r="E5" s="356">
        <f>IF((E$13)&gt;0,F5,0)</f>
        <v>0</v>
      </c>
      <c r="F5">
        <f>+'PATRIMONIO BRUTO'!F135</f>
        <v>0</v>
      </c>
      <c r="I5" s="331"/>
      <c r="J5" s="332"/>
      <c r="K5" s="133"/>
      <c r="L5" s="33"/>
      <c r="AU5" s="41"/>
      <c r="AV5" s="41"/>
      <c r="AW5" s="41"/>
      <c r="AX5" s="1"/>
    </row>
    <row r="6" spans="1:50" ht="16.5" customHeight="1" thickBot="1" x14ac:dyDescent="0.25">
      <c r="A6" s="460">
        <v>29</v>
      </c>
      <c r="B6" s="461" t="s">
        <v>383</v>
      </c>
      <c r="C6" s="462"/>
      <c r="D6" s="462"/>
      <c r="E6" s="458">
        <f>IF((E4-E5)&gt;0,(E4-E5),0)</f>
        <v>0</v>
      </c>
      <c r="F6">
        <f>IF((F4-F5)&gt;0,(F4-F5),0)</f>
        <v>4153418915.25</v>
      </c>
      <c r="I6" s="1255" t="s">
        <v>4</v>
      </c>
      <c r="J6" s="1256"/>
      <c r="K6" s="133" t="s">
        <v>46</v>
      </c>
      <c r="L6" s="33">
        <f>+'DATOS PARA DEPURAR'!E34</f>
        <v>0</v>
      </c>
      <c r="AU6" s="41">
        <v>132.36000000000001</v>
      </c>
      <c r="AV6" s="41">
        <f>+AU7-0.01</f>
        <v>135.74</v>
      </c>
      <c r="AW6" s="41">
        <v>0.09</v>
      </c>
      <c r="AX6" s="1">
        <f>+AW6*'DATOS PARA DEPURAR'!$C$24</f>
        <v>3817.08</v>
      </c>
    </row>
    <row r="7" spans="1:50" x14ac:dyDescent="0.2">
      <c r="A7" s="128">
        <v>30</v>
      </c>
      <c r="B7" s="359" t="s">
        <v>18</v>
      </c>
      <c r="C7" s="120"/>
      <c r="D7" s="120"/>
      <c r="E7" s="124"/>
      <c r="I7" s="1243" t="s">
        <v>317</v>
      </c>
      <c r="J7" s="1244"/>
      <c r="K7" s="133" t="s">
        <v>46</v>
      </c>
      <c r="L7" s="33">
        <f>+'DATOS PARA DEPURAR'!E35</f>
        <v>0</v>
      </c>
      <c r="AU7" s="41">
        <v>135.75</v>
      </c>
      <c r="AV7" s="41">
        <f t="shared" ref="AV7:AV103" si="0">+AU8-0.01</f>
        <v>139.13</v>
      </c>
      <c r="AW7" s="41">
        <v>0.09</v>
      </c>
      <c r="AX7" s="1">
        <f>+AW7*'DATOS PARA DEPURAR'!$C$24</f>
        <v>3817.08</v>
      </c>
    </row>
    <row r="8" spans="1:50" ht="10.5" customHeight="1" x14ac:dyDescent="0.2">
      <c r="A8" s="125"/>
      <c r="B8" s="81" t="s">
        <v>39</v>
      </c>
      <c r="C8" s="84"/>
      <c r="D8" s="83"/>
      <c r="E8" s="126">
        <f>IF(E13&gt;0,(F8+F12),0)</f>
        <v>0</v>
      </c>
      <c r="F8" s="82">
        <f>IF('DATOS PARA DEPURAR'!E106="S",N8,0)</f>
        <v>0</v>
      </c>
      <c r="I8" s="2506" t="s">
        <v>26</v>
      </c>
      <c r="J8" s="2507"/>
      <c r="K8" s="133" t="s">
        <v>46</v>
      </c>
      <c r="L8" s="33">
        <f>+'DATOS PARA DEPURAR'!E40</f>
        <v>0</v>
      </c>
      <c r="N8" s="55">
        <f>IF(K1="S",L1)+IF(K2="S",L2)+IF(K3="S",L3)+IF(K6="S",L6)+IF(K7="S",L7)+IF(K8="S",L8)+IF(K9="S",L9)+IF(K10="S",L10)+IF(K11="S",L11)+IF(K12="S",L12)+IF(K13="S",L13)+IF(K4="S",L4)</f>
        <v>82752000</v>
      </c>
      <c r="AU8" s="41">
        <v>139.13999999999999</v>
      </c>
      <c r="AV8" s="41">
        <f t="shared" si="0"/>
        <v>142.53</v>
      </c>
      <c r="AW8" s="41">
        <v>0.09</v>
      </c>
      <c r="AX8" s="1">
        <f>+AW8*'DATOS PARA DEPURAR'!$C$24</f>
        <v>3817.08</v>
      </c>
    </row>
    <row r="9" spans="1:50" hidden="1" x14ac:dyDescent="0.2">
      <c r="A9" s="125"/>
      <c r="B9" s="81"/>
      <c r="C9" s="90"/>
      <c r="D9" s="83"/>
      <c r="E9" s="127"/>
      <c r="F9" s="84"/>
      <c r="I9" s="2506" t="s">
        <v>27</v>
      </c>
      <c r="J9" s="2507"/>
      <c r="K9" s="121" t="str">
        <f>+'DATOS PARA DEPURAR'!D41</f>
        <v>N</v>
      </c>
      <c r="L9" s="33">
        <f>+'DATOS PARA DEPURAR'!E41</f>
        <v>0</v>
      </c>
      <c r="AU9" s="41">
        <v>142.54</v>
      </c>
      <c r="AV9" s="41">
        <f t="shared" si="0"/>
        <v>145.92000000000002</v>
      </c>
      <c r="AW9" s="41">
        <v>0.1</v>
      </c>
      <c r="AX9" s="1">
        <f>+AW9*'DATOS PARA DEPURAR'!$C$24</f>
        <v>4241.2</v>
      </c>
    </row>
    <row r="10" spans="1:50" ht="11.25" customHeight="1" x14ac:dyDescent="0.2">
      <c r="A10" s="125"/>
      <c r="B10" s="88" t="s">
        <v>40</v>
      </c>
      <c r="C10" s="84"/>
      <c r="D10" s="89"/>
      <c r="E10" s="126">
        <f>IF(E13&gt;0,F10,0)</f>
        <v>0</v>
      </c>
      <c r="F10" s="91">
        <f>IF('DATOS PARA DEPURAR'!E106="S",N11,0)</f>
        <v>0</v>
      </c>
      <c r="I10" s="2506" t="s">
        <v>28</v>
      </c>
      <c r="J10" s="2507"/>
      <c r="K10" s="133" t="s">
        <v>46</v>
      </c>
      <c r="L10" s="33">
        <f>+'DATOS PARA DEPURAR'!E42</f>
        <v>0</v>
      </c>
      <c r="AU10" s="41">
        <v>145.93</v>
      </c>
      <c r="AV10" s="41">
        <f t="shared" si="0"/>
        <v>149.31</v>
      </c>
      <c r="AW10" s="41">
        <v>0.2</v>
      </c>
      <c r="AX10" s="1">
        <f>+AW10*'DATOS PARA DEPURAR'!$C$24</f>
        <v>8482.4</v>
      </c>
    </row>
    <row r="11" spans="1:50" ht="15.75" customHeight="1" thickBot="1" x14ac:dyDescent="0.25">
      <c r="A11" s="457">
        <v>31</v>
      </c>
      <c r="B11" s="2508" t="s">
        <v>72</v>
      </c>
      <c r="C11" s="2509"/>
      <c r="D11" s="2510"/>
      <c r="E11" s="458">
        <f>IF(E13&gt;0,F11,0)</f>
        <v>0</v>
      </c>
      <c r="F11" s="118">
        <f>IF('DATOS PARA DEPURAR'!E106="S",('DATOS PARA DEPURAR'!E98+'DATOS PARA DEPURAR'!E57-SUM('DATOS PARA DEPURAR'!E62:E70)-SUM('DATOS PARA DEPURAR'!E75:E78)+F15+F16),0)</f>
        <v>0</v>
      </c>
      <c r="I11" s="1248" t="s">
        <v>19</v>
      </c>
      <c r="J11" s="1249"/>
      <c r="K11" s="133" t="s">
        <v>46</v>
      </c>
      <c r="L11" s="33">
        <f>+'DATOS PARA DEPURAR'!E43</f>
        <v>0</v>
      </c>
      <c r="N11" s="55">
        <f>IF(K1="N",L1)+IF(K2="N",L2)+IF(K3="N",L3)+IF(K4="N",L4)+IF(K6="N",L6)+IF(K7="N",L7)+IF(K8="N",L8)+IF(K9="N",L9)+IF(K10="N",L10)+IF(K11="N",L11)+IF(K12="N",L12)+IF(K13="N",L13)+IF(K14="N",L14)+IF(K15="N",L15)</f>
        <v>18051729</v>
      </c>
      <c r="AU11" s="41">
        <v>149.32</v>
      </c>
      <c r="AV11" s="41">
        <f t="shared" si="0"/>
        <v>152.71</v>
      </c>
      <c r="AW11" s="41">
        <v>0.2</v>
      </c>
      <c r="AX11" s="1">
        <f>+AW11*'DATOS PARA DEPURAR'!$C$24</f>
        <v>8482.4</v>
      </c>
    </row>
    <row r="12" spans="1:50" s="84" customFormat="1" thickBot="1" x14ac:dyDescent="0.25">
      <c r="A12" s="440">
        <v>32</v>
      </c>
      <c r="B12" s="2497" t="s">
        <v>447</v>
      </c>
      <c r="C12" s="2497"/>
      <c r="D12" s="2497"/>
      <c r="E12" s="126">
        <f>IF(E13&gt;0,F12,0)</f>
        <v>0</v>
      </c>
      <c r="F12" s="84">
        <f>+'DATOS PARA DEPURAR'!E45</f>
        <v>0</v>
      </c>
      <c r="I12" s="1263" t="s">
        <v>43</v>
      </c>
      <c r="J12" s="1264"/>
      <c r="K12" s="131" t="s">
        <v>46</v>
      </c>
      <c r="L12" s="85">
        <f>+'DATOS PARA DEPURAR'!E36</f>
        <v>0</v>
      </c>
      <c r="M12" s="84">
        <f>IF(L12&lt;=L1*0.5,L12,L1*0.5)</f>
        <v>0</v>
      </c>
      <c r="N12" s="84">
        <f>+'DATOS PARA DEPURAR'!E25</f>
        <v>47065</v>
      </c>
      <c r="AU12" s="86">
        <v>152.72</v>
      </c>
      <c r="AV12" s="86">
        <f t="shared" si="0"/>
        <v>156.10000000000002</v>
      </c>
      <c r="AW12" s="86">
        <v>0.21</v>
      </c>
      <c r="AX12" s="82">
        <f>+AW12*'DATOS PARA DEPURAR'!$C$24</f>
        <v>8906.52</v>
      </c>
    </row>
    <row r="13" spans="1:50" s="84" customFormat="1" x14ac:dyDescent="0.2">
      <c r="A13" s="460">
        <v>33</v>
      </c>
      <c r="B13" s="2504" t="s">
        <v>95</v>
      </c>
      <c r="C13" s="2504"/>
      <c r="D13" s="2511"/>
      <c r="E13" s="459">
        <f>IF(I17=4,F14,0)</f>
        <v>0</v>
      </c>
      <c r="F13" s="2">
        <f>SUM(F8:F12)</f>
        <v>0</v>
      </c>
      <c r="I13" t="s">
        <v>44</v>
      </c>
      <c r="J13"/>
      <c r="K13" s="100" t="s">
        <v>46</v>
      </c>
      <c r="L13" s="1">
        <f>+'DATOS PARA DEPURAR'!E39</f>
        <v>0</v>
      </c>
      <c r="N13" s="87">
        <f>+'DATOS PARA DEPURAR'!D286</f>
        <v>0</v>
      </c>
      <c r="AU13" s="86">
        <v>156.11000000000001</v>
      </c>
      <c r="AV13" s="86">
        <f t="shared" si="0"/>
        <v>159.5</v>
      </c>
      <c r="AW13" s="86">
        <v>0.4</v>
      </c>
      <c r="AX13" s="82">
        <f>+AW13*'DATOS PARA DEPURAR'!$C$24</f>
        <v>16964.8</v>
      </c>
    </row>
    <row r="14" spans="1:50" s="84" customFormat="1" ht="15" customHeight="1" x14ac:dyDescent="0.2">
      <c r="A14" s="128">
        <f t="shared" ref="A14:A24" si="1">+A13+1</f>
        <v>34</v>
      </c>
      <c r="B14" s="322" t="s">
        <v>54</v>
      </c>
      <c r="C14" s="322"/>
      <c r="D14" s="322"/>
      <c r="E14" s="339">
        <f>IF(E13&gt;0,'DATOS PARA DEPURAR'!E134,0)</f>
        <v>0</v>
      </c>
      <c r="F14" s="439">
        <f>+F13-F12</f>
        <v>0</v>
      </c>
      <c r="I14" s="134" t="s">
        <v>179</v>
      </c>
      <c r="J14" s="134"/>
      <c r="K14" s="100" t="s">
        <v>46</v>
      </c>
      <c r="L14" s="1">
        <f>+'DATOS PARA DEPURAR'!E44</f>
        <v>7305729</v>
      </c>
      <c r="AU14" s="86">
        <v>159.51</v>
      </c>
      <c r="AV14" s="86">
        <f t="shared" si="0"/>
        <v>162.89000000000001</v>
      </c>
      <c r="AW14" s="86">
        <v>0.41</v>
      </c>
      <c r="AX14" s="82">
        <f>+AW14*'DATOS PARA DEPURAR'!$C$24</f>
        <v>17388.919999999998</v>
      </c>
    </row>
    <row r="15" spans="1:50" ht="12.75" customHeight="1" x14ac:dyDescent="0.2">
      <c r="A15" s="460">
        <f t="shared" si="1"/>
        <v>35</v>
      </c>
      <c r="B15" s="466" t="s">
        <v>55</v>
      </c>
      <c r="C15" s="466"/>
      <c r="D15" s="466"/>
      <c r="E15" s="458">
        <f>IF(E13&gt;0,'DATOS PARA DEPURAR'!C86,0)</f>
        <v>0</v>
      </c>
      <c r="F15">
        <f>IF(('DATOS PARA DEPURAR'!D62)="N",'DATOS PARA DEPURAR'!E62,0)</f>
        <v>100000000</v>
      </c>
      <c r="I15" s="1239" t="str">
        <f>IF(F6&lt;(12000*'DATOS PARA DEPURAR'!C24),"2","1")</f>
        <v>1</v>
      </c>
      <c r="J15" s="1239"/>
      <c r="K15" s="100"/>
      <c r="L15" s="1"/>
      <c r="N15" s="66">
        <f>+'DATOS PARA DEPURAR'!E258</f>
        <v>0</v>
      </c>
      <c r="AU15" s="41">
        <v>162.9</v>
      </c>
      <c r="AV15" s="41">
        <f t="shared" si="0"/>
        <v>166.28</v>
      </c>
      <c r="AW15" s="41">
        <v>0.41</v>
      </c>
      <c r="AX15" s="1">
        <f>+AW15*'DATOS PARA DEPURAR'!$C$24</f>
        <v>17388.919999999998</v>
      </c>
    </row>
    <row r="16" spans="1:50" ht="16.5" customHeight="1" x14ac:dyDescent="0.2">
      <c r="A16" s="128">
        <f t="shared" si="1"/>
        <v>36</v>
      </c>
      <c r="B16" s="322" t="s">
        <v>56</v>
      </c>
      <c r="C16" s="322"/>
      <c r="D16" s="322"/>
      <c r="E16" s="129">
        <f>IF(E13&gt;0,'DATOS PARA DEPURAR'!D286+'DATOS PARA DEPURAR'!D287+'DATOS PARA DEPURAR'!E258+'DATOS PARA DEPURAR'!E257,0)</f>
        <v>0</v>
      </c>
      <c r="F16">
        <f>IF(('DATOS PARA DEPURAR'!D64)="N",'DATOS PARA DEPURAR'!E64,0)</f>
        <v>100000000</v>
      </c>
      <c r="G16" s="2"/>
      <c r="I16" t="str">
        <f>IF(F13&lt;(2800*'DATOS PARA DEPURAR'!C24),"2","1")</f>
        <v>2</v>
      </c>
      <c r="AU16" s="41">
        <v>166.29</v>
      </c>
      <c r="AV16" s="41">
        <f t="shared" si="0"/>
        <v>169.68</v>
      </c>
      <c r="AW16" s="41">
        <v>0.7</v>
      </c>
      <c r="AX16" s="1">
        <f>+AW16*'DATOS PARA DEPURAR'!$C$24</f>
        <v>29688.399999999998</v>
      </c>
    </row>
    <row r="17" spans="1:50" ht="14.25" customHeight="1" x14ac:dyDescent="0.2">
      <c r="A17" s="460">
        <f t="shared" si="1"/>
        <v>37</v>
      </c>
      <c r="B17" s="466" t="s">
        <v>57</v>
      </c>
      <c r="C17" s="466"/>
      <c r="D17" s="466"/>
      <c r="E17" s="467">
        <f>IF(E13&gt;0,'DATOS PARA DEPURAR'!E293,0)</f>
        <v>0</v>
      </c>
      <c r="I17" s="2515">
        <f>+I15+I16</f>
        <v>3</v>
      </c>
      <c r="J17" s="2515"/>
      <c r="K17" s="80"/>
      <c r="AU17" s="41">
        <v>169.69</v>
      </c>
      <c r="AV17" s="41">
        <f t="shared" si="0"/>
        <v>176.46</v>
      </c>
      <c r="AW17" s="41">
        <v>0.73</v>
      </c>
      <c r="AX17" s="1">
        <f>+AW17*'DATOS PARA DEPURAR'!$C$24</f>
        <v>30960.76</v>
      </c>
    </row>
    <row r="18" spans="1:50" ht="16.5" customHeight="1" x14ac:dyDescent="0.2">
      <c r="A18" s="128">
        <f t="shared" si="1"/>
        <v>38</v>
      </c>
      <c r="B18" s="322" t="s">
        <v>65</v>
      </c>
      <c r="C18" s="322"/>
      <c r="D18" s="322"/>
      <c r="E18" s="129">
        <f>IF(E13&gt;0,'DEPURACION ORDINARIO 2017'!K14,0)</f>
        <v>0</v>
      </c>
      <c r="AU18" s="41">
        <v>176.47</v>
      </c>
      <c r="AV18" s="41">
        <f t="shared" si="0"/>
        <v>-0.01</v>
      </c>
      <c r="AW18" s="41">
        <v>1.1499999999999999</v>
      </c>
      <c r="AX18" s="1">
        <f>+AW18*'DATOS PARA DEPURAR'!$C$24</f>
        <v>48773.799999999996</v>
      </c>
    </row>
    <row r="19" spans="1:50" ht="16.5" customHeight="1" x14ac:dyDescent="0.2">
      <c r="A19" s="460">
        <f t="shared" si="1"/>
        <v>39</v>
      </c>
      <c r="B19" s="466" t="s">
        <v>58</v>
      </c>
      <c r="C19" s="466"/>
      <c r="D19" s="466"/>
      <c r="E19" s="467">
        <f>IF(E13&gt;0,'DATOS PARA DEPURAR'!E241,0)</f>
        <v>0</v>
      </c>
      <c r="AU19" s="41"/>
      <c r="AV19" s="41"/>
      <c r="AW19" s="41"/>
      <c r="AX19" s="1"/>
    </row>
    <row r="20" spans="1:50" ht="14.25" customHeight="1" x14ac:dyDescent="0.2">
      <c r="A20" s="128">
        <f t="shared" si="1"/>
        <v>40</v>
      </c>
      <c r="B20" s="322" t="s">
        <v>59</v>
      </c>
      <c r="C20" s="322"/>
      <c r="D20" s="322"/>
      <c r="E20" s="129">
        <f>IF(E13&gt;0,'DATOS PARA DEPURAR'!E242,0)</f>
        <v>0</v>
      </c>
      <c r="I20" s="80"/>
      <c r="J20" s="80"/>
      <c r="K20" s="80"/>
      <c r="L20" s="80"/>
      <c r="AU20" s="41"/>
      <c r="AV20" s="41"/>
      <c r="AW20" s="41"/>
      <c r="AX20" s="1"/>
    </row>
    <row r="21" spans="1:50" ht="14.25" customHeight="1" x14ac:dyDescent="0.2">
      <c r="A21" s="460">
        <f t="shared" si="1"/>
        <v>41</v>
      </c>
      <c r="B21" s="466" t="s">
        <v>60</v>
      </c>
      <c r="C21" s="466"/>
      <c r="D21" s="466"/>
      <c r="E21" s="467">
        <f>IF(E13&gt;0,SUM(I28:I29),0)</f>
        <v>0</v>
      </c>
      <c r="F21">
        <f>+'DATOS PARA DEPURAR'!E40</f>
        <v>0</v>
      </c>
      <c r="I21" s="34" t="s">
        <v>20</v>
      </c>
      <c r="J21" s="4"/>
      <c r="K21" s="4" t="str">
        <f>+'DATOS PARA DEPURAR'!D117</f>
        <v>S</v>
      </c>
      <c r="L21" s="12">
        <f>+'DATOS PARA DEPURAR'!E117</f>
        <v>0</v>
      </c>
      <c r="AU21" s="41"/>
      <c r="AV21" s="41"/>
      <c r="AW21" s="41"/>
      <c r="AX21" s="1"/>
    </row>
    <row r="22" spans="1:50" ht="16.5" customHeight="1" x14ac:dyDescent="0.2">
      <c r="A22" s="128">
        <f t="shared" si="1"/>
        <v>42</v>
      </c>
      <c r="B22" s="322" t="s">
        <v>61</v>
      </c>
      <c r="C22" s="322"/>
      <c r="D22" s="322"/>
      <c r="E22" s="339">
        <f>IF((E13)&gt;0,('DATOS PARA DEPURAR'!E40+'DATOS PARA DEPURAR'!E83),0)</f>
        <v>0</v>
      </c>
      <c r="I22" s="34" t="s">
        <v>4</v>
      </c>
      <c r="J22" s="12" t="b">
        <f>IF(K21=1,L21,IF(K21=2,0))</f>
        <v>0</v>
      </c>
      <c r="K22" s="12"/>
      <c r="L22" s="4"/>
      <c r="AU22" s="41"/>
      <c r="AV22" s="41"/>
      <c r="AW22" s="41"/>
      <c r="AX22" s="1"/>
    </row>
    <row r="23" spans="1:50" ht="14.25" customHeight="1" x14ac:dyDescent="0.2">
      <c r="A23" s="460">
        <f t="shared" si="1"/>
        <v>43</v>
      </c>
      <c r="B23" s="466" t="s">
        <v>62</v>
      </c>
      <c r="C23" s="466"/>
      <c r="D23" s="466"/>
      <c r="E23" s="467">
        <f>IF(E13&gt;0,'DATOS PARA DEPURAR'!E41+'DATOS PARA DEPURAR'!E42,0)</f>
        <v>0</v>
      </c>
      <c r="I23" s="1235"/>
      <c r="J23" s="1236"/>
      <c r="K23" s="1236"/>
      <c r="L23" s="1237"/>
      <c r="AU23" s="41"/>
      <c r="AV23" s="41"/>
      <c r="AW23" s="41"/>
      <c r="AX23" s="1"/>
    </row>
    <row r="24" spans="1:50" ht="16.5" customHeight="1" x14ac:dyDescent="0.2">
      <c r="A24" s="128">
        <f t="shared" si="1"/>
        <v>44</v>
      </c>
      <c r="B24" s="322" t="s">
        <v>63</v>
      </c>
      <c r="C24" s="322"/>
      <c r="D24" s="322"/>
      <c r="E24" s="129">
        <f>IF(E13&gt;0,'DATOS PARA DEPURAR'!E35,0)</f>
        <v>0</v>
      </c>
      <c r="I24" s="80"/>
      <c r="J24" s="80"/>
      <c r="K24" s="80"/>
      <c r="L24" s="80"/>
      <c r="AU24" s="41"/>
      <c r="AV24" s="41"/>
      <c r="AW24" s="41"/>
      <c r="AX24" s="1"/>
    </row>
    <row r="25" spans="1:50" ht="12" customHeight="1" x14ac:dyDescent="0.2">
      <c r="A25" s="460">
        <v>45</v>
      </c>
      <c r="B25" s="466" t="s">
        <v>64</v>
      </c>
      <c r="C25" s="466"/>
      <c r="D25" s="466"/>
      <c r="E25" s="467">
        <f>IF(E13&gt;0,'DATOS PARA DEPURAR'!E87,0)</f>
        <v>0</v>
      </c>
      <c r="I25" s="80"/>
      <c r="J25" s="80"/>
      <c r="K25" s="80"/>
      <c r="L25" s="80"/>
      <c r="AU25" s="41"/>
      <c r="AV25" s="41"/>
      <c r="AW25" s="41"/>
      <c r="AX25" s="1"/>
    </row>
    <row r="26" spans="1:50" ht="16.5" customHeight="1" x14ac:dyDescent="0.2">
      <c r="A26" s="1217" t="s">
        <v>348</v>
      </c>
      <c r="B26" s="1218"/>
      <c r="C26" s="1218"/>
      <c r="D26" s="1218"/>
      <c r="E26" s="1219"/>
      <c r="I26" s="3"/>
      <c r="J26" s="78"/>
      <c r="K26" s="1229"/>
      <c r="L26" s="1229"/>
      <c r="N26" s="79"/>
      <c r="AU26" s="41"/>
      <c r="AV26" s="41"/>
      <c r="AW26" s="41"/>
      <c r="AX26" s="78"/>
    </row>
    <row r="27" spans="1:50" ht="16.5" customHeight="1" x14ac:dyDescent="0.2">
      <c r="A27" s="128">
        <f>+A25+1</f>
        <v>46</v>
      </c>
      <c r="B27" s="338" t="s">
        <v>66</v>
      </c>
      <c r="C27" s="338"/>
      <c r="D27" s="338"/>
      <c r="E27" s="129">
        <f>IF((E13)&gt;0,('DATOS PARA DEPURAR'!E79),0)</f>
        <v>0</v>
      </c>
      <c r="I27" s="3"/>
      <c r="J27" s="78"/>
      <c r="K27" s="78"/>
      <c r="N27" s="79"/>
      <c r="AU27" s="41"/>
      <c r="AV27" s="41"/>
      <c r="AW27" s="41"/>
      <c r="AX27" s="78"/>
    </row>
    <row r="28" spans="1:50" ht="14.25" customHeight="1" x14ac:dyDescent="0.2">
      <c r="A28" s="460">
        <f t="shared" ref="A28:A45" si="2">+A27+1</f>
        <v>47</v>
      </c>
      <c r="B28" s="466" t="s">
        <v>67</v>
      </c>
      <c r="C28" s="466"/>
      <c r="D28" s="466"/>
      <c r="E28" s="465">
        <f>E13-SUM(E14:E27)</f>
        <v>0</v>
      </c>
      <c r="I28" s="3">
        <f>IF('DATOS PARA DEPURAR'!D62="N",'DATOS PARA DEPURAR'!E175,0)</f>
        <v>50000000</v>
      </c>
      <c r="J28" s="78"/>
      <c r="K28" s="78"/>
      <c r="N28" s="79"/>
      <c r="AU28" s="41"/>
      <c r="AV28" s="41"/>
      <c r="AW28" s="41"/>
      <c r="AX28" s="78"/>
    </row>
    <row r="29" spans="1:50" ht="16.5" customHeight="1" x14ac:dyDescent="0.2">
      <c r="A29" s="128">
        <f t="shared" si="2"/>
        <v>48</v>
      </c>
      <c r="B29" s="322" t="s">
        <v>86</v>
      </c>
      <c r="C29" s="322"/>
      <c r="D29" s="322"/>
      <c r="E29" s="130">
        <f>IF(E13&gt;0,SUM(J30:J31),0)</f>
        <v>0</v>
      </c>
      <c r="I29" s="3">
        <f>IF('DATOS PARA DEPURAR'!D64="N",'DATOS PARA DEPURAR'!E176,0)</f>
        <v>50000000</v>
      </c>
      <c r="J29" s="78"/>
      <c r="K29" s="78"/>
      <c r="N29" s="79"/>
      <c r="AU29" s="41"/>
      <c r="AV29" s="41"/>
      <c r="AW29" s="41"/>
      <c r="AX29" s="78"/>
    </row>
    <row r="30" spans="1:50" ht="13.5" customHeight="1" x14ac:dyDescent="0.2">
      <c r="A30" s="460">
        <f t="shared" si="2"/>
        <v>49</v>
      </c>
      <c r="B30" s="466" t="s">
        <v>87</v>
      </c>
      <c r="C30" s="466"/>
      <c r="D30" s="466"/>
      <c r="E30" s="465">
        <f>IF(E13&gt;0,SUM(I40:I41),0)</f>
        <v>0</v>
      </c>
      <c r="I30" s="99" t="s">
        <v>90</v>
      </c>
      <c r="J30" s="78">
        <f>IF('DATOS PARA DEPURAR'!E66&gt;0,'DATOS PARA DEPURAR'!E66,0)</f>
        <v>0</v>
      </c>
      <c r="K30" s="123">
        <f>+J30*0.2</f>
        <v>0</v>
      </c>
      <c r="L30" s="78"/>
      <c r="N30" s="79"/>
      <c r="AU30" s="41"/>
      <c r="AV30" s="41"/>
      <c r="AW30" s="41"/>
      <c r="AX30" s="78"/>
    </row>
    <row r="31" spans="1:50" ht="16.5" customHeight="1" x14ac:dyDescent="0.2">
      <c r="A31" s="128">
        <f t="shared" si="2"/>
        <v>50</v>
      </c>
      <c r="B31" s="322" t="s">
        <v>88</v>
      </c>
      <c r="C31" s="322"/>
      <c r="D31" s="322"/>
      <c r="E31" s="339">
        <f>IF(E13&gt;0,I42,0)</f>
        <v>0</v>
      </c>
      <c r="I31" s="99" t="s">
        <v>91</v>
      </c>
      <c r="J31" s="38">
        <f>SUM(I37:I38)</f>
        <v>1890000000</v>
      </c>
      <c r="K31" s="78">
        <f>+(J31-I42-I40-I41)*0.1</f>
        <v>80080500</v>
      </c>
      <c r="L31" s="78"/>
      <c r="N31" s="79"/>
      <c r="AU31" s="41"/>
      <c r="AV31" s="41"/>
      <c r="AW31" s="41"/>
      <c r="AX31" s="78"/>
    </row>
    <row r="32" spans="1:50" ht="15" customHeight="1" x14ac:dyDescent="0.2">
      <c r="A32" s="460">
        <f t="shared" si="2"/>
        <v>51</v>
      </c>
      <c r="B32" s="466" t="s">
        <v>89</v>
      </c>
      <c r="C32" s="466"/>
      <c r="D32" s="466"/>
      <c r="E32" s="465">
        <f>+E29-E30-E31</f>
        <v>0</v>
      </c>
      <c r="F32">
        <f>IF(E32&gt;0,SUM(K30:K31),0)</f>
        <v>0</v>
      </c>
      <c r="L32" s="78"/>
      <c r="N32" s="79"/>
      <c r="AU32" s="41"/>
      <c r="AV32" s="41"/>
      <c r="AW32" s="41"/>
      <c r="AX32" s="78"/>
    </row>
    <row r="33" spans="1:50" ht="12.75" customHeight="1" x14ac:dyDescent="0.2">
      <c r="A33" s="128">
        <f>+A32+1</f>
        <v>52</v>
      </c>
      <c r="B33" s="322" t="s">
        <v>99</v>
      </c>
      <c r="C33" s="322"/>
      <c r="D33" s="322"/>
      <c r="E33" s="130">
        <f>IF(E13&gt;0,E59,0)</f>
        <v>0</v>
      </c>
      <c r="F33" s="78">
        <f>IF(E13&gt;0,E59,0)</f>
        <v>0</v>
      </c>
      <c r="I33" s="3" t="s">
        <v>21</v>
      </c>
      <c r="L33" s="78">
        <f>+'DATOS PARA DEPURAR'!E132</f>
        <v>0</v>
      </c>
      <c r="N33" s="79" t="s">
        <v>50</v>
      </c>
      <c r="AU33" s="41">
        <v>210.41</v>
      </c>
      <c r="AV33" s="41">
        <f>+AU58-0.01</f>
        <v>217.19</v>
      </c>
      <c r="AW33" s="41">
        <v>2.96</v>
      </c>
      <c r="AX33" s="78">
        <f>+AW33*'DATOS PARA DEPURAR'!$C$24</f>
        <v>125539.52</v>
      </c>
    </row>
    <row r="34" spans="1:50" ht="14.25" customHeight="1" x14ac:dyDescent="0.2">
      <c r="A34" s="460">
        <f>+A33+1</f>
        <v>53</v>
      </c>
      <c r="B34" s="466" t="s">
        <v>101</v>
      </c>
      <c r="C34" s="466"/>
      <c r="D34" s="466"/>
      <c r="E34" s="465">
        <f>IF(E13&gt;0,G189,0)</f>
        <v>0</v>
      </c>
      <c r="F34">
        <f>IF(E13&gt;0,SUM('DEPURACION ORDINARIO 2017'!J24:J27),0)</f>
        <v>0</v>
      </c>
      <c r="I34" s="3"/>
      <c r="L34" s="78"/>
      <c r="N34" s="79"/>
      <c r="AU34" s="41"/>
      <c r="AV34" s="41"/>
      <c r="AW34" s="41"/>
      <c r="AX34" s="78"/>
    </row>
    <row r="35" spans="1:50" ht="12.75" customHeight="1" x14ac:dyDescent="0.2">
      <c r="A35" s="447">
        <f>+A34+1</f>
        <v>54</v>
      </c>
      <c r="B35" s="448" t="s">
        <v>450</v>
      </c>
      <c r="C35" s="448"/>
      <c r="D35" s="448"/>
      <c r="E35" s="449">
        <f>IF(E13&gt;0,E33-E34,0)</f>
        <v>0</v>
      </c>
      <c r="F35">
        <f>IF(E13&gt;0,F33-F34,0)</f>
        <v>0</v>
      </c>
      <c r="I35" s="75" t="s">
        <v>22</v>
      </c>
      <c r="J35" s="76"/>
      <c r="K35" s="76"/>
      <c r="L35" s="77" t="b">
        <f>IF(L33&lt;L30,L33,IF(L33&gt;L30,L30))</f>
        <v>0</v>
      </c>
      <c r="N35" s="79"/>
      <c r="AU35" s="41"/>
      <c r="AV35" s="41"/>
      <c r="AW35" s="41"/>
      <c r="AX35" s="78"/>
    </row>
    <row r="36" spans="1:50" ht="14.25" customHeight="1" x14ac:dyDescent="0.2">
      <c r="A36" s="460">
        <f t="shared" si="2"/>
        <v>55</v>
      </c>
      <c r="B36" s="468" t="s">
        <v>100</v>
      </c>
      <c r="C36" s="468"/>
      <c r="D36" s="468"/>
      <c r="E36" s="465">
        <f>IF(E32&gt;0,SUM(K30:K31),0)</f>
        <v>0</v>
      </c>
      <c r="F36" s="2"/>
      <c r="I36" s="3"/>
      <c r="L36" s="78"/>
      <c r="N36" s="79"/>
      <c r="AU36" s="41"/>
      <c r="AV36" s="41"/>
      <c r="AW36" s="41"/>
      <c r="AX36" s="78"/>
    </row>
    <row r="37" spans="1:50" ht="16.5" customHeight="1" x14ac:dyDescent="0.2">
      <c r="A37" s="447">
        <f t="shared" si="2"/>
        <v>56</v>
      </c>
      <c r="B37" s="448" t="s">
        <v>102</v>
      </c>
      <c r="C37" s="448"/>
      <c r="D37" s="448"/>
      <c r="E37" s="449">
        <f>IF(E13&gt;0,E35-E36,0)</f>
        <v>0</v>
      </c>
      <c r="F37">
        <f>IF('DATOS PARA DEPURAR'!E21&gt;0,'DATOS PARA DEPURAR'!E21,0)</f>
        <v>0</v>
      </c>
      <c r="I37" s="38">
        <f>IF('DATOS PARA DEPURAR'!D62="S",'DATOS PARA DEPURAR'!E62)+SUM('DATOS PARA DEPURAR'!E67:E70)+SUM('DATOS PARA DEPURAR'!E75:E78)</f>
        <v>1890000000</v>
      </c>
      <c r="L37" s="78"/>
      <c r="N37" s="79"/>
      <c r="AU37" s="41"/>
      <c r="AV37" s="41"/>
      <c r="AW37" s="41"/>
      <c r="AX37" s="78"/>
    </row>
    <row r="38" spans="1:50" ht="15.75" customHeight="1" x14ac:dyDescent="0.2">
      <c r="A38" s="460">
        <f t="shared" si="2"/>
        <v>57</v>
      </c>
      <c r="B38" s="466" t="s">
        <v>197</v>
      </c>
      <c r="C38" s="466"/>
      <c r="D38" s="466"/>
      <c r="E38" s="465">
        <f>IF(($E$13)&gt;0,F37,0)</f>
        <v>0</v>
      </c>
      <c r="F38">
        <f>IF('DATOS PARA DEPURAR'!C22&gt;0,'DATOS PARA DEPURAR'!C22,0)</f>
        <v>0</v>
      </c>
      <c r="I38" s="78">
        <f>IF('DATOS PARA DEPURAR'!D64="S",'DATOS PARA DEPURAR'!E64,0)</f>
        <v>0</v>
      </c>
      <c r="K38" s="2"/>
      <c r="L38" s="78"/>
      <c r="N38" s="79"/>
      <c r="AU38" s="41"/>
      <c r="AV38" s="41"/>
      <c r="AW38" s="41"/>
      <c r="AX38" s="78"/>
    </row>
    <row r="39" spans="1:50" ht="14.25" customHeight="1" x14ac:dyDescent="0.2">
      <c r="A39" s="447">
        <f t="shared" si="2"/>
        <v>58</v>
      </c>
      <c r="B39" s="448" t="s">
        <v>198</v>
      </c>
      <c r="C39" s="448"/>
      <c r="D39" s="448"/>
      <c r="E39" s="449">
        <f>IF(($E$13)&gt;0,F38,0)</f>
        <v>0</v>
      </c>
      <c r="I39" s="78">
        <f>IF('DATOS PARA DEPURAR'!D64="S",'DATOS PARA DEPURAR'!E64,0)</f>
        <v>0</v>
      </c>
      <c r="L39" s="78"/>
      <c r="N39" s="79"/>
      <c r="AU39" s="41"/>
      <c r="AV39" s="41"/>
      <c r="AW39" s="41"/>
      <c r="AX39" s="78"/>
    </row>
    <row r="40" spans="1:50" ht="12.75" customHeight="1" x14ac:dyDescent="0.2">
      <c r="A40" s="460">
        <f t="shared" si="2"/>
        <v>59</v>
      </c>
      <c r="B40" s="503" t="s">
        <v>470</v>
      </c>
      <c r="C40" s="466"/>
      <c r="D40" s="466"/>
      <c r="E40" s="465">
        <f>IF((E13)&gt;0,'DATOS PARA DEPURAR'!E339,0)</f>
        <v>0</v>
      </c>
      <c r="I40" s="3">
        <f>IF('DATOS PARA DEPURAR'!D62="S",'DATOS PARA DEPURAR'!E175,0)</f>
        <v>0</v>
      </c>
      <c r="L40" s="35"/>
      <c r="N40" s="79"/>
      <c r="AU40" s="41"/>
      <c r="AV40" s="41"/>
      <c r="AW40" s="41"/>
      <c r="AX40" s="35"/>
    </row>
    <row r="41" spans="1:50" ht="16.5" customHeight="1" x14ac:dyDescent="0.2">
      <c r="A41" s="447">
        <f t="shared" si="2"/>
        <v>60</v>
      </c>
      <c r="B41" s="448" t="s">
        <v>199</v>
      </c>
      <c r="C41" s="448"/>
      <c r="D41" s="448"/>
      <c r="E41" s="449">
        <f>IF(L46&gt;0,L46,L43)</f>
        <v>0</v>
      </c>
      <c r="I41" s="3">
        <f>IF('DATOS PARA DEPURAR'!D64="S",'DATOS PARA DEPURAR'!E176,0)</f>
        <v>0</v>
      </c>
      <c r="L41" s="78"/>
      <c r="N41" s="79"/>
      <c r="AU41" s="41"/>
      <c r="AV41" s="41"/>
      <c r="AW41" s="41"/>
      <c r="AX41" s="78"/>
    </row>
    <row r="42" spans="1:50" ht="12.75" customHeight="1" x14ac:dyDescent="0.2">
      <c r="A42" s="460">
        <f t="shared" si="2"/>
        <v>61</v>
      </c>
      <c r="B42" s="466" t="s">
        <v>173</v>
      </c>
      <c r="C42" s="466"/>
      <c r="D42" s="466"/>
      <c r="E42" s="465">
        <f>IF((E37+E41-E38-E39-E40)&gt;0,E37+E41-E38-E39-E40,0)</f>
        <v>0</v>
      </c>
      <c r="I42" s="35">
        <f>IF('DATOS PARA DEPURAR'!E316&gt;0,'DATOS PARA DEPURAR'!E316,0)</f>
        <v>1089195000</v>
      </c>
      <c r="J42" s="35">
        <f>IF((E37-E35)&gt;0,E37-E35,0)</f>
        <v>0</v>
      </c>
      <c r="L42" s="35"/>
      <c r="N42" s="79"/>
      <c r="AU42" s="41"/>
      <c r="AV42" s="41"/>
      <c r="AW42" s="41"/>
      <c r="AX42" s="35"/>
    </row>
    <row r="43" spans="1:50" ht="13.5" customHeight="1" x14ac:dyDescent="0.2">
      <c r="A43" s="447">
        <f t="shared" si="2"/>
        <v>62</v>
      </c>
      <c r="B43" s="448" t="s">
        <v>174</v>
      </c>
      <c r="C43" s="448"/>
      <c r="D43" s="448"/>
      <c r="E43" s="449">
        <f>IF(E13&gt;0,C103,0)</f>
        <v>0</v>
      </c>
      <c r="I43" s="35" t="b">
        <f>IF((E37-E35)&gt;0,((E37-E35)*J43-J46))</f>
        <v>0</v>
      </c>
      <c r="J43" s="35">
        <f>IF(((J42*K44)-'DATOS PARA DEPURAR'!E332)&gt;0,((J42*K44)-'DATOS PARA DEPURAR'!E332),0)</f>
        <v>0</v>
      </c>
      <c r="K43">
        <f>+'DATOS PARA DEPURAR'!E22</f>
        <v>3</v>
      </c>
      <c r="L43" s="35">
        <f>IF(J43&gt;0,J43,0)</f>
        <v>0</v>
      </c>
      <c r="N43" s="79"/>
      <c r="AU43" s="41"/>
      <c r="AV43" s="41"/>
      <c r="AW43" s="41"/>
      <c r="AX43" s="35"/>
    </row>
    <row r="44" spans="1:50" ht="14.25" customHeight="1" x14ac:dyDescent="0.2">
      <c r="A44" s="460">
        <f t="shared" si="2"/>
        <v>63</v>
      </c>
      <c r="B44" s="466" t="s">
        <v>175</v>
      </c>
      <c r="C44" s="466"/>
      <c r="D44" s="466"/>
      <c r="E44" s="465">
        <f>IF((E37+E41+E43-E38-E39-E40)&gt;0,E37+E41+E43-E38-E39-E40,0)</f>
        <v>0</v>
      </c>
      <c r="I44" s="35"/>
      <c r="J44" s="35">
        <f>IF(J48&gt;0,(J48*K44)-'DATOS PARA DEPURAR'!E332,0)</f>
        <v>-18614999.625</v>
      </c>
      <c r="K44">
        <f>IF(K43=1,25%,IF(K43=2,50%,IF(K43=3,75%,0)))</f>
        <v>0.75</v>
      </c>
      <c r="L44" s="35">
        <f>IF(J44&gt;0,J44,0)</f>
        <v>0</v>
      </c>
      <c r="N44" s="79"/>
      <c r="AU44" s="41"/>
      <c r="AV44" s="41"/>
      <c r="AW44" s="41"/>
      <c r="AX44" s="35"/>
    </row>
    <row r="45" spans="1:50" ht="14.25" customHeight="1" thickBot="1" x14ac:dyDescent="0.25">
      <c r="A45" s="450">
        <f t="shared" si="2"/>
        <v>64</v>
      </c>
      <c r="B45" s="451" t="s">
        <v>176</v>
      </c>
      <c r="C45" s="451"/>
      <c r="D45" s="451"/>
      <c r="E45" s="452">
        <f>IF((E38+E39+E40-E37-E41-E43)&gt;0,E38+E39+E40-E37-E41-E43,0)</f>
        <v>0</v>
      </c>
      <c r="I45" s="35" t="str">
        <f>IF('DATOS PARA DEPURAR'!C13="S",D113,B111)</f>
        <v>YAOP</v>
      </c>
      <c r="J45" s="35"/>
      <c r="L45" s="35"/>
      <c r="N45" s="79"/>
      <c r="AU45" s="41"/>
      <c r="AV45" s="41"/>
      <c r="AW45" s="41"/>
      <c r="AX45" s="35"/>
    </row>
    <row r="46" spans="1:50" ht="14.25" customHeight="1" x14ac:dyDescent="0.25">
      <c r="A46" s="2501" t="str">
        <f>IF(E13&gt;0,I45,B111)</f>
        <v>YAOP</v>
      </c>
      <c r="B46" s="2502"/>
      <c r="C46" s="2502"/>
      <c r="D46" s="2502"/>
      <c r="E46" s="2503"/>
      <c r="I46" s="35"/>
      <c r="J46" s="35"/>
      <c r="L46" s="35">
        <f>MIN(L43:L44)</f>
        <v>0</v>
      </c>
      <c r="N46" s="79"/>
      <c r="AU46" s="41"/>
      <c r="AV46" s="41"/>
      <c r="AW46" s="41"/>
      <c r="AX46" s="35"/>
    </row>
    <row r="47" spans="1:50" ht="12" customHeight="1" x14ac:dyDescent="0.2">
      <c r="A47" s="2498" t="s">
        <v>355</v>
      </c>
      <c r="B47" s="2499"/>
      <c r="C47" s="2499"/>
      <c r="D47" s="2499"/>
      <c r="E47" s="2500"/>
      <c r="I47" s="35"/>
      <c r="J47" s="35"/>
      <c r="L47" s="35"/>
      <c r="N47" s="79"/>
      <c r="AU47" s="41"/>
      <c r="AV47" s="41"/>
      <c r="AW47" s="41"/>
      <c r="AX47" s="35"/>
    </row>
    <row r="48" spans="1:50" ht="9" customHeight="1" x14ac:dyDescent="0.2">
      <c r="A48" s="441"/>
      <c r="B48" s="137"/>
      <c r="C48" s="137"/>
      <c r="D48" s="137"/>
      <c r="E48" s="442"/>
      <c r="I48" s="35"/>
      <c r="J48">
        <f>IF((K48)&gt;0,(K48+J42)/2,0)</f>
        <v>0.5</v>
      </c>
      <c r="K48">
        <f>+'DATOS PARA DEPURAR'!C21</f>
        <v>1</v>
      </c>
      <c r="L48" s="35"/>
      <c r="N48" s="79"/>
      <c r="AU48" s="41"/>
      <c r="AV48" s="41"/>
      <c r="AW48" s="41"/>
      <c r="AX48" s="35"/>
    </row>
    <row r="49" spans="1:50" ht="17.25" customHeight="1" x14ac:dyDescent="0.25">
      <c r="A49" s="58" t="s">
        <v>37</v>
      </c>
      <c r="B49" s="59"/>
      <c r="C49" s="52"/>
      <c r="D49" s="52"/>
      <c r="E49" s="53"/>
      <c r="I49" s="35"/>
      <c r="L49" s="35"/>
      <c r="N49" s="79"/>
      <c r="AU49" s="41"/>
      <c r="AV49" s="41"/>
      <c r="AW49" s="41"/>
      <c r="AX49" s="35"/>
    </row>
    <row r="50" spans="1:50" x14ac:dyDescent="0.2">
      <c r="A50" s="54"/>
      <c r="B50" s="60" t="s">
        <v>38</v>
      </c>
      <c r="C50" s="52"/>
      <c r="D50" s="52"/>
      <c r="E50" s="53"/>
      <c r="I50" s="3"/>
      <c r="L50" s="78"/>
      <c r="N50" s="79"/>
      <c r="AU50" s="41"/>
      <c r="AV50" s="41"/>
      <c r="AW50" s="41"/>
      <c r="AX50" s="78"/>
    </row>
    <row r="51" spans="1:50" ht="13.5" thickBot="1" x14ac:dyDescent="0.25">
      <c r="A51" s="61"/>
      <c r="B51" s="62" t="s">
        <v>53</v>
      </c>
      <c r="C51" s="63"/>
      <c r="D51" s="63"/>
      <c r="E51" s="443"/>
      <c r="I51" s="3"/>
      <c r="L51" s="78"/>
      <c r="N51" s="79"/>
      <c r="AU51" s="41"/>
      <c r="AV51" s="41"/>
      <c r="AW51" s="41"/>
      <c r="AX51" s="78"/>
    </row>
    <row r="52" spans="1:50" hidden="1" x14ac:dyDescent="0.2">
      <c r="I52" s="3"/>
      <c r="L52" s="78"/>
      <c r="N52" s="79"/>
      <c r="AU52" s="41"/>
      <c r="AV52" s="41"/>
      <c r="AW52" s="41"/>
      <c r="AX52" s="78"/>
    </row>
    <row r="53" spans="1:50" hidden="1" x14ac:dyDescent="0.2">
      <c r="I53" s="3"/>
      <c r="L53" s="78"/>
      <c r="N53" s="79"/>
      <c r="AU53" s="41"/>
      <c r="AV53" s="41"/>
      <c r="AW53" s="41"/>
      <c r="AX53" s="78"/>
    </row>
    <row r="54" spans="1:50" ht="13.5" hidden="1" thickBot="1" x14ac:dyDescent="0.25">
      <c r="I54" s="3"/>
      <c r="L54" s="78"/>
      <c r="N54" s="79"/>
      <c r="AU54" s="41"/>
      <c r="AV54" s="41"/>
      <c r="AW54" s="41"/>
      <c r="AX54" s="78"/>
    </row>
    <row r="55" spans="1:50" ht="15.75" hidden="1" thickBot="1" x14ac:dyDescent="0.3">
      <c r="A55" s="111" t="s">
        <v>34</v>
      </c>
      <c r="B55" s="112"/>
      <c r="C55" s="108" t="s">
        <v>75</v>
      </c>
      <c r="D55" s="108"/>
      <c r="E55" s="92" t="s">
        <v>76</v>
      </c>
      <c r="I55" s="3"/>
      <c r="L55" s="78"/>
      <c r="N55" s="79"/>
      <c r="AU55" s="41"/>
      <c r="AV55" s="41"/>
      <c r="AW55" s="41"/>
      <c r="AX55" s="78"/>
    </row>
    <row r="56" spans="1:50" hidden="1" x14ac:dyDescent="0.2">
      <c r="A56" s="113" t="s">
        <v>18</v>
      </c>
      <c r="B56" s="114"/>
      <c r="C56" s="109">
        <f>+E13/'DATOS PARA DEPURAR'!C24</f>
        <v>0</v>
      </c>
      <c r="D56" s="109"/>
      <c r="E56" s="387">
        <f>+C56*'DATOS PARA DEPURAR'!$C$24</f>
        <v>0</v>
      </c>
      <c r="I56" s="3"/>
      <c r="L56" s="78"/>
      <c r="N56" s="79"/>
      <c r="AU56" s="41"/>
      <c r="AV56" s="41"/>
      <c r="AW56" s="41"/>
      <c r="AX56" s="78"/>
    </row>
    <row r="57" spans="1:50" hidden="1" x14ac:dyDescent="0.2">
      <c r="A57" s="103" t="s">
        <v>77</v>
      </c>
      <c r="B57" s="104"/>
      <c r="C57" s="110">
        <f>IF(E28&gt;0,E28/'DATOS PARA DEPURAR'!C24,0)</f>
        <v>0</v>
      </c>
      <c r="D57" s="110"/>
      <c r="E57" s="388">
        <f>+C57*'DATOS PARA DEPURAR'!C24</f>
        <v>0</v>
      </c>
      <c r="I57" s="3"/>
      <c r="L57" s="78"/>
      <c r="N57" s="79"/>
      <c r="AU57" s="41"/>
      <c r="AV57" s="41"/>
      <c r="AW57" s="41"/>
      <c r="AX57" s="78"/>
    </row>
    <row r="58" spans="1:50" hidden="1" x14ac:dyDescent="0.2">
      <c r="A58" s="103" t="s">
        <v>78</v>
      </c>
      <c r="B58" s="104"/>
      <c r="C58" s="101">
        <f>+C61</f>
        <v>0</v>
      </c>
      <c r="D58" s="102"/>
      <c r="E58" s="388">
        <f>+C58*'DATOS PARA DEPURAR'!C24</f>
        <v>0</v>
      </c>
      <c r="AU58" s="41">
        <v>217.2</v>
      </c>
      <c r="AV58" s="41">
        <f t="shared" si="0"/>
        <v>223.98000000000002</v>
      </c>
      <c r="AW58" s="41">
        <v>3.75</v>
      </c>
      <c r="AX58" s="1">
        <f>+AW58*'DATOS PARA DEPURAR'!$C$24</f>
        <v>159045</v>
      </c>
    </row>
    <row r="59" spans="1:50" ht="13.5" hidden="1" thickBot="1" x14ac:dyDescent="0.25">
      <c r="A59" s="105" t="s">
        <v>79</v>
      </c>
      <c r="B59" s="106"/>
      <c r="C59" s="107">
        <f>LOOKUP(C57,E126:F167,I126:I167)</f>
        <v>0</v>
      </c>
      <c r="D59" s="107"/>
      <c r="E59" s="389">
        <f>+C59*'DATOS PARA DEPURAR'!C24</f>
        <v>0</v>
      </c>
      <c r="AU59" s="41">
        <v>223.99</v>
      </c>
      <c r="AV59" s="41">
        <f t="shared" si="0"/>
        <v>230.76000000000002</v>
      </c>
      <c r="AW59" s="41">
        <v>3.87</v>
      </c>
      <c r="AX59" s="1">
        <f>+AW59*'DATOS PARA DEPURAR'!$C$24</f>
        <v>164134.44</v>
      </c>
    </row>
    <row r="60" spans="1:50" hidden="1" x14ac:dyDescent="0.2">
      <c r="I60" s="3" t="s">
        <v>23</v>
      </c>
      <c r="AU60" s="41">
        <v>230.77</v>
      </c>
      <c r="AV60" s="41">
        <f t="shared" si="0"/>
        <v>237.55</v>
      </c>
      <c r="AW60" s="41">
        <v>4.63</v>
      </c>
      <c r="AX60" s="1">
        <f>+AW60*'DATOS PARA DEPURAR'!$C$24</f>
        <v>196367.56</v>
      </c>
    </row>
    <row r="61" spans="1:50" hidden="1" x14ac:dyDescent="0.2">
      <c r="C61">
        <f>IF(C57&lt;=13642.99,D61,IF(C57&gt;13642.99,(C57-1622)*27%,0))</f>
        <v>0</v>
      </c>
      <c r="D61" s="37">
        <f>LOOKUP(C57,A126:B210,C126:C210)</f>
        <v>0</v>
      </c>
      <c r="I61" s="1" t="e">
        <f>IF(SUM(C19:C23)&gt;(E13-#REF!-#REF!)*30%,(E13-#REF!-#REF!)*30%,SUM(C19:C23))</f>
        <v>#REF!</v>
      </c>
      <c r="J61" s="1" t="e">
        <f>+(E13-#REF!-#REF!)*30%</f>
        <v>#REF!</v>
      </c>
      <c r="AU61" s="41">
        <v>237.56</v>
      </c>
      <c r="AV61" s="41">
        <f t="shared" si="0"/>
        <v>244.34</v>
      </c>
      <c r="AW61" s="41">
        <v>5.0599999999999996</v>
      </c>
      <c r="AX61" s="1">
        <f>+AW61*'DATOS PARA DEPURAR'!$C$24</f>
        <v>214604.71999999997</v>
      </c>
    </row>
    <row r="62" spans="1:50" hidden="1" x14ac:dyDescent="0.2">
      <c r="A62" s="48"/>
      <c r="B62" s="49"/>
      <c r="C62" s="49"/>
      <c r="D62" s="49"/>
      <c r="E62" s="50"/>
      <c r="I62" s="3" t="s">
        <v>29</v>
      </c>
      <c r="L62" s="1" t="e">
        <f>IF(J64&lt;J63,J64,J63)</f>
        <v>#REF!</v>
      </c>
      <c r="AU62" s="41">
        <v>244.35</v>
      </c>
      <c r="AV62" s="41">
        <f t="shared" si="0"/>
        <v>251.13</v>
      </c>
      <c r="AW62" s="41">
        <v>5.5</v>
      </c>
      <c r="AX62" s="1">
        <f>+AW62*'DATOS PARA DEPURAR'!$C$24</f>
        <v>233266</v>
      </c>
    </row>
    <row r="63" spans="1:50" hidden="1" x14ac:dyDescent="0.2">
      <c r="A63" s="51" t="s">
        <v>12</v>
      </c>
      <c r="B63" s="52"/>
      <c r="C63" s="52"/>
      <c r="D63" s="52"/>
      <c r="E63" s="53"/>
      <c r="I63" s="3" t="s">
        <v>24</v>
      </c>
      <c r="J63" s="1">
        <f>240*L71</f>
        <v>10178880</v>
      </c>
      <c r="AU63" s="41">
        <v>251.14</v>
      </c>
      <c r="AV63" s="41">
        <f t="shared" si="0"/>
        <v>257.91000000000003</v>
      </c>
      <c r="AW63" s="41">
        <v>5.96</v>
      </c>
      <c r="AX63" s="1">
        <f>+AW63*'DATOS PARA DEPURAR'!$C$24</f>
        <v>252775.52</v>
      </c>
    </row>
    <row r="64" spans="1:50" hidden="1" x14ac:dyDescent="0.2">
      <c r="A64" s="54"/>
      <c r="B64" s="56" t="str">
        <f>+L97</f>
        <v>CERO     PESOS  M/CTE</v>
      </c>
      <c r="C64" s="56"/>
      <c r="D64" s="56"/>
      <c r="E64" s="57"/>
      <c r="I64" s="32">
        <v>0.25</v>
      </c>
      <c r="J64" s="1" t="e">
        <f>((#REF!-SUM(#REF!)-J65)*25%)</f>
        <v>#REF!</v>
      </c>
      <c r="AU64" s="41">
        <v>257.92</v>
      </c>
      <c r="AV64" s="41">
        <f t="shared" si="0"/>
        <v>264.7</v>
      </c>
      <c r="AW64" s="41">
        <v>6.44</v>
      </c>
      <c r="AX64" s="1">
        <f>+AW64*'DATOS PARA DEPURAR'!$C$24</f>
        <v>273133.28000000003</v>
      </c>
    </row>
    <row r="65" spans="1:50" hidden="1" x14ac:dyDescent="0.2">
      <c r="A65" s="54"/>
      <c r="B65" s="52"/>
      <c r="C65" s="52"/>
      <c r="D65" s="52"/>
      <c r="E65" s="53"/>
      <c r="I65" s="37" t="s">
        <v>51</v>
      </c>
      <c r="J65" s="1" t="e">
        <f>IF(SUM(C19:C23)&gt;#REF!,#REF!,SUM(C19:C23))</f>
        <v>#REF!</v>
      </c>
      <c r="AU65" s="41">
        <v>264.70999999999998</v>
      </c>
      <c r="AV65" s="41">
        <f t="shared" si="0"/>
        <v>271.49</v>
      </c>
      <c r="AW65" s="41">
        <v>6.93</v>
      </c>
      <c r="AX65" s="1">
        <f>+AW65*'DATOS PARA DEPURAR'!$C$24</f>
        <v>293915.15999999997</v>
      </c>
    </row>
    <row r="66" spans="1:50" hidden="1" x14ac:dyDescent="0.2">
      <c r="A66" s="54"/>
      <c r="B66" s="52"/>
      <c r="C66" s="52"/>
      <c r="D66" s="52"/>
      <c r="E66" s="53"/>
      <c r="I66" s="1220" t="s">
        <v>31</v>
      </c>
      <c r="J66" s="1220"/>
      <c r="K66" s="1220"/>
      <c r="L66" s="1">
        <f>+'DATOS PARA DEPURAR'!E23</f>
        <v>1000000</v>
      </c>
      <c r="M66">
        <f>+'DATOS PARA DEPURAR'!E40</f>
        <v>0</v>
      </c>
      <c r="N66" s="1220" t="s">
        <v>32</v>
      </c>
      <c r="O66" s="1220"/>
      <c r="P66" s="1">
        <f>+'DATOS PARA DEPURAR'!E23</f>
        <v>1000000</v>
      </c>
      <c r="Q66">
        <f>+'DATOS PARA DEPURAR'!E41</f>
        <v>0</v>
      </c>
      <c r="R66" s="1220" t="s">
        <v>33</v>
      </c>
      <c r="S66" s="1220"/>
      <c r="T66" s="1220"/>
      <c r="U66" s="1">
        <f>+'DATOS PARA DEPURAR'!E23</f>
        <v>1000000</v>
      </c>
      <c r="V66">
        <f>+'DATOS PARA DEPURAR'!E42</f>
        <v>0</v>
      </c>
      <c r="AU66" s="41">
        <v>271.5</v>
      </c>
      <c r="AV66" s="41">
        <f t="shared" si="0"/>
        <v>278.28000000000003</v>
      </c>
      <c r="AW66" s="41">
        <v>7.44</v>
      </c>
      <c r="AX66" s="1">
        <f>+AW66*'DATOS PARA DEPURAR'!$C$24</f>
        <v>315545.28000000003</v>
      </c>
    </row>
    <row r="67" spans="1:50" ht="13.5" hidden="1" x14ac:dyDescent="0.25">
      <c r="A67" s="58"/>
      <c r="B67" s="59"/>
      <c r="C67" s="52"/>
      <c r="D67" s="52"/>
      <c r="E67" s="53"/>
      <c r="I67" s="1220"/>
      <c r="J67" s="1220"/>
      <c r="K67" s="1220"/>
      <c r="L67" s="1"/>
      <c r="N67" s="1220"/>
      <c r="O67" s="1220"/>
      <c r="P67" s="1"/>
      <c r="R67" s="1220"/>
      <c r="S67" s="1220"/>
      <c r="T67" s="1220"/>
      <c r="U67" s="1"/>
      <c r="AU67" s="41">
        <v>278.29000000000002</v>
      </c>
      <c r="AV67" s="41">
        <f t="shared" si="0"/>
        <v>285.06</v>
      </c>
      <c r="AW67" s="41">
        <v>7.96</v>
      </c>
      <c r="AX67" s="1">
        <f>+AW67*'DATOS PARA DEPURAR'!$C$24</f>
        <v>337599.52</v>
      </c>
    </row>
    <row r="68" spans="1:50" hidden="1" x14ac:dyDescent="0.2">
      <c r="A68" s="54"/>
      <c r="B68" s="60"/>
      <c r="C68" s="52"/>
      <c r="D68" s="52"/>
      <c r="E68" s="53"/>
      <c r="I68" s="1220"/>
      <c r="J68" s="1220"/>
      <c r="K68" s="1220"/>
      <c r="L68" s="1">
        <f>IF(M66&lt;=L66,M66,IF(M66&gt;L66,L66))</f>
        <v>0</v>
      </c>
      <c r="N68" s="1220"/>
      <c r="O68" s="1220"/>
      <c r="P68" s="1">
        <f>IF(Q66&lt;=P66,Q66,IF(Q66&gt;P66,P66))</f>
        <v>0</v>
      </c>
      <c r="R68" s="1220"/>
      <c r="S68" s="1220"/>
      <c r="T68" s="1220"/>
      <c r="U68" s="1">
        <f>IF(V66&lt;=U66,V66,IF(V66&gt;U66,U66))</f>
        <v>0</v>
      </c>
      <c r="AU68" s="41">
        <v>285.07</v>
      </c>
      <c r="AV68" s="41">
        <f t="shared" si="0"/>
        <v>291.85000000000002</v>
      </c>
      <c r="AW68" s="41">
        <v>8.5</v>
      </c>
      <c r="AX68" s="1">
        <f>+AW68*'DATOS PARA DEPURAR'!$C$24</f>
        <v>360502</v>
      </c>
    </row>
    <row r="69" spans="1:50" ht="13.5" hidden="1" thickBot="1" x14ac:dyDescent="0.25">
      <c r="A69" s="61"/>
      <c r="B69" s="62"/>
      <c r="C69" s="63"/>
      <c r="D69" s="64"/>
      <c r="E69" s="65"/>
      <c r="AU69" s="41">
        <v>291.86</v>
      </c>
      <c r="AV69" s="41">
        <f t="shared" si="0"/>
        <v>298.64</v>
      </c>
      <c r="AW69" s="41">
        <v>9.0500000000000007</v>
      </c>
      <c r="AX69" s="1">
        <f>+AW69*'DATOS PARA DEPURAR'!$C$24</f>
        <v>383828.60000000003</v>
      </c>
    </row>
    <row r="70" spans="1:50" hidden="1" x14ac:dyDescent="0.2">
      <c r="AU70" s="41">
        <v>298.64999999999998</v>
      </c>
      <c r="AV70" s="41">
        <f t="shared" si="0"/>
        <v>305.43</v>
      </c>
      <c r="AW70" s="41">
        <v>9.6199999999999992</v>
      </c>
      <c r="AX70" s="1">
        <f>+AW70*'DATOS PARA DEPURAR'!$C$24</f>
        <v>408003.43999999994</v>
      </c>
    </row>
    <row r="71" spans="1:50" hidden="1" x14ac:dyDescent="0.2">
      <c r="A71" s="247" t="s">
        <v>396</v>
      </c>
      <c r="I71" s="3" t="s">
        <v>16</v>
      </c>
      <c r="L71">
        <f>+'DATOS PARA DEPURAR'!C24</f>
        <v>42412</v>
      </c>
      <c r="M71">
        <f>+'DATOS PARA DEPURAR'!E245</f>
        <v>0</v>
      </c>
      <c r="O71" s="1220" t="s">
        <v>30</v>
      </c>
      <c r="P71" s="1221">
        <f>+'DATOS PARA DEPURAR'!E25</f>
        <v>47065</v>
      </c>
      <c r="Q71" s="1221"/>
      <c r="AU71" s="41">
        <v>305.44</v>
      </c>
      <c r="AV71" s="41">
        <f t="shared" si="0"/>
        <v>312.21000000000004</v>
      </c>
      <c r="AW71" s="41">
        <v>10.210000000000001</v>
      </c>
      <c r="AX71" s="1">
        <f>+AW71*'DATOS PARA DEPURAR'!$C$24</f>
        <v>433026.52</v>
      </c>
    </row>
    <row r="72" spans="1:50" hidden="1" x14ac:dyDescent="0.2">
      <c r="A72" s="247" t="s">
        <v>397</v>
      </c>
      <c r="C72" s="363">
        <f>IF(E37&gt;(0),E37*5%*'DATOS PARA DEPURAR'!E11,0)</f>
        <v>0</v>
      </c>
      <c r="D72" s="299"/>
      <c r="E72" s="299">
        <f>MIN(C72:C73)</f>
        <v>0</v>
      </c>
      <c r="O72" s="1220"/>
      <c r="P72" s="1221"/>
      <c r="Q72" s="1221"/>
      <c r="AU72" s="41">
        <v>312.22000000000003</v>
      </c>
      <c r="AV72" s="41">
        <f t="shared" si="0"/>
        <v>319</v>
      </c>
      <c r="AW72" s="41">
        <v>10.81</v>
      </c>
      <c r="AX72" s="1">
        <f>+AW72*'DATOS PARA DEPURAR'!$C$24</f>
        <v>458473.72000000003</v>
      </c>
    </row>
    <row r="73" spans="1:50" hidden="1" x14ac:dyDescent="0.2">
      <c r="A73" s="247" t="s">
        <v>24</v>
      </c>
      <c r="C73" s="251">
        <f>+E37</f>
        <v>0</v>
      </c>
      <c r="D73" s="184"/>
      <c r="E73" s="299">
        <f>MIN(C75:C77)</f>
        <v>0</v>
      </c>
      <c r="I73" s="3" t="s">
        <v>1</v>
      </c>
      <c r="L73" s="1">
        <f>IF(M71&lt;100*L71,M71,IF(M71&gt;100*L71,100*L71,0))</f>
        <v>0</v>
      </c>
      <c r="AU73" s="41">
        <v>319.01</v>
      </c>
      <c r="AV73" s="41">
        <f t="shared" si="0"/>
        <v>325.79000000000002</v>
      </c>
      <c r="AW73" s="41">
        <v>11.43</v>
      </c>
      <c r="AX73" s="1">
        <f>+AW73*'DATOS PARA DEPURAR'!$C$24</f>
        <v>484769.16</v>
      </c>
    </row>
    <row r="74" spans="1:50" hidden="1" x14ac:dyDescent="0.2">
      <c r="A74" s="247" t="s">
        <v>398</v>
      </c>
      <c r="C74" s="363">
        <f>IF(E37=0,E13*0.5%*'DATOS PARA DEPURAR'!E11,0)</f>
        <v>0</v>
      </c>
      <c r="D74" s="299"/>
      <c r="E74" s="299">
        <f>IF(C74&gt;E73,C74,E73)</f>
        <v>0</v>
      </c>
      <c r="P74">
        <f>+'DATOS PARA DEPURAR'!E24</f>
        <v>38004</v>
      </c>
      <c r="AU74" s="41">
        <v>325.8</v>
      </c>
      <c r="AV74" s="41">
        <f t="shared" si="0"/>
        <v>332.58</v>
      </c>
      <c r="AW74" s="41">
        <v>12.07</v>
      </c>
      <c r="AX74" s="1">
        <f>+AW74*'DATOS PARA DEPURAR'!$C$24</f>
        <v>511912.84</v>
      </c>
    </row>
    <row r="75" spans="1:50" hidden="1" x14ac:dyDescent="0.2">
      <c r="A75" s="247" t="s">
        <v>399</v>
      </c>
      <c r="C75" s="363">
        <f>IF(E37=0,E13*5%,0)</f>
        <v>0</v>
      </c>
      <c r="D75" s="184"/>
      <c r="E75" s="184"/>
      <c r="I75" s="2"/>
      <c r="L75" s="32"/>
      <c r="O75" s="3" t="s">
        <v>24</v>
      </c>
      <c r="P75" s="1">
        <f>4600*P74</f>
        <v>174818400</v>
      </c>
      <c r="AU75" s="41">
        <v>332.59</v>
      </c>
      <c r="AV75" s="41">
        <f t="shared" si="0"/>
        <v>339.36</v>
      </c>
      <c r="AW75" s="41">
        <v>12.71</v>
      </c>
      <c r="AX75" s="1">
        <f>+AW75*'DATOS PARA DEPURAR'!$C$24</f>
        <v>539056.52</v>
      </c>
    </row>
    <row r="76" spans="1:50" hidden="1" x14ac:dyDescent="0.2">
      <c r="A76" s="247" t="s">
        <v>400</v>
      </c>
      <c r="C76" s="363">
        <f>IF(E37=0,IF(E11&gt;0,D76*2,0))</f>
        <v>0</v>
      </c>
      <c r="D76" s="392">
        <f>+E38+E39+E40-E37-E41</f>
        <v>0</v>
      </c>
      <c r="E76" s="363"/>
      <c r="I76" s="37" t="s">
        <v>52</v>
      </c>
      <c r="L76" s="1">
        <f>16*L71</f>
        <v>678592</v>
      </c>
      <c r="AU76" s="45">
        <v>339.37</v>
      </c>
      <c r="AV76" s="45">
        <f t="shared" si="0"/>
        <v>356.33</v>
      </c>
      <c r="AW76" s="41">
        <v>14.06</v>
      </c>
      <c r="AX76" s="1">
        <f>+AW76*'DATOS PARA DEPURAR'!$C$24</f>
        <v>596312.72</v>
      </c>
    </row>
    <row r="77" spans="1:50" hidden="1" x14ac:dyDescent="0.2">
      <c r="A77" s="247" t="s">
        <v>401</v>
      </c>
      <c r="C77" s="363">
        <f>IF(E37&gt;=0,IF(E11&gt;0,2500*'DATOS PARA DEPURAR'!E25,0))</f>
        <v>0</v>
      </c>
      <c r="D77" s="392"/>
      <c r="E77" s="363">
        <f>MIN(C79:C81)</f>
        <v>0</v>
      </c>
      <c r="O77" s="2" t="e">
        <f>(IF(#REF!&gt;#REF!,#REF!,IF(#REF!&gt;#REF!,#REF!,0))+N15)</f>
        <v>#REF!</v>
      </c>
      <c r="AU77" s="41">
        <v>356.34</v>
      </c>
      <c r="AV77" s="41">
        <f t="shared" si="0"/>
        <v>373.3</v>
      </c>
      <c r="AW77" s="41">
        <v>15.83</v>
      </c>
      <c r="AX77" s="1">
        <f>+AW77*'DATOS PARA DEPURAR'!$C$24</f>
        <v>671381.96</v>
      </c>
    </row>
    <row r="78" spans="1:50" hidden="1" x14ac:dyDescent="0.2">
      <c r="A78" s="247" t="s">
        <v>381</v>
      </c>
      <c r="C78" s="363">
        <f>IF(E37=0,IF(E11=0,'DATOS PARA DEPURAR'!E20*1%*'DATOS PARA DEPURAR'!E11,0))</f>
        <v>0</v>
      </c>
      <c r="D78" s="392">
        <f>IF(C78&gt;C79,C78,IF(C78&gt;C80,C78,IF(C78&gt;C81,C78,0)))</f>
        <v>0</v>
      </c>
      <c r="E78" s="363">
        <f>IF(C78&gt;E77,C78,E77)</f>
        <v>0</v>
      </c>
      <c r="I78" t="e">
        <f>+#REF!</f>
        <v>#REF!</v>
      </c>
      <c r="L78" s="1">
        <f>32*L71</f>
        <v>1357184</v>
      </c>
      <c r="AU78" s="41">
        <v>373.31</v>
      </c>
      <c r="AV78" s="41">
        <f t="shared" si="0"/>
        <v>390.27</v>
      </c>
      <c r="AW78" s="41">
        <v>17.690000000000001</v>
      </c>
      <c r="AX78" s="1">
        <f>+AW78*'DATOS PARA DEPURAR'!$C$24</f>
        <v>750268.28</v>
      </c>
    </row>
    <row r="79" spans="1:50" ht="13.5" hidden="1" thickBot="1" x14ac:dyDescent="0.25">
      <c r="A79" s="247" t="s">
        <v>399</v>
      </c>
      <c r="C79" s="363">
        <f>IF(E37=0,IF(E11=0,'DATOS PARA DEPURAR'!E20*10%,0))</f>
        <v>10000000</v>
      </c>
      <c r="D79" s="392"/>
      <c r="E79" s="363"/>
      <c r="O79" t="e">
        <f>IF(P71&gt;P75,N15+#REF!,O77)</f>
        <v>#REF!</v>
      </c>
      <c r="AU79" s="41">
        <v>390.28</v>
      </c>
      <c r="AV79" s="41">
        <f t="shared" si="0"/>
        <v>407.24</v>
      </c>
      <c r="AW79" s="41">
        <v>19.649999999999999</v>
      </c>
      <c r="AX79" s="1">
        <f>+AW79*'DATOS PARA DEPURAR'!$C$24</f>
        <v>833395.79999999993</v>
      </c>
    </row>
    <row r="80" spans="1:50" hidden="1" x14ac:dyDescent="0.2">
      <c r="A80" s="247" t="s">
        <v>400</v>
      </c>
      <c r="C80" s="363">
        <f>IF(E37=0,IF(E13=0,D80*2,0))</f>
        <v>0</v>
      </c>
      <c r="D80" s="392">
        <f>+E38+E39+E40-E37-E41</f>
        <v>0</v>
      </c>
      <c r="E80" s="363"/>
      <c r="I80" s="1222" t="s">
        <v>8</v>
      </c>
      <c r="J80" s="2516"/>
      <c r="L80" s="11" t="s">
        <v>10</v>
      </c>
      <c r="AU80" s="41">
        <v>407.25</v>
      </c>
      <c r="AV80" s="41">
        <f t="shared" si="0"/>
        <v>424.21000000000004</v>
      </c>
      <c r="AW80" s="41">
        <v>21.69</v>
      </c>
      <c r="AX80" s="1">
        <f>+AW80*'DATOS PARA DEPURAR'!$C$24</f>
        <v>919916.28</v>
      </c>
    </row>
    <row r="81" spans="1:50" ht="13.5" hidden="1" thickBot="1" x14ac:dyDescent="0.25">
      <c r="A81" s="247" t="s">
        <v>401</v>
      </c>
      <c r="C81" s="363">
        <f>IF(E37=0,IF(E13=0,2500*'DATOS PARA DEPURAR'!E25,0))</f>
        <v>117662500</v>
      </c>
      <c r="D81" s="363"/>
      <c r="E81" s="363"/>
      <c r="I81" s="2517" t="e">
        <f>+#REF!/'DATOS PARA DEPURAR'!C24</f>
        <v>#REF!</v>
      </c>
      <c r="J81" s="2518"/>
      <c r="L81" s="1">
        <f>+'DATOS PARA DEPURAR'!C24</f>
        <v>42412</v>
      </c>
      <c r="M81" s="2"/>
      <c r="U81">
        <v>20000</v>
      </c>
      <c r="X81">
        <v>408000</v>
      </c>
      <c r="AU81" s="41">
        <v>424.22</v>
      </c>
      <c r="AV81" s="41">
        <f t="shared" si="0"/>
        <v>441.18</v>
      </c>
      <c r="AW81" s="41">
        <v>23.84</v>
      </c>
      <c r="AX81" s="1">
        <f>+AW81*'DATOS PARA DEPURAR'!$C$24</f>
        <v>1011102.08</v>
      </c>
    </row>
    <row r="82" spans="1:50" ht="13.5" hidden="1" thickBot="1" x14ac:dyDescent="0.25">
      <c r="B82" s="372" t="s">
        <v>409</v>
      </c>
      <c r="D82" s="372">
        <f>10*'DATOS PARA DEPURAR'!E25</f>
        <v>470650</v>
      </c>
      <c r="E82" s="299">
        <f>+D82</f>
        <v>470650</v>
      </c>
      <c r="U82">
        <v>20974</v>
      </c>
      <c r="X82">
        <v>433700</v>
      </c>
      <c r="AU82" s="41">
        <v>441.19</v>
      </c>
      <c r="AV82" s="41">
        <f t="shared" si="0"/>
        <v>458.15000000000003</v>
      </c>
      <c r="AW82" s="41">
        <v>26.07</v>
      </c>
      <c r="AX82" s="1">
        <f>+AW82*'DATOS PARA DEPURAR'!$C$24</f>
        <v>1105680.8400000001</v>
      </c>
    </row>
    <row r="83" spans="1:50" hidden="1" x14ac:dyDescent="0.2">
      <c r="B83" s="184"/>
      <c r="D83" s="184"/>
      <c r="E83" s="363">
        <f>MAX(E72:E82)</f>
        <v>470650</v>
      </c>
      <c r="I83" s="5">
        <v>0</v>
      </c>
      <c r="J83" s="6">
        <v>95</v>
      </c>
      <c r="L83" s="13" t="e">
        <f>IF(I81&lt;=95,0)</f>
        <v>#REF!</v>
      </c>
      <c r="U83">
        <v>22045</v>
      </c>
      <c r="X83">
        <v>461500</v>
      </c>
      <c r="AU83" s="41">
        <v>458.16</v>
      </c>
      <c r="AV83" s="41">
        <f t="shared" si="0"/>
        <v>475.11</v>
      </c>
      <c r="AW83" s="41">
        <v>28.39</v>
      </c>
      <c r="AX83" s="1">
        <f>+AW83*'DATOS PARA DEPURAR'!$C$24</f>
        <v>1204076.68</v>
      </c>
    </row>
    <row r="84" spans="1:50" hidden="1" x14ac:dyDescent="0.2">
      <c r="B84" s="184"/>
      <c r="D84" s="184"/>
      <c r="E84" s="298">
        <f>IF('DATOS PARA DEPURAR'!C11="EXTEMPORANEA",E83,0)</f>
        <v>0</v>
      </c>
      <c r="I84" s="7" t="s">
        <v>9</v>
      </c>
      <c r="J84" s="8">
        <v>150</v>
      </c>
      <c r="L84" s="14" t="e">
        <f>IF(I81&gt;95,(IF(I81&lt;=150,ROUND((((+I81-95)*19%)*L81),-3),0)),FALSE)</f>
        <v>#REF!</v>
      </c>
      <c r="M84" s="1" t="e">
        <f>+L84*'DATOS PARA DEPURAR'!C24</f>
        <v>#REF!</v>
      </c>
      <c r="U84">
        <v>23763</v>
      </c>
      <c r="X84">
        <v>469600</v>
      </c>
      <c r="AU84" s="41">
        <v>475.12</v>
      </c>
      <c r="AV84" s="41">
        <f t="shared" si="0"/>
        <v>492.08</v>
      </c>
      <c r="AW84" s="41">
        <v>30.8</v>
      </c>
      <c r="AX84" s="1">
        <f>+AW84*'DATOS PARA DEPURAR'!$C$24</f>
        <v>1306289.6000000001</v>
      </c>
    </row>
    <row r="85" spans="1:50" hidden="1" x14ac:dyDescent="0.2">
      <c r="C85" s="438" t="s">
        <v>441</v>
      </c>
      <c r="D85" s="438" t="s">
        <v>444</v>
      </c>
      <c r="E85" s="47"/>
      <c r="I85" s="7" t="s">
        <v>6</v>
      </c>
      <c r="J85" s="8">
        <v>360</v>
      </c>
      <c r="L85" s="14" t="e">
        <f>IF(I81&gt;150,IF(I81&lt;=360,ROUND((((+I81-150)*28%)*L81),-3),0))+10*L81</f>
        <v>#REF!</v>
      </c>
      <c r="U85">
        <v>24555</v>
      </c>
      <c r="X85">
        <v>515000</v>
      </c>
      <c r="AU85" s="41">
        <v>492.09</v>
      </c>
      <c r="AV85" s="41">
        <f t="shared" si="0"/>
        <v>509.05</v>
      </c>
      <c r="AW85" s="41">
        <v>33.29</v>
      </c>
      <c r="AX85" s="1">
        <f>+AW85*'DATOS PARA DEPURAR'!$C$24</f>
        <v>1411895.48</v>
      </c>
    </row>
    <row r="86" spans="1:50" ht="13.5" hidden="1" thickBot="1" x14ac:dyDescent="0.25">
      <c r="B86" s="247" t="s">
        <v>415</v>
      </c>
      <c r="C86">
        <f>IF((E38+E39+E40-E37-E41)&gt;0,E38+E39+E40-E37-E41,0)</f>
        <v>0</v>
      </c>
      <c r="D86">
        <f>IF((E37+E41-E38-E39-E40)&gt;0,E37+E41-E38-E39-E40,0)</f>
        <v>0</v>
      </c>
      <c r="E86" s="47"/>
      <c r="G86" s="1"/>
      <c r="I86" s="9" t="s">
        <v>7</v>
      </c>
      <c r="J86" s="10"/>
      <c r="L86" s="15" t="e">
        <f>IF(I81&gt;360,ROUND((((+I81-360)*33%)*L81)+(69*L81),-3),0)</f>
        <v>#REF!</v>
      </c>
      <c r="U86">
        <v>25132</v>
      </c>
      <c r="X86">
        <v>535600</v>
      </c>
      <c r="AU86" s="41">
        <v>509.06</v>
      </c>
      <c r="AV86" s="41">
        <f t="shared" si="0"/>
        <v>526.02</v>
      </c>
      <c r="AW86" s="41">
        <v>35.869999999999997</v>
      </c>
      <c r="AX86" s="1">
        <f>+AW86*'DATOS PARA DEPURAR'!$C$24</f>
        <v>1521318.44</v>
      </c>
    </row>
    <row r="87" spans="1:50" ht="13.5" hidden="1" thickBot="1" x14ac:dyDescent="0.25">
      <c r="B87" s="275" t="s">
        <v>416</v>
      </c>
      <c r="C87">
        <f>IF((('DATOS PARA DEPURAR'!C14)*(-1)-C86)&gt;0,(('DATOS PARA DEPURAR'!C14)*(-1)-C86)*10%,0)</f>
        <v>46500</v>
      </c>
      <c r="D87" s="184">
        <f>IF((H61-'DATOS PARA DEPURAR'!C14)&gt;0,(H61-'DATOS PARA DEPURAR'!C14)*10%,0)</f>
        <v>46500</v>
      </c>
      <c r="E87" s="184"/>
      <c r="U87">
        <v>26049</v>
      </c>
      <c r="X87">
        <v>566700</v>
      </c>
      <c r="AU87" s="41">
        <v>526.03</v>
      </c>
      <c r="AV87" s="41">
        <f t="shared" si="0"/>
        <v>542.99</v>
      </c>
      <c r="AW87" s="41">
        <v>38.54</v>
      </c>
      <c r="AX87" s="1">
        <f>+AW87*'DATOS PARA DEPURAR'!$C$24</f>
        <v>1634558.48</v>
      </c>
    </row>
    <row r="88" spans="1:50" hidden="1" x14ac:dyDescent="0.2">
      <c r="B88" s="184"/>
      <c r="C88">
        <f>10*'DATOS PARA DEPURAR'!E25</f>
        <v>470650</v>
      </c>
      <c r="D88" s="299">
        <f>+D82</f>
        <v>470650</v>
      </c>
      <c r="E88" s="184"/>
      <c r="I88" s="1222" t="s">
        <v>11</v>
      </c>
      <c r="J88" s="1223"/>
      <c r="U88">
        <v>26841</v>
      </c>
      <c r="X88">
        <v>589500</v>
      </c>
      <c r="AU88" s="41">
        <v>543</v>
      </c>
      <c r="AV88" s="41">
        <f t="shared" si="0"/>
        <v>559.96</v>
      </c>
      <c r="AW88" s="41">
        <v>41.29</v>
      </c>
      <c r="AX88" s="1">
        <f>+AW88*'DATOS PARA DEPURAR'!$C$24</f>
        <v>1751191.48</v>
      </c>
    </row>
    <row r="89" spans="1:50" ht="13.5" hidden="1" thickBot="1" x14ac:dyDescent="0.25">
      <c r="B89" s="184"/>
      <c r="C89">
        <f>MAX(C87:C88)</f>
        <v>470650</v>
      </c>
      <c r="D89" s="391">
        <f>MAX(D87:D88)</f>
        <v>470650</v>
      </c>
      <c r="E89" s="391">
        <f>IF('DATOS PARA DEPURAR'!C13="S",E93,0)</f>
        <v>0</v>
      </c>
      <c r="I89" s="1224" t="e">
        <f>IF(L83=0,L83,IF(L84&gt;0,L84,IF(L85&gt;0,L85,IF(L86&gt;0,L86))))</f>
        <v>#REF!</v>
      </c>
      <c r="J89" s="1225"/>
      <c r="AU89" s="41">
        <v>559.97</v>
      </c>
      <c r="AV89" s="41">
        <f t="shared" si="0"/>
        <v>576.93000000000006</v>
      </c>
      <c r="AW89" s="41">
        <v>44.11</v>
      </c>
      <c r="AX89" s="1">
        <f>+AW89*'DATOS PARA DEPURAR'!$C$24</f>
        <v>1870793.32</v>
      </c>
    </row>
    <row r="90" spans="1:50" hidden="1" x14ac:dyDescent="0.2">
      <c r="B90" s="275" t="s">
        <v>417</v>
      </c>
      <c r="C90">
        <f>IF('DATOS PARA DEPURAR'!E14="S",C89*2,0)</f>
        <v>0</v>
      </c>
      <c r="D90" s="391">
        <f>IF('DATOS PARA DEPURAR'!E14="S",D87*2,0)</f>
        <v>0</v>
      </c>
      <c r="E90" s="391"/>
      <c r="AU90" s="41">
        <v>576.94000000000005</v>
      </c>
      <c r="AV90" s="41">
        <f t="shared" si="0"/>
        <v>593.89</v>
      </c>
      <c r="AW90" s="41">
        <v>47.02</v>
      </c>
      <c r="AX90" s="1">
        <f>+AW90*'DATOS PARA DEPURAR'!$C$24</f>
        <v>1994212.2400000002</v>
      </c>
    </row>
    <row r="91" spans="1:50" ht="13.5" hidden="1" thickBot="1" x14ac:dyDescent="0.25">
      <c r="C91" s="2">
        <f>+D82</f>
        <v>470650</v>
      </c>
      <c r="D91" s="391">
        <f>+D82</f>
        <v>470650</v>
      </c>
      <c r="E91" s="391"/>
      <c r="AU91" s="41">
        <v>593.9</v>
      </c>
      <c r="AV91" s="41">
        <f t="shared" si="0"/>
        <v>610.86</v>
      </c>
      <c r="AW91" s="41">
        <v>50</v>
      </c>
      <c r="AX91" s="1">
        <f>+AW91*'DATOS PARA DEPURAR'!$C$24</f>
        <v>2120600</v>
      </c>
    </row>
    <row r="92" spans="1:50" hidden="1" x14ac:dyDescent="0.2">
      <c r="C92">
        <f>MAX(C90:C91)</f>
        <v>470650</v>
      </c>
      <c r="D92" s="391">
        <f>MAX(D90:D91)</f>
        <v>470650</v>
      </c>
      <c r="E92" s="391"/>
      <c r="I92" s="16"/>
      <c r="J92" s="17"/>
      <c r="K92" s="17"/>
      <c r="L92" s="74">
        <f>IF(E58&gt;E59,E58,E59)</f>
        <v>0</v>
      </c>
      <c r="M92" s="18"/>
      <c r="N92" s="19" t="s">
        <v>13</v>
      </c>
      <c r="O92" s="20"/>
      <c r="P92" s="20"/>
      <c r="Q92" s="20"/>
      <c r="R92" s="20"/>
      <c r="S92" s="20"/>
      <c r="T92" s="17"/>
      <c r="U92" s="17"/>
      <c r="V92" s="17"/>
      <c r="W92" s="17"/>
      <c r="X92" s="17"/>
      <c r="Y92" s="17"/>
      <c r="Z92" s="17"/>
      <c r="AA92" s="17"/>
      <c r="AB92" s="17"/>
      <c r="AC92" s="17"/>
      <c r="AD92" s="17"/>
      <c r="AE92" s="17"/>
      <c r="AF92" s="17"/>
      <c r="AG92" s="17"/>
      <c r="AH92" s="17"/>
      <c r="AI92" s="17"/>
      <c r="AJ92" s="17"/>
      <c r="AK92" s="17"/>
      <c r="AL92" s="21"/>
      <c r="AU92" s="41">
        <v>610.87</v>
      </c>
      <c r="AV92" s="41">
        <f t="shared" si="0"/>
        <v>627.83000000000004</v>
      </c>
      <c r="AW92" s="41">
        <v>53.06</v>
      </c>
      <c r="AX92" s="1">
        <f>+AW92*'DATOS PARA DEPURAR'!$C$24</f>
        <v>2250380.7200000002</v>
      </c>
    </row>
    <row r="93" spans="1:50" hidden="1" x14ac:dyDescent="0.2">
      <c r="D93" s="298">
        <f>IF(C90&gt;0,C92,C89)</f>
        <v>470650</v>
      </c>
      <c r="E93" s="298">
        <f>IF(D90&gt;0,D92,D89)</f>
        <v>470650</v>
      </c>
      <c r="I93" s="22"/>
      <c r="J93" s="23"/>
      <c r="K93" s="23"/>
      <c r="L93" s="23">
        <f>CEILING(L92,1)</f>
        <v>0</v>
      </c>
      <c r="M93" s="23"/>
      <c r="N93" s="23"/>
      <c r="O93" s="23"/>
      <c r="P93" s="23"/>
      <c r="Q93" s="23"/>
      <c r="R93" s="23"/>
      <c r="S93" s="23"/>
      <c r="T93" s="23"/>
      <c r="U93" s="23"/>
      <c r="V93" s="23"/>
      <c r="W93" s="23"/>
      <c r="X93" s="23"/>
      <c r="Y93" s="23"/>
      <c r="Z93" s="23"/>
      <c r="AA93" s="23"/>
      <c r="AB93" s="23"/>
      <c r="AC93" s="23"/>
      <c r="AD93" s="23"/>
      <c r="AE93" s="23"/>
      <c r="AF93" s="23"/>
      <c r="AG93" s="23" t="str">
        <f>FIXED(L92,2,FALSE)</f>
        <v>0,00</v>
      </c>
      <c r="AH93" s="23"/>
      <c r="AI93" s="23"/>
      <c r="AJ93" s="23"/>
      <c r="AK93" s="23"/>
      <c r="AL93" s="24"/>
      <c r="AU93" s="41">
        <v>627.84</v>
      </c>
      <c r="AV93" s="41">
        <f t="shared" si="0"/>
        <v>644.79999999999995</v>
      </c>
      <c r="AW93" s="41">
        <v>56.2</v>
      </c>
      <c r="AX93" s="1">
        <f>+AW93*'DATOS PARA DEPURAR'!$C$24</f>
        <v>2383554.4</v>
      </c>
    </row>
    <row r="94" spans="1:50" hidden="1" x14ac:dyDescent="0.2">
      <c r="A94" s="46"/>
      <c r="E94">
        <f>IF(D86&gt;0,E93,0)</f>
        <v>0</v>
      </c>
      <c r="I94" s="25"/>
      <c r="J94" s="26"/>
      <c r="K94" s="26"/>
      <c r="L94" s="26">
        <f>((RIGHT(L93,13))-(RIGHT(L93,12)))/1000000000000</f>
        <v>0</v>
      </c>
      <c r="M94" s="26"/>
      <c r="N94" s="27">
        <f>((RIGHT(L93,12))-(RIGHT(L93,11)))/100000000000</f>
        <v>0</v>
      </c>
      <c r="O94" s="27">
        <f>((RIGHT(L93,11))-(RIGHT(L93,10)))/10000000000</f>
        <v>0</v>
      </c>
      <c r="P94" s="27"/>
      <c r="Q94" s="27">
        <f>((RIGHT(L93,10))-(RIGHT(L93,9)))/1000000000</f>
        <v>0</v>
      </c>
      <c r="R94" s="26"/>
      <c r="S94" s="27">
        <f>((RIGHT(L93,9))-(RIGHT(L93,8)))/100000000</f>
        <v>0</v>
      </c>
      <c r="T94" s="27">
        <f>((RIGHT(L93,8))-(RIGHT(L93,7)))/10000000</f>
        <v>0</v>
      </c>
      <c r="U94" s="27"/>
      <c r="V94" s="27">
        <f>((RIGHT(L93,7))-(RIGHT(L93,6)))/1000000</f>
        <v>0</v>
      </c>
      <c r="W94" s="26"/>
      <c r="X94" s="27">
        <f>((RIGHT(L93,6))-(RIGHT(L93,5)))/100000</f>
        <v>0</v>
      </c>
      <c r="Y94" s="27">
        <f>((RIGHT(L93,5))-(RIGHT(L93,4)))/10000</f>
        <v>0</v>
      </c>
      <c r="Z94" s="27"/>
      <c r="AA94" s="27">
        <f>((RIGHT(L93,4))-(RIGHT(L93,3)))/1000</f>
        <v>0</v>
      </c>
      <c r="AB94" s="26"/>
      <c r="AC94" s="28">
        <f>((RIGHT(L93,3))-(RIGHT(L93,2)))/100</f>
        <v>0</v>
      </c>
      <c r="AD94" s="28">
        <f>((RIGHT(L93,2))-(RIGHT(L93,1)))/10</f>
        <v>0</v>
      </c>
      <c r="AE94" s="28"/>
      <c r="AF94" s="28">
        <f>+((RIGHT(L93,1))-AG94)/1</f>
        <v>0</v>
      </c>
      <c r="AG94" s="26"/>
      <c r="AH94" s="26"/>
      <c r="AI94" s="26"/>
      <c r="AJ94" s="26"/>
      <c r="AK94" s="26"/>
      <c r="AL94" s="29"/>
      <c r="AU94" s="41">
        <v>644.80999999999995</v>
      </c>
      <c r="AV94" s="41">
        <f t="shared" si="0"/>
        <v>661.77</v>
      </c>
      <c r="AW94" s="41">
        <v>59.4</v>
      </c>
      <c r="AX94" s="1">
        <f>+AW94*'DATOS PARA DEPURAR'!$C$24</f>
        <v>2519272.7999999998</v>
      </c>
    </row>
    <row r="95" spans="1:50" hidden="1" x14ac:dyDescent="0.2">
      <c r="A95" s="46"/>
      <c r="B95" s="247" t="s">
        <v>428</v>
      </c>
      <c r="C95" s="184"/>
      <c r="D95" s="184"/>
      <c r="E95">
        <f>IF(C87&gt;0,D93,E94)</f>
        <v>470650</v>
      </c>
      <c r="I95" s="22"/>
      <c r="J95" s="23"/>
      <c r="K95" s="23"/>
      <c r="L95" s="23" t="str">
        <f>IF((L94&gt;8),"NUEVE  ",IF((L94&gt;7),"OCHO   ",IF(L94&gt;6,"SIETE   ",IF(L94&gt;5,"SEIS   ",IF(L94&gt;4,"CINCO  ",IF(L94&gt;3,"CUATRO  ",IF(L94&gt;2,"TRES  ",IF(L94&gt;1,"DOS  ",""))))))))</f>
        <v/>
      </c>
      <c r="M95" s="23" t="str">
        <f>+IF((L93&gt;999999999999)*AND(L94=1)*AND(SUM(N94:AF94)&gt;0),"UN  BILLON ",+IF(L94=1,"UN  BILLON ",IF((L93&gt;999999999999)*AND(L94&gt;1),"BILLONES  ","")))</f>
        <v/>
      </c>
      <c r="N95" s="23" t="str">
        <f xml:space="preserve"> IF((N94&gt;8),"NOVECIENTOS  ",IF((N94&gt;7),"OCHOCIENTOS   ",IF(N94&gt;6,"SETECIENTOS    ",IF(N94&gt;5,"SEICIENTOS    ",IF(N94&gt;4,"QUINIENTOS  ",IF(N94&gt;3,"CUATROCIENTOS   ",IF(N94&gt;2,"TRECIENTOS  ",+IF(N94&gt;1,"DOCIENTOS",""))))))))</f>
        <v/>
      </c>
      <c r="O95" s="23" t="str">
        <f>IF((O94&gt;8),"NOVENTA  ",IF((O94&gt;7),"OCHENTA   ",IF(O94&gt;6,"SETENTA    ",IF(O94&gt;5,"SESENTA    ",IF(O94&gt;4,"CINCUENTA  ",IF(O94&gt;3,"CUARENTA   ",IF(O94&gt;2,"TREINTA  ",+IF(O94&gt;1,"VEINTI",""))))))))</f>
        <v/>
      </c>
      <c r="P95" s="23" t="str">
        <f>+IF((O94&gt;2)*AND(Q94&gt;0),"Y  ","")</f>
        <v/>
      </c>
      <c r="Q95" s="23" t="str">
        <f>IF((Q94&gt;8),"NUEVE  ",IF((Q94&gt;7),"OCHO   ",IF(Q94&gt;6,"SIETE   ",IF(Q94&gt;5,"SEIS   ",IF(Q94&gt;4,"CINCO  ",IF(Q94&gt;3,"CUATRO  ",IF(Q94&gt;2,"TRES  ",IF(Q94&gt;1,"DOS  ",""))))))))</f>
        <v/>
      </c>
      <c r="R95" s="23" t="str">
        <f>+IF((L92&gt;999999999)*AND(Q94=1)*AND(SUM(S94:V94)&gt;0),"UN  MIL ",+IF((Q94=1)*AND(SUM(N94:P94)&gt;0),"UN  MIL ",+IF((SUM(N94:Q94)&gt;1)," MIL ","")))</f>
        <v/>
      </c>
      <c r="S95" s="23" t="str">
        <f>IF((S94&gt;8),"NOVECIENTOS  ",IF((S94&gt;7),"OCHOCIENTOS   ",IF(S94&gt;6,"SETECIENTOS    ",IF(S94&gt;5,"SEICIENTOS    ",IF(S94&gt;4,"QUINIENTOS  ",IF(S94&gt;3,"CUATROCIENTOS   ",IF(S94&gt;2,"TRECIENTOS  ",+IF(S94&gt;1,"DOCIENTOS",""))))))))</f>
        <v/>
      </c>
      <c r="T95" s="23" t="str">
        <f>IF((T94&gt;8),"NOVENTA  ",IF((T94&gt;7),"OCHENTA   ",IF(T94&gt;6,"SETENTA    ",IF(T94&gt;5,"SESENTA    ",IF(T94&gt;4,"CINCUENTA  ",IF(T94&gt;3,"CUARENTA   ",IF(T94&gt;2,"TREINTA  ",+IF(T94&gt;1,"VEINTI",""))))))))</f>
        <v/>
      </c>
      <c r="U95" s="23" t="str">
        <f>+IF((T94&gt;2)*AND(V94&gt;0),"Y  ","")</f>
        <v/>
      </c>
      <c r="V95" s="23" t="str">
        <f>IF((V94&gt;8),"NUEVE  ",IF((V94&gt;7),"OCHO   ",IF(V94&gt;6,"SIETE   ",IF(V94&gt;5,"SEIS   ",IF(V94&gt;4,"CINCO  ",IF(V94&gt;3,"CUATRO  ",IF(V94&gt;2,"TRES  ",IF(V94&gt;1,"DOS  ",""))))))))</f>
        <v/>
      </c>
      <c r="W95" s="23" t="str">
        <f>+IF((L93&gt;999999)*AND(V94=1)*AND(SUM(X94:AF94)&gt;0),"UN  MILLON ",+IF((V94=1)*AND(SUM(L94:U94)&gt;0),"UN  MILLON ",+IF((SUM(N94:V94)&gt;0),"MILLONES  "," ")))</f>
        <v xml:space="preserve"> </v>
      </c>
      <c r="X95" s="23" t="str">
        <f>IF((X94&gt;8),"NOVECIENTOS  ",IF((X94&gt;7),"OCHOCIENTOS   ",IF(X94&gt;6,"SETECIENTOS    ",IF(X94&gt;5,"SEICIENTOS    ",IF(X94&gt;4,"QUINIENTOS  ",IF(X94&gt;3,"CUATROCIENTOS   ",IF(X94&gt;2,"TRECIENTOS  ",+IF(X94&gt;1,"DOCIENTOS ",""))))))))</f>
        <v/>
      </c>
      <c r="Y95" s="23" t="str">
        <f>IF((Y94&gt;8),"NOVENTA  ",IF((Y94&gt;7),"OCHENTA   ",IF(Y94&gt;6,"SETENTA    ",IF(Y94&gt;5,"SESENTA    ",IF(Y94&gt;4,"CINCUENTA  ",IF(Y94&gt;3,"CUARENTA   ",IF(Y94&gt;2,"TREINTA  ",+IF(Y94&gt;1,"VEINTI",""))))))))</f>
        <v/>
      </c>
      <c r="Z95" s="23" t="str">
        <f>+IF((Y94&gt;2)*AND(AA94&gt;0),"Y  ","")</f>
        <v/>
      </c>
      <c r="AA95" s="23" t="str">
        <f>IF((AA94&gt;8),"NUEVE  ",IF((AA94&gt;7),"OCHO   ",IF(AA94&gt;6,"SIETE   ",IF(AA94&gt;5,"SEIS   ",IF(AA94&gt;4,"CINCO  ",IF(AA94&gt;3,"CUATRO  ",IF(AA94&gt;2,"TRES  ",IF(AA94&gt;1,"DOS  ",""))))))))</f>
        <v/>
      </c>
      <c r="AB95" s="23" t="str">
        <f>+IF((L93&gt;999)*AND(AA94=1)*AND(SUM(AC94:AF94)&gt;0),"UN  MIL ",+IF((AA94=1)*AND(SUM(X94:Z94)&gt;0),"UN  MIL ",+IF((SUM(X94:AA94)&gt;1)," MIL ","")))</f>
        <v/>
      </c>
      <c r="AC95" s="23" t="str">
        <f>IF((AC94&gt;8),"NOVECIENTOS  ",IF((AC94&gt;7),"OCHOCIENTOS   ",IF(AC94&gt;6,"SETECIENTOS    ",IF(AC94&gt;5,"SEICIENTOS    ",IF(AC94&gt;4,"QUINIENTOS  ",IF(AC94&gt;3,"CUATROCIENTOS   ",IF(AC94&gt;2,"TRECIENTOS  ",+IF(AC94&gt;1,"DOCIENTOS  ",""))))))))</f>
        <v/>
      </c>
      <c r="AD95" s="23" t="str">
        <f>IF((AD94&gt;8),"NOVENTA  ",IF((AD94&gt;7),"OCHENTA   ",IF(AD94&gt;6,"SETENTA    ",IF(AD94&gt;5,"SESENTA    ",IF(AD94&gt;4,"CINCUENTA  ",IF(AD94&gt;3,"CUARENTA   ",IF(AD94&gt;2,"TREINTA  ",+IF(AD94&gt;1,"VEINTI",""))))))))</f>
        <v/>
      </c>
      <c r="AE95" s="23" t="str">
        <f>+IF((AD94&gt;2)*AND(AF94&gt;0),"Y  ","")</f>
        <v/>
      </c>
      <c r="AF95" s="23" t="str">
        <f>IF((AF94&gt;8),"NUEVE   ",IF((AF94&gt;7),"OCHO   ",IF(AF94&gt;6,"SIETE   ",IF(AF94&gt;5,"SEIS   ",IF(AF94&gt;4,"CINCO   ",IF(AF94&gt;3,"CUATRO   ",IF(AF94&gt;2,"TRES   ",IF(AF94&gt;1,"DOS   ",""))))))))</f>
        <v/>
      </c>
      <c r="AG95" s="23" t="str">
        <f>+IF((L93=1)*AND(AF94=1),"UN PESO",+IF((AF94=1)*AND(SUM(L94:AE94)&gt;0),"UN PESOS",IF((SUM(AH94:AJ94)&gt;0)*AND(AF94=0)*AND(SUM(L94:AF94)&lt;1),"CERO PESOS  ","PESOS")))</f>
        <v>PESOS</v>
      </c>
      <c r="AH95" s="23" t="str">
        <f>IF((AH94&gt;8),"NOVENTA  ",IF((AH94&gt;7),"OCHENTA   ",IF(AH94&gt;6,"SETENTA    ",IF(AH94&gt;5,"SESENTA    ",IF(AH94&gt;4,"CINCUENTA  ",IF(AH94&gt;3,"CUARENTA   ",IF(AH94&gt;2,"TREINTA  ",+IF(AH94&gt;1,"VEINTI",""))))))))</f>
        <v/>
      </c>
      <c r="AI95" s="23" t="str">
        <f>+IF((AH94&gt;2)*AND(AJ94&gt;0),"Y  ","")</f>
        <v/>
      </c>
      <c r="AJ95" s="23" t="str">
        <f>IF((AJ94&gt;8),"NUEVE   ",IF((AJ94&gt;7),"OCHO   ",IF(AJ94&gt;6,"SIETE   ",IF(AJ94&gt;5,"SEIS   ",IF(AJ94&gt;4,"CINCO   ",IF(AJ94&gt;3,"CUATRO   ",IF(AJ94&gt;2,"TRES   ",IF(AJ94&gt;1,"DOS   ",""))))))))</f>
        <v/>
      </c>
      <c r="AK95" s="23" t="str">
        <f>+IF((SUM(AH94:AJ94)=1)*AND(AJ94=1),"UN  CENTAVO",+IF((AJ94=1)*AND(AH94&gt;1),"UN  CENTAVOS",IF(AG93&lt;0,"CERO CENTAVOS",IF((SUM(AH94:AJ94)&gt;0)*AND(AG93&gt;0.01)," CENTAVOS ","  "))))</f>
        <v xml:space="preserve">  </v>
      </c>
      <c r="AL95" s="24"/>
      <c r="AU95" s="41">
        <v>661.78</v>
      </c>
      <c r="AV95" s="41">
        <f t="shared" si="0"/>
        <v>678.74</v>
      </c>
      <c r="AW95" s="41">
        <v>62.68</v>
      </c>
      <c r="AX95" s="1">
        <f>+AW95*'DATOS PARA DEPURAR'!$C$24</f>
        <v>2658384.16</v>
      </c>
    </row>
    <row r="96" spans="1:50" hidden="1" x14ac:dyDescent="0.2">
      <c r="A96" s="46"/>
      <c r="B96" s="184">
        <f>+'DATOS PARA DEPURAR'!E17</f>
        <v>44301</v>
      </c>
      <c r="C96" s="184"/>
      <c r="D96" s="184">
        <f>+D87/0.1</f>
        <v>465000</v>
      </c>
      <c r="E96" s="47"/>
      <c r="I96" s="22"/>
      <c r="J96" s="23"/>
      <c r="K96" s="23"/>
      <c r="L96" s="23"/>
      <c r="M96" s="23"/>
      <c r="N96" s="23" t="str">
        <f>+IF((N94=1)*AND(SUM(O94:Q94)&gt;0),"CIENTO",IF(N94=1,"CIEN"," "))</f>
        <v xml:space="preserve"> </v>
      </c>
      <c r="O96" s="23" t="str">
        <f>IF((O94=2)*AND(Q94=0),"VEINTE ",+IF((O94=1)*AND(Q94&gt;5),"DIECI",+IF((O94=1)*AND(Q94&gt;4),"QUINCE ",+IF((O94=1)*AND(Q94&gt;3),"CATORCE ",+IF((O94=1)*AND(Q94&gt;2),"TRECE ",+IF((O94=1)*AND(Q94&gt;1),"DOCE ",+IF((O94=1)*AND(Q94&gt;0),"ONCE ",IF(O94=1,"DIEZ ",""))))))))</f>
        <v/>
      </c>
      <c r="P96" s="23"/>
      <c r="Q96" s="23"/>
      <c r="R96" s="23"/>
      <c r="S96" s="23" t="str">
        <f>+IF((S94=1)*AND(SUM(T94:V94)&gt;0),"CIENTO  ",IF(S94=1,"CIEN"," "))</f>
        <v xml:space="preserve"> </v>
      </c>
      <c r="T96" s="23" t="str">
        <f>IF((T94=2)*AND(V94=0),"VEINTE ",+IF((T94=1)*AND(V94&gt;5),"DIECI",+IF((T94=1)*AND(V94&gt;4),"QUINCE ",+IF((T94=1)*AND(V94&gt;3),"CATORCE ",+IF((T94=1)*AND(V94&gt;2),"TRECE ",+IF((T94=1)*AND(V94&gt;1),"DOCE ",+IF((T94=1)*AND(V94&gt;0),"ONCE ",IF(T94=1,"DIEZ ",""))))))))</f>
        <v/>
      </c>
      <c r="U96" s="23"/>
      <c r="V96" s="23"/>
      <c r="W96" s="23"/>
      <c r="X96" s="23" t="str">
        <f>+IF((X94=1)*AND(SUM(Y94:AA94)&gt;0),"CIENTO",IF(X94=1,"CIEN"," "))</f>
        <v xml:space="preserve"> </v>
      </c>
      <c r="Y96" s="23" t="str">
        <f>IF((Y94=2)*AND(AA94=0),"VEINTE ",+IF((Y94=1)*AND(AA94&gt;5),"DIECI",+IF((Y94=1)*AND(AA94&gt;4),"QUINCE ",+IF((Y94=1)*AND(AA94&gt;3),"CATORCE ",+IF((Y94=1)*AND(AA94&gt;2),"TRECE ",+IF((Y94=1)*AND(AA94&gt;1),"DOCE ",+IF((Y94=1)*AND(AA94&gt;0),"ONCE ",IF(Y94=1,"DIEZ ",""))))))))</f>
        <v/>
      </c>
      <c r="Z96" s="23"/>
      <c r="AA96" s="23"/>
      <c r="AB96" s="23"/>
      <c r="AC96" s="23" t="str">
        <f>+IF((AC94=1)*AND(SUM(AD94:AF94)&gt;0),"CIENTO  ",IF(AC94=1,"CIEN"," "))</f>
        <v xml:space="preserve"> </v>
      </c>
      <c r="AD96" s="23" t="str">
        <f>IF((AD94=2)*AND(AF94=0),"VEINTE ",+IF((AD94=1)*AND(AF94&gt;5),"DIECI",+IF((AD94=1)*AND(AF94&gt;4),"QUINCE ",+IF((AD94=1)*AND(AF94&gt;3),"CATORCE ",+IF((AD94=1)*AND(AF94&gt;2),"TRECE ",+IF((AD94=1)*AND(AF94&gt;1),"DOCE ",+IF((AD94=1)*AND(AF94&gt;0),"ONCE ",IF(AD94=1,"DIEZ ",""))))))))</f>
        <v/>
      </c>
      <c r="AE96" s="23"/>
      <c r="AF96" s="23"/>
      <c r="AG96" s="23"/>
      <c r="AH96" s="23" t="str">
        <f>IF((AH94=2)*AND(AJ94=0),"VEINTE ",+IF((AH94=1)*AND(AJ94&gt;5),"DIECI",+IF((AH94=1)*AND(AJ94&gt;4),"QUINCE ",+IF((AH94=1)*AND(AJ94&gt;3),"CATORCE ",+IF((AH94=1)*AND(AJ94&gt;2),"TRECE ",+IF((AH94=1)*AND(AJ94&gt;1),"DOCE ",+IF((AH94=1)*AND(AJ94&gt;0),"ONCE ",IF(AH94=1,"DIEZ ",""))))))))</f>
        <v/>
      </c>
      <c r="AI96" s="23"/>
      <c r="AJ96" s="23"/>
      <c r="AK96" s="23"/>
      <c r="AL96" s="24"/>
      <c r="AU96" s="41">
        <v>678.75</v>
      </c>
      <c r="AV96" s="41">
        <f t="shared" si="0"/>
        <v>695.71</v>
      </c>
      <c r="AW96" s="41">
        <v>66.02</v>
      </c>
      <c r="AX96" s="1">
        <f>+AW96*'DATOS PARA DEPURAR'!$C$24</f>
        <v>2800040.2399999998</v>
      </c>
    </row>
    <row r="97" spans="1:50" ht="13.5" hidden="1" thickBot="1" x14ac:dyDescent="0.25">
      <c r="A97" s="46"/>
      <c r="B97" s="184">
        <f>+'DATOS PARA DEPURAR'!C17</f>
        <v>45568</v>
      </c>
      <c r="C97" s="184"/>
      <c r="D97" s="298">
        <f>+D96*B99*5%</f>
        <v>-976500</v>
      </c>
      <c r="E97" s="47"/>
      <c r="I97" s="30"/>
      <c r="J97" s="31"/>
      <c r="K97" s="31"/>
      <c r="L97" s="1215" t="str">
        <f>+IF(L92=0,"CERO"," ")&amp;IF((I95=""),I96,I95)&amp;IF(J96="VEINTE ","",J95)&amp;K95&amp;IF(J96="",L95,J96)&amp;IF(J96="DIECI",L95,"")&amp;M95&amp;IF((N95=""),N96,N95)&amp;IF(O96="VEINTE ","",O95)&amp;P95&amp;IF(O96="",Q95,O96)&amp;IF(O96="DIECI",Q95,"")&amp;R95&amp;IF((S95=""),S96,S95)&amp;IF(T96="VEINTE ","",T95)&amp;U95&amp;IF(T96="",V95,T96)&amp;IF(T96="DIECI",V95,"")&amp;W95&amp;IF((X95=""),X96,X95)&amp;IF(Y96="VEINTE ","",Y95)&amp;Z95&amp;IF(Y96="",AA95,Y96)&amp;IF(Y96="DIECI",AA95,"")&amp;AB95&amp;IF((AC95=""),AC96,AC95)&amp;IF(AD96="VEINTE ","",AD95)&amp;AE95&amp;IF(AD96="",AF95,AD96)&amp;IF(AD96="DIECI",AF95,"")&amp;IF((SUM(S94:V94)&gt;0)*AND(SUM(X94:AF94)&lt;1),"DE  ","")&amp;AG95&amp;IF((SUM(AH94:AJ94)&gt;0),"  CON  ","")&amp;IF(AH96="VEINTE ","",AH95)&amp;AI95&amp;IF(AH96="",AJ95,AH96)&amp;IF(AH96="DIECI",AJ95,"")&amp;AK95&amp;"M/CTE"</f>
        <v>CERO     PESOS  M/CTE</v>
      </c>
      <c r="M97" s="1215"/>
      <c r="N97" s="1215"/>
      <c r="O97" s="1215"/>
      <c r="P97" s="1215"/>
      <c r="Q97" s="1215"/>
      <c r="R97" s="1215"/>
      <c r="S97" s="1215"/>
      <c r="T97" s="1215"/>
      <c r="U97" s="1215"/>
      <c r="V97" s="1215"/>
      <c r="W97" s="1215"/>
      <c r="X97" s="1215"/>
      <c r="Y97" s="1215"/>
      <c r="Z97" s="1215"/>
      <c r="AA97" s="1215"/>
      <c r="AB97" s="1215"/>
      <c r="AC97" s="1215"/>
      <c r="AD97" s="1215"/>
      <c r="AE97" s="1215"/>
      <c r="AF97" s="1215"/>
      <c r="AG97" s="1215"/>
      <c r="AH97" s="1215"/>
      <c r="AI97" s="1215"/>
      <c r="AJ97" s="1215"/>
      <c r="AK97" s="1215"/>
      <c r="AL97" s="1216"/>
      <c r="AU97" s="41">
        <v>695.72</v>
      </c>
      <c r="AV97" s="41">
        <f t="shared" si="0"/>
        <v>712.68000000000006</v>
      </c>
      <c r="AW97" s="41">
        <v>69.430000000000007</v>
      </c>
      <c r="AX97" s="1">
        <f>+AW97*'DATOS PARA DEPURAR'!$C$24</f>
        <v>2944665.16</v>
      </c>
    </row>
    <row r="98" spans="1:50" hidden="1" x14ac:dyDescent="0.2">
      <c r="A98" s="46"/>
      <c r="B98" s="184">
        <f>+B96-B97</f>
        <v>-1267</v>
      </c>
      <c r="C98" s="184"/>
      <c r="D98" s="390">
        <f>IF(D97&gt;D96,D96,D97)</f>
        <v>-976500</v>
      </c>
      <c r="E98" s="47"/>
      <c r="AU98" s="41">
        <v>712.69</v>
      </c>
      <c r="AV98" s="41">
        <f t="shared" si="0"/>
        <v>729.64</v>
      </c>
      <c r="AW98" s="41">
        <v>72.900000000000006</v>
      </c>
      <c r="AX98" s="1">
        <f>+AW98*'DATOS PARA DEPURAR'!$C$24</f>
        <v>3091834.8000000003</v>
      </c>
    </row>
    <row r="99" spans="1:50" hidden="1" x14ac:dyDescent="0.2">
      <c r="A99" s="46"/>
      <c r="B99" s="184">
        <f>_xlfn.CEILING.PRECISE(B98/30,1)</f>
        <v>-42</v>
      </c>
      <c r="C99" s="184"/>
      <c r="D99" s="184"/>
      <c r="E99" s="47"/>
      <c r="AU99" s="41">
        <v>729.65</v>
      </c>
      <c r="AV99" s="41">
        <f t="shared" si="0"/>
        <v>746.61</v>
      </c>
      <c r="AW99" s="41">
        <v>76.430000000000007</v>
      </c>
      <c r="AX99" s="1">
        <f>+AW99*'DATOS PARA DEPURAR'!$C$24</f>
        <v>3241549.16</v>
      </c>
    </row>
    <row r="100" spans="1:50" hidden="1" x14ac:dyDescent="0.2">
      <c r="A100" s="46"/>
      <c r="B100" s="247" t="s">
        <v>430</v>
      </c>
      <c r="C100" s="299">
        <f>+E84</f>
        <v>0</v>
      </c>
      <c r="D100" s="184"/>
      <c r="E100" s="47"/>
      <c r="AU100" s="41">
        <v>746.62</v>
      </c>
      <c r="AV100" s="41">
        <f t="shared" si="0"/>
        <v>763.58</v>
      </c>
      <c r="AW100" s="41">
        <v>80.03</v>
      </c>
      <c r="AX100" s="1">
        <f>+AW100*'DATOS PARA DEPURAR'!$C$24</f>
        <v>3394232.36</v>
      </c>
    </row>
    <row r="101" spans="1:50" hidden="1" x14ac:dyDescent="0.2">
      <c r="A101" s="46"/>
      <c r="B101" s="247" t="s">
        <v>415</v>
      </c>
      <c r="C101" s="299">
        <f>IF('DATOS PARA DEPURAR'!C13="S",E95,0)</f>
        <v>0</v>
      </c>
      <c r="D101" s="184"/>
      <c r="E101" s="47"/>
      <c r="AU101" s="41">
        <v>763.59</v>
      </c>
      <c r="AV101" s="41">
        <f t="shared" si="0"/>
        <v>780.55</v>
      </c>
      <c r="AW101" s="41">
        <v>83.68</v>
      </c>
      <c r="AX101" s="1">
        <f>+AW101*'DATOS PARA DEPURAR'!$C$24</f>
        <v>3549036.16</v>
      </c>
    </row>
    <row r="102" spans="1:50" hidden="1" x14ac:dyDescent="0.2">
      <c r="A102" s="46"/>
      <c r="B102" s="416" t="s">
        <v>431</v>
      </c>
      <c r="C102" s="299">
        <f>IF('DATOS PARA DEPURAR'!C15="S",D98,0)</f>
        <v>0</v>
      </c>
      <c r="D102" s="184">
        <f>'DATOS PARA DEPURAR'!E15</f>
        <v>0</v>
      </c>
      <c r="E102" s="47"/>
      <c r="AU102" s="41">
        <v>780.56</v>
      </c>
      <c r="AV102" s="41">
        <f t="shared" si="0"/>
        <v>797.52</v>
      </c>
      <c r="AW102" s="41">
        <v>87.39</v>
      </c>
      <c r="AX102" s="1">
        <f>+AW102*'DATOS PARA DEPURAR'!$C$24</f>
        <v>3706384.68</v>
      </c>
    </row>
    <row r="103" spans="1:50" hidden="1" x14ac:dyDescent="0.2">
      <c r="A103" s="46"/>
      <c r="B103" s="184"/>
      <c r="C103" s="298">
        <f>IF((C100&lt;=0),C101+C102,IF(C101&lt;=0,C100,IF(SUM(C100:C101)&lt;=0,0,0)))</f>
        <v>0</v>
      </c>
      <c r="D103" s="184">
        <f>IF(E93&gt;0,D102,0)</f>
        <v>0</v>
      </c>
      <c r="E103" s="47"/>
      <c r="AU103" s="41">
        <v>797.53</v>
      </c>
      <c r="AV103" s="41">
        <f t="shared" si="0"/>
        <v>814.49</v>
      </c>
      <c r="AW103" s="41">
        <v>91.15</v>
      </c>
      <c r="AX103" s="1">
        <f>+AW103*'DATOS PARA DEPURAR'!$C$24</f>
        <v>3865853.8000000003</v>
      </c>
    </row>
    <row r="104" spans="1:50" hidden="1" x14ac:dyDescent="0.2">
      <c r="A104" s="46"/>
      <c r="E104" s="47"/>
      <c r="AU104" s="41">
        <v>814.5</v>
      </c>
      <c r="AV104" s="41">
        <f t="shared" ref="AV104:AV121" si="3">+AU105-0.01</f>
        <v>831.46</v>
      </c>
      <c r="AW104" s="41">
        <v>94.96</v>
      </c>
      <c r="AX104" s="1">
        <f>+AW104*'DATOS PARA DEPURAR'!$C$24</f>
        <v>4027443.5199999996</v>
      </c>
    </row>
    <row r="105" spans="1:50" hidden="1" x14ac:dyDescent="0.2">
      <c r="A105" s="46"/>
      <c r="B105" s="2"/>
      <c r="C105">
        <f>IF('DATOS PARA DEPURAR'!A93&gt;0,'DATOS PARA DEPURAR'!A93,0)</f>
        <v>0</v>
      </c>
      <c r="E105" s="47"/>
      <c r="AU105" s="41">
        <v>831.47</v>
      </c>
      <c r="AV105" s="41">
        <f t="shared" si="3"/>
        <v>848.43000000000006</v>
      </c>
      <c r="AW105" s="41">
        <v>98.81</v>
      </c>
      <c r="AX105" s="1">
        <f>+AW105*'DATOS PARA DEPURAR'!$C$24</f>
        <v>4190729.72</v>
      </c>
    </row>
    <row r="106" spans="1:50" hidden="1" x14ac:dyDescent="0.2">
      <c r="A106" s="46"/>
      <c r="B106">
        <f>IF((E37+E41+E43-E38-E39-E40)&gt;0,E37+E41+E43-E38-E39-E40,0)</f>
        <v>0</v>
      </c>
      <c r="C106">
        <f>IF('DATOS PARA DEPURAR'!C22&gt;0,'DATOS PARA DEPURAR'!C22,0)</f>
        <v>0</v>
      </c>
      <c r="E106" s="47"/>
      <c r="AU106" s="41">
        <v>848.44</v>
      </c>
      <c r="AV106" s="41">
        <f t="shared" si="3"/>
        <v>865.39</v>
      </c>
      <c r="AW106" s="41">
        <v>102.72</v>
      </c>
      <c r="AX106" s="1">
        <f>+AW106*'DATOS PARA DEPURAR'!$C$24</f>
        <v>4356560.6399999997</v>
      </c>
    </row>
    <row r="107" spans="1:50" hidden="1" x14ac:dyDescent="0.2">
      <c r="A107" s="46"/>
      <c r="E107" s="47"/>
      <c r="AU107" s="41">
        <v>865.4</v>
      </c>
      <c r="AV107" s="41">
        <f t="shared" si="3"/>
        <v>882.36</v>
      </c>
      <c r="AW107" s="41">
        <v>106.67</v>
      </c>
      <c r="AX107" s="1">
        <f>+AW107*'DATOS PARA DEPURAR'!$C$24</f>
        <v>4524088.04</v>
      </c>
    </row>
    <row r="108" spans="1:50" hidden="1" x14ac:dyDescent="0.2">
      <c r="A108" s="46"/>
      <c r="B108" s="2">
        <f>+E45</f>
        <v>0</v>
      </c>
      <c r="C108">
        <f>+D108*-1</f>
        <v>465000</v>
      </c>
      <c r="D108">
        <f>IF('DATOS PARA DEPURAR'!C14&lt;=0,'DATOS PARA DEPURAR'!C14,0)</f>
        <v>-465000</v>
      </c>
      <c r="E108" s="47"/>
      <c r="AU108" s="41">
        <v>882.37</v>
      </c>
      <c r="AV108" s="41">
        <f t="shared" si="3"/>
        <v>899.33</v>
      </c>
      <c r="AW108" s="41">
        <v>110.65</v>
      </c>
      <c r="AX108" s="1">
        <f>+AW108*'DATOS PARA DEPURAR'!$C$24</f>
        <v>4692887.8</v>
      </c>
    </row>
    <row r="109" spans="1:50" hidden="1" x14ac:dyDescent="0.2">
      <c r="A109" s="46"/>
      <c r="B109" s="2">
        <f>IF((E37+E41+E43-E38-E39-E40)&gt;0,E37+E41+E43-E38-E39-E40,0)</f>
        <v>0</v>
      </c>
      <c r="C109">
        <f>IF('DATOS PARA DEPURAR'!C14&gt;0,'DATOS PARA DEPURAR'!C14,0)</f>
        <v>0</v>
      </c>
      <c r="E109" s="47"/>
      <c r="AU109" s="41">
        <v>899.34</v>
      </c>
      <c r="AV109" s="41">
        <f t="shared" si="3"/>
        <v>916.3</v>
      </c>
      <c r="AW109" s="41">
        <v>114.68</v>
      </c>
      <c r="AX109" s="1">
        <f>+AW109*'DATOS PARA DEPURAR'!$C$24</f>
        <v>4863808.16</v>
      </c>
    </row>
    <row r="110" spans="1:50" hidden="1" x14ac:dyDescent="0.2">
      <c r="A110" s="46"/>
      <c r="B110" s="2495" t="s">
        <v>445</v>
      </c>
      <c r="C110" s="2496"/>
      <c r="E110" s="47"/>
      <c r="AU110" s="41">
        <v>916.31</v>
      </c>
      <c r="AV110" s="41">
        <f t="shared" si="3"/>
        <v>933.27</v>
      </c>
      <c r="AW110" s="41">
        <v>118.74</v>
      </c>
      <c r="AX110" s="1">
        <f>+AW110*'DATOS PARA DEPURAR'!$C$24</f>
        <v>5036000.88</v>
      </c>
    </row>
    <row r="111" spans="1:50" hidden="1" x14ac:dyDescent="0.2">
      <c r="A111" s="46"/>
      <c r="B111" s="37" t="s">
        <v>446</v>
      </c>
      <c r="E111" s="47"/>
      <c r="AU111" s="41">
        <v>933.28</v>
      </c>
      <c r="AV111" s="41">
        <f t="shared" si="3"/>
        <v>950.24</v>
      </c>
      <c r="AW111" s="41">
        <v>122.84</v>
      </c>
      <c r="AX111" s="1">
        <f>+AW111*'DATOS PARA DEPURAR'!$C$24</f>
        <v>5209890.08</v>
      </c>
    </row>
    <row r="112" spans="1:50" hidden="1" x14ac:dyDescent="0.2">
      <c r="A112" s="46"/>
      <c r="B112" t="str">
        <f>IF(B108&gt;C108,B110,B111)</f>
        <v>YAOP</v>
      </c>
      <c r="E112" s="47"/>
      <c r="AU112" s="41">
        <v>950.25</v>
      </c>
      <c r="AV112" s="41">
        <f t="shared" si="3"/>
        <v>967.21</v>
      </c>
      <c r="AW112" s="41">
        <v>126.96</v>
      </c>
      <c r="AX112" s="1">
        <f>+AW112*'DATOS PARA DEPURAR'!$C$24</f>
        <v>5384627.5199999996</v>
      </c>
    </row>
    <row r="113" spans="1:50" hidden="1" x14ac:dyDescent="0.2">
      <c r="A113" s="46"/>
      <c r="B113" t="str">
        <f>IF(B109&gt;C109,B110,B111)</f>
        <v>YAOP</v>
      </c>
      <c r="D113" t="str">
        <f>IF(B108&gt;=0,IF(C109&gt;=0,B114,IF(B108&gt;=0,IF(C108&gt;=0,B112,IF(B109&gt;=0,IF(C109&gt;=0,B113,0))))))</f>
        <v>ESTA DECLARACION DEBE REALIZARSE SEGÚN ART 589 E.T.</v>
      </c>
      <c r="E113" s="47"/>
      <c r="AU113" s="41">
        <v>967.22</v>
      </c>
      <c r="AV113" s="41">
        <f t="shared" si="3"/>
        <v>984.18000000000006</v>
      </c>
      <c r="AW113" s="41">
        <v>131.11000000000001</v>
      </c>
      <c r="AX113" s="1">
        <f>+AW113*'DATOS PARA DEPURAR'!$C$24</f>
        <v>5560637.3200000003</v>
      </c>
    </row>
    <row r="114" spans="1:50" hidden="1" x14ac:dyDescent="0.2">
      <c r="A114" s="46"/>
      <c r="B114" t="str">
        <f>IF(B108&gt;=0,IF(C109&gt;=0,B110,B111))</f>
        <v>ESTA DECLARACION DEBE REALIZARSE SEGÚN ART 589 E.T.</v>
      </c>
      <c r="E114" s="47"/>
      <c r="AU114" s="41">
        <v>984.19</v>
      </c>
      <c r="AV114" s="41">
        <f t="shared" si="3"/>
        <v>1001.14</v>
      </c>
      <c r="AW114" s="41">
        <v>135.29</v>
      </c>
      <c r="AX114" s="1">
        <f>+AW114*'DATOS PARA DEPURAR'!$C$24</f>
        <v>5737919.4799999995</v>
      </c>
    </row>
    <row r="115" spans="1:50" hidden="1" x14ac:dyDescent="0.2">
      <c r="A115" s="46"/>
      <c r="E115" s="47"/>
      <c r="AU115" s="42">
        <v>1001.15</v>
      </c>
      <c r="AV115" s="41">
        <f t="shared" si="3"/>
        <v>1018.11</v>
      </c>
      <c r="AW115" s="41">
        <v>139.49</v>
      </c>
      <c r="AX115" s="1">
        <f>+AW115*'DATOS PARA DEPURAR'!$C$24</f>
        <v>5916049.8800000008</v>
      </c>
    </row>
    <row r="116" spans="1:50" hidden="1" x14ac:dyDescent="0.2">
      <c r="A116" s="46"/>
      <c r="B116" s="247" t="s">
        <v>396</v>
      </c>
      <c r="E116" s="47"/>
      <c r="AU116" s="42">
        <v>1018.12</v>
      </c>
      <c r="AV116" s="41">
        <f t="shared" si="3"/>
        <v>1035.08</v>
      </c>
      <c r="AW116" s="41">
        <v>143.71</v>
      </c>
      <c r="AX116" s="1">
        <f>+AW116*'DATOS PARA DEPURAR'!$C$24</f>
        <v>6095028.5200000005</v>
      </c>
    </row>
    <row r="117" spans="1:50" hidden="1" x14ac:dyDescent="0.2">
      <c r="A117" s="46"/>
      <c r="E117" s="47"/>
      <c r="AU117" s="42">
        <v>1035.0899999999999</v>
      </c>
      <c r="AV117" s="41">
        <f t="shared" si="3"/>
        <v>1052.05</v>
      </c>
      <c r="AW117" s="41">
        <v>147.94</v>
      </c>
      <c r="AX117" s="1">
        <f>+AW117*'DATOS PARA DEPURAR'!$C$24</f>
        <v>6274431.2800000003</v>
      </c>
    </row>
    <row r="118" spans="1:50" hidden="1" x14ac:dyDescent="0.2">
      <c r="A118" s="46"/>
      <c r="E118" s="47"/>
      <c r="AU118" s="42">
        <v>1052.06</v>
      </c>
      <c r="AV118" s="41">
        <f t="shared" si="3"/>
        <v>1069.02</v>
      </c>
      <c r="AW118" s="41">
        <v>152.19</v>
      </c>
      <c r="AX118" s="1">
        <f>+AW118*'DATOS PARA DEPURAR'!$C$24</f>
        <v>6454682.2800000003</v>
      </c>
    </row>
    <row r="119" spans="1:50" hidden="1" x14ac:dyDescent="0.2">
      <c r="A119" s="46"/>
      <c r="E119" s="47"/>
      <c r="AU119" s="42">
        <v>1069.03</v>
      </c>
      <c r="AV119" s="41">
        <f t="shared" si="3"/>
        <v>1085.99</v>
      </c>
      <c r="AW119" s="41">
        <v>156.44999999999999</v>
      </c>
      <c r="AX119" s="1">
        <f>+AW119*'DATOS PARA DEPURAR'!$C$24</f>
        <v>6635357.3999999994</v>
      </c>
    </row>
    <row r="120" spans="1:50" hidden="1" x14ac:dyDescent="0.2">
      <c r="A120" s="46"/>
      <c r="E120" s="47"/>
      <c r="AU120" s="42">
        <v>1086</v>
      </c>
      <c r="AV120" s="41">
        <f t="shared" si="3"/>
        <v>1102.96</v>
      </c>
      <c r="AW120" s="41">
        <v>160.72</v>
      </c>
      <c r="AX120" s="1">
        <f>+AW120*'DATOS PARA DEPURAR'!$C$24</f>
        <v>6816456.6399999997</v>
      </c>
    </row>
    <row r="121" spans="1:50" hidden="1" x14ac:dyDescent="0.2">
      <c r="A121" s="46"/>
      <c r="E121" s="47"/>
      <c r="AU121" s="42">
        <v>1102.97</v>
      </c>
      <c r="AV121" s="41">
        <f t="shared" si="3"/>
        <v>1119.92</v>
      </c>
      <c r="AW121" s="41">
        <v>164.99</v>
      </c>
      <c r="AX121" s="1">
        <f>+AW121*'DATOS PARA DEPURAR'!$C$24</f>
        <v>6997555.8800000008</v>
      </c>
    </row>
    <row r="122" spans="1:50" hidden="1" x14ac:dyDescent="0.2">
      <c r="A122" s="46"/>
      <c r="E122" s="47"/>
      <c r="AU122" s="42">
        <v>1119.93</v>
      </c>
      <c r="AV122" s="41">
        <f>1136.92-0.01</f>
        <v>1136.9100000000001</v>
      </c>
      <c r="AW122" s="41">
        <v>169.26</v>
      </c>
      <c r="AX122" s="1">
        <f>+AW122*'DATOS PARA DEPURAR'!$C$24</f>
        <v>7178655.1199999992</v>
      </c>
    </row>
    <row r="123" spans="1:50" hidden="1" x14ac:dyDescent="0.2">
      <c r="A123" s="46"/>
      <c r="E123" s="47"/>
      <c r="AU123" s="42">
        <v>1136.92</v>
      </c>
      <c r="AV123" s="41"/>
      <c r="AW123" s="41" t="e">
        <f>27%*AU1-135.17</f>
        <v>#REF!</v>
      </c>
      <c r="AX123" s="1" t="e">
        <f>+AW123*'DATOS PARA DEPURAR'!$C$24</f>
        <v>#REF!</v>
      </c>
    </row>
    <row r="124" spans="1:50" ht="13.5" hidden="1" thickBot="1" x14ac:dyDescent="0.25">
      <c r="A124" s="67"/>
      <c r="B124" s="68"/>
      <c r="C124" s="68"/>
      <c r="D124" s="68"/>
      <c r="E124" s="69"/>
    </row>
    <row r="125" spans="1:50" hidden="1" x14ac:dyDescent="0.2">
      <c r="AU125" s="39"/>
      <c r="AV125" s="43"/>
      <c r="AW125" s="40"/>
    </row>
    <row r="126" spans="1:50" ht="15" hidden="1" x14ac:dyDescent="0.25">
      <c r="A126" s="93">
        <v>0</v>
      </c>
      <c r="B126" s="94">
        <v>1547.99</v>
      </c>
      <c r="C126" s="95">
        <v>0</v>
      </c>
      <c r="E126">
        <v>0</v>
      </c>
      <c r="F126" s="98">
        <f t="shared" ref="F126:F166" si="4">+E127-0.01</f>
        <v>1547.99</v>
      </c>
      <c r="I126">
        <v>0</v>
      </c>
    </row>
    <row r="127" spans="1:50" ht="15" hidden="1" x14ac:dyDescent="0.25">
      <c r="A127" s="93">
        <v>1548</v>
      </c>
      <c r="B127" s="96">
        <f>+A128-0.01</f>
        <v>1587.99</v>
      </c>
      <c r="C127" s="95">
        <v>1.05</v>
      </c>
      <c r="E127" s="93">
        <v>1548</v>
      </c>
      <c r="F127" s="98">
        <f t="shared" si="4"/>
        <v>1587.99</v>
      </c>
      <c r="I127" s="95">
        <v>1.08</v>
      </c>
    </row>
    <row r="128" spans="1:50" ht="15" hidden="1" x14ac:dyDescent="0.25">
      <c r="A128" s="93">
        <v>1588</v>
      </c>
      <c r="B128" s="96">
        <f t="shared" ref="B128:B191" si="5">+A129-0.01</f>
        <v>1628.99</v>
      </c>
      <c r="C128" s="95">
        <v>1.08</v>
      </c>
      <c r="E128" s="93">
        <v>1588</v>
      </c>
      <c r="F128" s="98">
        <f t="shared" si="4"/>
        <v>1628.99</v>
      </c>
      <c r="I128" s="95">
        <v>1.1000000000000001</v>
      </c>
    </row>
    <row r="129" spans="1:9" ht="15" hidden="1" x14ac:dyDescent="0.25">
      <c r="A129" s="93">
        <v>1629</v>
      </c>
      <c r="B129" s="96">
        <f t="shared" si="5"/>
        <v>1669.99</v>
      </c>
      <c r="C129" s="95">
        <v>1.1100000000000001</v>
      </c>
      <c r="E129" s="93">
        <v>1629</v>
      </c>
      <c r="F129" s="98">
        <f t="shared" si="4"/>
        <v>1669.99</v>
      </c>
      <c r="I129" s="95">
        <v>1.1299999999999999</v>
      </c>
    </row>
    <row r="130" spans="1:9" ht="15" hidden="1" x14ac:dyDescent="0.25">
      <c r="A130" s="93">
        <v>1670</v>
      </c>
      <c r="B130" s="96">
        <f t="shared" si="5"/>
        <v>1709.99</v>
      </c>
      <c r="C130" s="95">
        <v>1.1399999999999999</v>
      </c>
      <c r="E130" s="93">
        <v>1670</v>
      </c>
      <c r="F130" s="98">
        <f t="shared" si="4"/>
        <v>1709.99</v>
      </c>
      <c r="I130" s="95">
        <v>1.1599999999999999</v>
      </c>
    </row>
    <row r="131" spans="1:9" ht="15" hidden="1" x14ac:dyDescent="0.25">
      <c r="A131" s="93">
        <v>1710</v>
      </c>
      <c r="B131" s="96">
        <f t="shared" si="5"/>
        <v>1750.99</v>
      </c>
      <c r="C131" s="95">
        <v>1.1599999999999999</v>
      </c>
      <c r="E131" s="93">
        <v>1710</v>
      </c>
      <c r="F131" s="98">
        <f t="shared" si="4"/>
        <v>1750.99</v>
      </c>
      <c r="I131" s="95">
        <v>1.19</v>
      </c>
    </row>
    <row r="132" spans="1:9" ht="15" hidden="1" x14ac:dyDescent="0.25">
      <c r="A132" s="93">
        <v>1751</v>
      </c>
      <c r="B132" s="96">
        <f t="shared" si="5"/>
        <v>1791.99</v>
      </c>
      <c r="C132" s="95">
        <v>2.38</v>
      </c>
      <c r="E132" s="93">
        <v>1751</v>
      </c>
      <c r="F132" s="98">
        <f t="shared" si="4"/>
        <v>1791.99</v>
      </c>
      <c r="I132" s="95">
        <v>2.4300000000000002</v>
      </c>
    </row>
    <row r="133" spans="1:9" ht="15" hidden="1" x14ac:dyDescent="0.25">
      <c r="A133" s="93">
        <v>1792</v>
      </c>
      <c r="B133" s="96">
        <f t="shared" si="5"/>
        <v>1832.99</v>
      </c>
      <c r="C133" s="95">
        <v>2.4300000000000002</v>
      </c>
      <c r="E133" s="93">
        <v>1792</v>
      </c>
      <c r="F133" s="98">
        <f t="shared" si="4"/>
        <v>1832.99</v>
      </c>
      <c r="I133" s="95">
        <v>2.48</v>
      </c>
    </row>
    <row r="134" spans="1:9" ht="15" hidden="1" x14ac:dyDescent="0.25">
      <c r="A134" s="93">
        <v>1833</v>
      </c>
      <c r="B134" s="96">
        <f t="shared" si="5"/>
        <v>1872.99</v>
      </c>
      <c r="C134" s="95">
        <v>2.4900000000000002</v>
      </c>
      <c r="E134" s="93">
        <v>1833</v>
      </c>
      <c r="F134" s="98">
        <f t="shared" si="4"/>
        <v>1872.99</v>
      </c>
      <c r="I134" s="95">
        <v>2.54</v>
      </c>
    </row>
    <row r="135" spans="1:9" ht="15" hidden="1" x14ac:dyDescent="0.25">
      <c r="A135" s="93">
        <v>1873</v>
      </c>
      <c r="B135" s="96">
        <f t="shared" si="5"/>
        <v>1913.99</v>
      </c>
      <c r="C135" s="95">
        <v>4.76</v>
      </c>
      <c r="E135" s="93">
        <v>1873</v>
      </c>
      <c r="F135" s="98">
        <f t="shared" si="4"/>
        <v>1913.99</v>
      </c>
      <c r="I135" s="95">
        <v>4.8499999999999996</v>
      </c>
    </row>
    <row r="136" spans="1:9" ht="15" hidden="1" x14ac:dyDescent="0.25">
      <c r="A136" s="93">
        <v>1914</v>
      </c>
      <c r="B136" s="96">
        <f t="shared" si="5"/>
        <v>1954.99</v>
      </c>
      <c r="C136" s="95">
        <v>4.8600000000000003</v>
      </c>
      <c r="E136" s="93">
        <v>1914</v>
      </c>
      <c r="F136" s="98">
        <f t="shared" si="4"/>
        <v>1954.99</v>
      </c>
      <c r="I136" s="95">
        <v>4.96</v>
      </c>
    </row>
    <row r="137" spans="1:9" ht="15" hidden="1" x14ac:dyDescent="0.25">
      <c r="A137" s="93">
        <v>1955</v>
      </c>
      <c r="B137" s="96">
        <f t="shared" si="5"/>
        <v>1995.99</v>
      </c>
      <c r="C137" s="95">
        <v>4.96</v>
      </c>
      <c r="E137" s="93">
        <v>1955</v>
      </c>
      <c r="F137" s="98">
        <f t="shared" si="4"/>
        <v>1995.99</v>
      </c>
      <c r="I137" s="95">
        <v>5.0599999999999996</v>
      </c>
    </row>
    <row r="138" spans="1:9" ht="15" hidden="1" x14ac:dyDescent="0.25">
      <c r="A138" s="93">
        <v>1996</v>
      </c>
      <c r="B138" s="96">
        <f t="shared" si="5"/>
        <v>2035.99</v>
      </c>
      <c r="C138" s="95">
        <v>8.43</v>
      </c>
      <c r="E138" s="93">
        <v>1996</v>
      </c>
      <c r="F138" s="98">
        <f t="shared" si="4"/>
        <v>2035.99</v>
      </c>
      <c r="I138" s="95">
        <v>8.6</v>
      </c>
    </row>
    <row r="139" spans="1:9" ht="15" hidden="1" x14ac:dyDescent="0.25">
      <c r="A139" s="93">
        <v>2036</v>
      </c>
      <c r="B139" s="96">
        <f t="shared" si="5"/>
        <v>2117.9899999999998</v>
      </c>
      <c r="C139" s="95">
        <v>8.7100000000000009</v>
      </c>
      <c r="E139" s="93">
        <v>2036</v>
      </c>
      <c r="F139" s="98">
        <f t="shared" si="4"/>
        <v>2117.9899999999998</v>
      </c>
      <c r="I139" s="95">
        <v>8.89</v>
      </c>
    </row>
    <row r="140" spans="1:9" ht="15" hidden="1" x14ac:dyDescent="0.25">
      <c r="A140" s="93">
        <v>2118</v>
      </c>
      <c r="B140" s="96">
        <f t="shared" si="5"/>
        <v>2198.9899999999998</v>
      </c>
      <c r="C140" s="95">
        <v>13.74</v>
      </c>
      <c r="E140" s="93">
        <v>2118</v>
      </c>
      <c r="F140" s="98">
        <f t="shared" si="4"/>
        <v>2198.9899999999998</v>
      </c>
      <c r="I140" s="95">
        <v>14.02</v>
      </c>
    </row>
    <row r="141" spans="1:9" ht="15" hidden="1" x14ac:dyDescent="0.25">
      <c r="A141" s="93">
        <v>2199</v>
      </c>
      <c r="B141" s="96">
        <f t="shared" si="5"/>
        <v>2280.9899999999998</v>
      </c>
      <c r="C141" s="95">
        <v>14.26</v>
      </c>
      <c r="E141" s="93">
        <v>2199</v>
      </c>
      <c r="F141" s="98">
        <f t="shared" si="4"/>
        <v>2280.9899999999998</v>
      </c>
      <c r="I141" s="95">
        <v>20.92</v>
      </c>
    </row>
    <row r="142" spans="1:9" ht="15" hidden="1" x14ac:dyDescent="0.25">
      <c r="A142" s="93">
        <v>2281</v>
      </c>
      <c r="B142" s="96">
        <f t="shared" si="5"/>
        <v>2361.9899999999998</v>
      </c>
      <c r="C142" s="95">
        <v>19.809999999999999</v>
      </c>
      <c r="E142" s="93">
        <v>2281</v>
      </c>
      <c r="F142" s="98">
        <f t="shared" si="4"/>
        <v>2361.9899999999998</v>
      </c>
      <c r="I142" s="95">
        <v>29.98</v>
      </c>
    </row>
    <row r="143" spans="1:9" ht="15" hidden="1" x14ac:dyDescent="0.25">
      <c r="A143" s="93">
        <v>2362</v>
      </c>
      <c r="B143" s="96">
        <f t="shared" si="5"/>
        <v>2442.9899999999998</v>
      </c>
      <c r="C143" s="95">
        <v>25.7</v>
      </c>
      <c r="E143" s="93">
        <v>2362</v>
      </c>
      <c r="F143" s="98">
        <f t="shared" si="4"/>
        <v>2442.9899999999998</v>
      </c>
      <c r="I143" s="95">
        <v>39.03</v>
      </c>
    </row>
    <row r="144" spans="1:9" ht="15" hidden="1" x14ac:dyDescent="0.25">
      <c r="A144" s="93">
        <v>2443</v>
      </c>
      <c r="B144" s="96">
        <f t="shared" si="5"/>
        <v>2524.9899999999998</v>
      </c>
      <c r="C144" s="95">
        <v>26.57</v>
      </c>
      <c r="E144" s="93">
        <v>2443</v>
      </c>
      <c r="F144" s="98">
        <f t="shared" si="4"/>
        <v>2524.9899999999998</v>
      </c>
      <c r="I144" s="95">
        <v>48.08</v>
      </c>
    </row>
    <row r="145" spans="1:9" ht="15" hidden="1" x14ac:dyDescent="0.25">
      <c r="A145" s="93">
        <v>2525</v>
      </c>
      <c r="B145" s="96">
        <f t="shared" si="5"/>
        <v>2605.9899999999998</v>
      </c>
      <c r="C145" s="95">
        <v>35.56</v>
      </c>
      <c r="E145" s="93">
        <v>2525</v>
      </c>
      <c r="F145" s="98">
        <f t="shared" si="4"/>
        <v>2605.9899999999998</v>
      </c>
      <c r="I145" s="95">
        <v>57.14</v>
      </c>
    </row>
    <row r="146" spans="1:9" ht="15" hidden="1" x14ac:dyDescent="0.25">
      <c r="A146" s="93">
        <v>2606</v>
      </c>
      <c r="B146" s="96">
        <f t="shared" si="5"/>
        <v>2687.99</v>
      </c>
      <c r="C146" s="95">
        <v>45.05</v>
      </c>
      <c r="E146" s="93">
        <v>2606</v>
      </c>
      <c r="F146" s="98">
        <f t="shared" si="4"/>
        <v>2687.99</v>
      </c>
      <c r="I146" s="95">
        <v>66.19</v>
      </c>
    </row>
    <row r="147" spans="1:9" ht="15" hidden="1" x14ac:dyDescent="0.25">
      <c r="A147" s="93">
        <v>2688</v>
      </c>
      <c r="B147" s="96">
        <f t="shared" si="5"/>
        <v>2768.99</v>
      </c>
      <c r="C147" s="95">
        <v>46.43</v>
      </c>
      <c r="E147" s="93">
        <v>2688</v>
      </c>
      <c r="F147" s="98">
        <f t="shared" si="4"/>
        <v>2768.99</v>
      </c>
      <c r="I147" s="95">
        <v>75.239999999999995</v>
      </c>
    </row>
    <row r="148" spans="1:9" ht="15" hidden="1" x14ac:dyDescent="0.25">
      <c r="A148" s="93">
        <v>2769</v>
      </c>
      <c r="B148" s="96">
        <f t="shared" si="5"/>
        <v>2850.99</v>
      </c>
      <c r="C148" s="95">
        <v>55.58</v>
      </c>
      <c r="E148" s="93">
        <v>2769</v>
      </c>
      <c r="F148" s="98">
        <f t="shared" si="4"/>
        <v>2850.99</v>
      </c>
      <c r="I148" s="95">
        <v>84.3</v>
      </c>
    </row>
    <row r="149" spans="1:9" ht="15" hidden="1" x14ac:dyDescent="0.25">
      <c r="A149" s="93">
        <v>2851</v>
      </c>
      <c r="B149" s="96">
        <f t="shared" si="5"/>
        <v>2931.99</v>
      </c>
      <c r="C149" s="95">
        <v>60.7</v>
      </c>
      <c r="E149" s="93">
        <v>2851</v>
      </c>
      <c r="F149" s="98">
        <f t="shared" si="4"/>
        <v>2931.99</v>
      </c>
      <c r="I149" s="95">
        <v>93.35</v>
      </c>
    </row>
    <row r="150" spans="1:9" ht="15" hidden="1" x14ac:dyDescent="0.25">
      <c r="A150" s="93">
        <v>2932</v>
      </c>
      <c r="B150" s="96">
        <f t="shared" si="5"/>
        <v>3013.99</v>
      </c>
      <c r="C150" s="95">
        <v>66.02</v>
      </c>
      <c r="E150" s="93">
        <v>2932</v>
      </c>
      <c r="F150" s="98">
        <f t="shared" si="4"/>
        <v>3013.99</v>
      </c>
      <c r="I150" s="95">
        <v>102.4</v>
      </c>
    </row>
    <row r="151" spans="1:9" ht="15" hidden="1" x14ac:dyDescent="0.25">
      <c r="A151" s="93">
        <v>3014</v>
      </c>
      <c r="B151" s="96">
        <f t="shared" si="5"/>
        <v>3094.99</v>
      </c>
      <c r="C151" s="95">
        <v>71.540000000000006</v>
      </c>
      <c r="E151" s="93">
        <v>3014</v>
      </c>
      <c r="F151" s="98">
        <f t="shared" si="4"/>
        <v>3094.99</v>
      </c>
      <c r="I151" s="95">
        <v>111.46</v>
      </c>
    </row>
    <row r="152" spans="1:9" ht="15" hidden="1" x14ac:dyDescent="0.25">
      <c r="A152" s="93">
        <v>3095</v>
      </c>
      <c r="B152" s="96">
        <f t="shared" si="5"/>
        <v>3176.99</v>
      </c>
      <c r="C152" s="95">
        <v>77.239999999999995</v>
      </c>
      <c r="E152" s="93">
        <v>3095</v>
      </c>
      <c r="F152" s="98">
        <f t="shared" si="4"/>
        <v>3176.99</v>
      </c>
      <c r="I152" s="95">
        <v>122.79</v>
      </c>
    </row>
    <row r="153" spans="1:9" ht="15" hidden="1" x14ac:dyDescent="0.25">
      <c r="A153" s="93">
        <v>3177</v>
      </c>
      <c r="B153" s="96">
        <f t="shared" si="5"/>
        <v>3257.99</v>
      </c>
      <c r="C153" s="95">
        <v>83.14</v>
      </c>
      <c r="E153" s="93">
        <v>3177</v>
      </c>
      <c r="F153" s="98">
        <f t="shared" si="4"/>
        <v>3257.99</v>
      </c>
      <c r="I153" s="95">
        <v>136.13</v>
      </c>
    </row>
    <row r="154" spans="1:9" ht="15" hidden="1" x14ac:dyDescent="0.25">
      <c r="A154" s="93">
        <v>3258</v>
      </c>
      <c r="B154" s="96">
        <f t="shared" si="5"/>
        <v>3338.99</v>
      </c>
      <c r="C154" s="95">
        <v>89.23</v>
      </c>
      <c r="E154" s="93">
        <v>3258</v>
      </c>
      <c r="F154" s="98">
        <f t="shared" si="4"/>
        <v>3338.99</v>
      </c>
      <c r="I154" s="95">
        <v>149.47</v>
      </c>
    </row>
    <row r="155" spans="1:9" ht="15" hidden="1" x14ac:dyDescent="0.25">
      <c r="A155" s="93">
        <v>3339</v>
      </c>
      <c r="B155" s="96">
        <f t="shared" si="5"/>
        <v>3420.99</v>
      </c>
      <c r="C155" s="95">
        <v>95.51</v>
      </c>
      <c r="E155" s="93">
        <v>3339</v>
      </c>
      <c r="F155" s="98">
        <f t="shared" si="4"/>
        <v>3420.99</v>
      </c>
      <c r="I155" s="95">
        <v>162.82</v>
      </c>
    </row>
    <row r="156" spans="1:9" ht="15" hidden="1" x14ac:dyDescent="0.25">
      <c r="A156" s="93">
        <v>3421</v>
      </c>
      <c r="B156" s="96">
        <f t="shared" si="5"/>
        <v>3501.99</v>
      </c>
      <c r="C156" s="95">
        <v>101.98</v>
      </c>
      <c r="E156" s="93">
        <v>3421</v>
      </c>
      <c r="F156" s="98">
        <f t="shared" si="4"/>
        <v>3501.99</v>
      </c>
      <c r="I156" s="95">
        <v>176.16</v>
      </c>
    </row>
    <row r="157" spans="1:9" ht="15" hidden="1" x14ac:dyDescent="0.25">
      <c r="A157" s="93">
        <v>3502</v>
      </c>
      <c r="B157" s="96">
        <f t="shared" si="5"/>
        <v>3583.99</v>
      </c>
      <c r="C157" s="95">
        <v>108.64</v>
      </c>
      <c r="E157" s="93">
        <v>3502</v>
      </c>
      <c r="F157" s="98">
        <f t="shared" si="4"/>
        <v>3583.99</v>
      </c>
      <c r="I157" s="95">
        <v>189.5</v>
      </c>
    </row>
    <row r="158" spans="1:9" ht="15" hidden="1" x14ac:dyDescent="0.25">
      <c r="A158" s="93">
        <v>3584</v>
      </c>
      <c r="B158" s="96">
        <f t="shared" si="5"/>
        <v>3664.99</v>
      </c>
      <c r="C158" s="95">
        <v>115.49</v>
      </c>
      <c r="E158" s="93">
        <v>3584</v>
      </c>
      <c r="F158" s="98">
        <f t="shared" si="4"/>
        <v>3664.99</v>
      </c>
      <c r="I158" s="95">
        <v>202.84</v>
      </c>
    </row>
    <row r="159" spans="1:9" ht="15" hidden="1" x14ac:dyDescent="0.25">
      <c r="A159" s="93">
        <v>3665</v>
      </c>
      <c r="B159" s="96">
        <f t="shared" si="5"/>
        <v>3746.99</v>
      </c>
      <c r="C159" s="95">
        <v>122.54</v>
      </c>
      <c r="E159" s="93">
        <v>3665</v>
      </c>
      <c r="F159" s="98">
        <f t="shared" si="4"/>
        <v>3746.99</v>
      </c>
      <c r="I159" s="95">
        <v>216.18</v>
      </c>
    </row>
    <row r="160" spans="1:9" ht="15" hidden="1" x14ac:dyDescent="0.25">
      <c r="A160" s="93">
        <v>3747</v>
      </c>
      <c r="B160" s="96">
        <f t="shared" si="5"/>
        <v>3827.99</v>
      </c>
      <c r="C160" s="95">
        <v>129.76</v>
      </c>
      <c r="E160" s="93">
        <v>3747</v>
      </c>
      <c r="F160" s="98">
        <f t="shared" si="4"/>
        <v>3827.99</v>
      </c>
      <c r="I160" s="95">
        <v>229.52</v>
      </c>
    </row>
    <row r="161" spans="1:10" ht="15" hidden="1" x14ac:dyDescent="0.25">
      <c r="A161" s="93">
        <v>3828</v>
      </c>
      <c r="B161" s="96">
        <f t="shared" si="5"/>
        <v>3909.99</v>
      </c>
      <c r="C161" s="95">
        <v>137.18</v>
      </c>
      <c r="E161" s="93">
        <v>3828</v>
      </c>
      <c r="F161" s="98">
        <f t="shared" si="4"/>
        <v>3909.99</v>
      </c>
      <c r="I161" s="95">
        <v>242.86</v>
      </c>
    </row>
    <row r="162" spans="1:10" ht="15" hidden="1" x14ac:dyDescent="0.25">
      <c r="A162" s="93">
        <v>3910</v>
      </c>
      <c r="B162" s="96">
        <f t="shared" si="5"/>
        <v>3990.99</v>
      </c>
      <c r="C162" s="95">
        <v>144.78</v>
      </c>
      <c r="E162" s="93">
        <v>3910</v>
      </c>
      <c r="F162" s="98">
        <f t="shared" si="4"/>
        <v>3990.99</v>
      </c>
      <c r="I162" s="95">
        <v>256.20999999999998</v>
      </c>
    </row>
    <row r="163" spans="1:10" ht="15" hidden="1" x14ac:dyDescent="0.25">
      <c r="A163" s="93">
        <v>3991</v>
      </c>
      <c r="B163" s="96">
        <f t="shared" si="5"/>
        <v>4071.99</v>
      </c>
      <c r="C163" s="95">
        <v>152.58000000000001</v>
      </c>
      <c r="E163" s="93">
        <v>3991</v>
      </c>
      <c r="F163" s="98">
        <f t="shared" si="4"/>
        <v>4071.99</v>
      </c>
      <c r="I163" s="95">
        <v>269.55</v>
      </c>
    </row>
    <row r="164" spans="1:10" ht="15" hidden="1" x14ac:dyDescent="0.25">
      <c r="A164" s="93">
        <v>4072</v>
      </c>
      <c r="B164" s="96">
        <f t="shared" si="5"/>
        <v>4275.99</v>
      </c>
      <c r="C164" s="95">
        <v>168.71</v>
      </c>
      <c r="E164" s="93">
        <v>4072</v>
      </c>
      <c r="F164" s="98">
        <f t="shared" si="4"/>
        <v>4275.99</v>
      </c>
      <c r="I164" s="95">
        <v>282.89</v>
      </c>
    </row>
    <row r="165" spans="1:10" ht="15" hidden="1" x14ac:dyDescent="0.25">
      <c r="A165" s="93">
        <v>4276</v>
      </c>
      <c r="B165" s="96">
        <f t="shared" si="5"/>
        <v>4479.99</v>
      </c>
      <c r="C165" s="95">
        <v>189.92</v>
      </c>
      <c r="E165" s="93">
        <v>4276</v>
      </c>
      <c r="F165" s="98">
        <f t="shared" si="4"/>
        <v>4479.99</v>
      </c>
      <c r="I165" s="95">
        <v>316.24</v>
      </c>
      <c r="J165">
        <f>+I165*26841</f>
        <v>8488197.8399999999</v>
      </c>
    </row>
    <row r="166" spans="1:10" ht="15" hidden="1" x14ac:dyDescent="0.25">
      <c r="A166" s="93">
        <v>4480</v>
      </c>
      <c r="B166" s="96">
        <f t="shared" si="5"/>
        <v>4682.99</v>
      </c>
      <c r="C166" s="95">
        <v>212.27</v>
      </c>
      <c r="E166" s="93">
        <v>4480</v>
      </c>
      <c r="F166" s="98">
        <f t="shared" si="4"/>
        <v>4682.99</v>
      </c>
      <c r="I166" s="95">
        <v>349.6</v>
      </c>
    </row>
    <row r="167" spans="1:10" ht="15" hidden="1" x14ac:dyDescent="0.25">
      <c r="A167" s="93">
        <v>4683</v>
      </c>
      <c r="B167" s="96">
        <f t="shared" si="5"/>
        <v>4886.99</v>
      </c>
      <c r="C167" s="95">
        <v>235.75</v>
      </c>
      <c r="E167" s="93">
        <v>4683</v>
      </c>
      <c r="F167" s="98">
        <v>4700</v>
      </c>
      <c r="I167" s="95">
        <v>382.95</v>
      </c>
    </row>
    <row r="168" spans="1:10" ht="15" hidden="1" x14ac:dyDescent="0.25">
      <c r="A168" s="93">
        <v>4887</v>
      </c>
      <c r="B168" s="96">
        <f t="shared" si="5"/>
        <v>5090.99</v>
      </c>
      <c r="C168" s="95">
        <v>260.33999999999997</v>
      </c>
    </row>
    <row r="169" spans="1:10" ht="15" hidden="1" x14ac:dyDescent="0.25">
      <c r="A169" s="93">
        <v>5091</v>
      </c>
      <c r="B169" s="96">
        <f t="shared" si="5"/>
        <v>5293.99</v>
      </c>
      <c r="C169" s="95">
        <v>286.02999999999997</v>
      </c>
    </row>
    <row r="170" spans="1:10" ht="15" hidden="1" x14ac:dyDescent="0.25">
      <c r="A170" s="93">
        <v>5294</v>
      </c>
      <c r="B170" s="96">
        <f t="shared" si="5"/>
        <v>5497.99</v>
      </c>
      <c r="C170" s="95">
        <v>312.81</v>
      </c>
    </row>
    <row r="171" spans="1:10" ht="15" hidden="1" x14ac:dyDescent="0.25">
      <c r="A171" s="93">
        <v>5498</v>
      </c>
      <c r="B171" s="96">
        <f t="shared" si="5"/>
        <v>5700.99</v>
      </c>
      <c r="C171" s="95">
        <v>340.66</v>
      </c>
    </row>
    <row r="172" spans="1:10" ht="15" hidden="1" x14ac:dyDescent="0.25">
      <c r="A172" s="93">
        <v>5701</v>
      </c>
      <c r="B172" s="96">
        <f t="shared" si="5"/>
        <v>5904.99</v>
      </c>
      <c r="C172" s="95">
        <v>369.57</v>
      </c>
      <c r="F172" s="470" t="s">
        <v>468</v>
      </c>
      <c r="G172" s="470"/>
      <c r="H172" s="470"/>
      <c r="I172" s="470"/>
      <c r="J172" s="470"/>
    </row>
    <row r="173" spans="1:10" ht="15" hidden="1" x14ac:dyDescent="0.25">
      <c r="A173" s="93">
        <v>5905</v>
      </c>
      <c r="B173" s="96">
        <f t="shared" si="5"/>
        <v>6108.99</v>
      </c>
      <c r="C173" s="95">
        <v>399.52</v>
      </c>
      <c r="F173" s="470"/>
      <c r="G173" s="470"/>
      <c r="H173" s="470"/>
      <c r="I173" s="470"/>
      <c r="J173" s="470"/>
    </row>
    <row r="174" spans="1:10" ht="15.75" hidden="1" thickBot="1" x14ac:dyDescent="0.3">
      <c r="A174" s="93">
        <v>6109</v>
      </c>
      <c r="B174" s="96">
        <f t="shared" si="5"/>
        <v>6311.99</v>
      </c>
      <c r="C174" s="95">
        <v>430.49</v>
      </c>
      <c r="F174" s="470"/>
      <c r="G174" s="470"/>
      <c r="H174" s="470"/>
      <c r="I174" s="470"/>
      <c r="J174" s="470"/>
    </row>
    <row r="175" spans="1:10" ht="15" hidden="1" x14ac:dyDescent="0.25">
      <c r="A175" s="93">
        <v>6312</v>
      </c>
      <c r="B175" s="96">
        <f t="shared" si="5"/>
        <v>6515.99</v>
      </c>
      <c r="C175" s="95">
        <v>462.46</v>
      </c>
      <c r="F175" s="471" t="s">
        <v>8</v>
      </c>
      <c r="G175" s="472"/>
      <c r="H175" s="470"/>
      <c r="I175" s="473" t="s">
        <v>10</v>
      </c>
      <c r="J175" s="470"/>
    </row>
    <row r="176" spans="1:10" ht="15.75" hidden="1" thickBot="1" x14ac:dyDescent="0.3">
      <c r="A176" s="93">
        <v>6516</v>
      </c>
      <c r="B176" s="96">
        <f t="shared" si="5"/>
        <v>6719.99</v>
      </c>
      <c r="C176" s="95">
        <v>495.43</v>
      </c>
      <c r="F176" s="1308">
        <f>+'DEPURACION ORDINARIO 2017'!E32/'DEPURACION POR IMAS EMPLEADO'!I176</f>
        <v>70.734697727058375</v>
      </c>
      <c r="G176" s="1309"/>
      <c r="H176" s="470"/>
      <c r="I176" s="474">
        <f>+'DATOS PARA DEPURAR'!C24</f>
        <v>42412</v>
      </c>
      <c r="J176" s="470"/>
    </row>
    <row r="177" spans="1:10" ht="15.75" hidden="1" thickBot="1" x14ac:dyDescent="0.3">
      <c r="A177" s="93">
        <v>6720</v>
      </c>
      <c r="B177" s="96">
        <f t="shared" si="5"/>
        <v>6922.99</v>
      </c>
      <c r="C177" s="95">
        <v>529.36</v>
      </c>
      <c r="F177" s="470"/>
      <c r="G177" s="470"/>
      <c r="H177" s="470"/>
      <c r="I177" s="470"/>
      <c r="J177" s="470"/>
    </row>
    <row r="178" spans="1:10" ht="15" hidden="1" x14ac:dyDescent="0.25">
      <c r="A178" s="93">
        <v>6923</v>
      </c>
      <c r="B178" s="96">
        <f t="shared" si="5"/>
        <v>7126.99</v>
      </c>
      <c r="C178" s="95">
        <v>564.23</v>
      </c>
      <c r="F178" s="475">
        <v>0</v>
      </c>
      <c r="G178" s="476">
        <v>1090</v>
      </c>
      <c r="H178" s="470"/>
      <c r="I178" s="477">
        <f>IF(F176&lt;=1090,0)</f>
        <v>0</v>
      </c>
      <c r="J178" s="470"/>
    </row>
    <row r="179" spans="1:10" ht="15" hidden="1" x14ac:dyDescent="0.25">
      <c r="A179" s="93">
        <v>7127</v>
      </c>
      <c r="B179" s="96">
        <f t="shared" si="5"/>
        <v>7329.99</v>
      </c>
      <c r="C179" s="95">
        <v>600.04</v>
      </c>
      <c r="F179" s="478" t="s">
        <v>169</v>
      </c>
      <c r="G179" s="479">
        <v>1700</v>
      </c>
      <c r="H179" s="470"/>
      <c r="I179" s="480" t="b">
        <f>IF(F176&gt;1090,(IF(F176&lt;=1700,ROUND((((+F176-1090)*19%)*I176),-3),0)),FALSE)</f>
        <v>0</v>
      </c>
      <c r="J179" s="470"/>
    </row>
    <row r="180" spans="1:10" ht="15" hidden="1" x14ac:dyDescent="0.25">
      <c r="A180" s="93">
        <v>7330</v>
      </c>
      <c r="B180" s="96">
        <f t="shared" si="5"/>
        <v>7533.99</v>
      </c>
      <c r="C180" s="95">
        <v>636.75</v>
      </c>
      <c r="F180" s="478" t="s">
        <v>170</v>
      </c>
      <c r="G180" s="479">
        <v>4100</v>
      </c>
      <c r="H180" s="470"/>
      <c r="I180" s="480" t="b">
        <f>IF(F176&gt;1700,IF(F176&lt;=4100,ROUND((((+F176-1700)*28%+116)*I176),-3),0))</f>
        <v>0</v>
      </c>
      <c r="J180" s="470"/>
    </row>
    <row r="181" spans="1:10" ht="15.75" hidden="1" thickBot="1" x14ac:dyDescent="0.3">
      <c r="A181" s="93">
        <v>7534</v>
      </c>
      <c r="B181" s="96">
        <f t="shared" si="5"/>
        <v>7737.99</v>
      </c>
      <c r="C181" s="95">
        <v>674.35</v>
      </c>
      <c r="F181" s="481" t="s">
        <v>171</v>
      </c>
      <c r="G181" s="482"/>
      <c r="H181" s="470"/>
      <c r="I181" s="483">
        <f>IF(F176&gt;4100,ROUND((((+F176-4100)*33%)*I176)+(788*I176),-3),0)</f>
        <v>0</v>
      </c>
      <c r="J181" s="470"/>
    </row>
    <row r="182" spans="1:10" ht="15" hidden="1" x14ac:dyDescent="0.25">
      <c r="A182" s="93">
        <v>7738</v>
      </c>
      <c r="B182" s="96">
        <f t="shared" si="5"/>
        <v>7940.99</v>
      </c>
      <c r="C182" s="95">
        <v>712.8</v>
      </c>
      <c r="F182" s="484"/>
      <c r="G182" s="470"/>
      <c r="H182" s="470"/>
      <c r="I182" s="485"/>
      <c r="J182" s="470"/>
    </row>
    <row r="183" spans="1:10" ht="15.75" hidden="1" thickBot="1" x14ac:dyDescent="0.3">
      <c r="A183" s="93">
        <v>7941</v>
      </c>
      <c r="B183" s="96">
        <f t="shared" si="5"/>
        <v>8144.99</v>
      </c>
      <c r="C183" s="95">
        <v>752.1</v>
      </c>
      <c r="F183" s="484"/>
      <c r="G183" s="470"/>
      <c r="H183" s="470"/>
      <c r="I183" s="485"/>
      <c r="J183" s="470"/>
    </row>
    <row r="184" spans="1:10" ht="15" hidden="1" x14ac:dyDescent="0.25">
      <c r="A184" s="93">
        <v>8145</v>
      </c>
      <c r="B184" s="96">
        <f t="shared" si="5"/>
        <v>8348.99</v>
      </c>
      <c r="C184" s="95">
        <v>792.22</v>
      </c>
      <c r="F184" s="470"/>
      <c r="G184" s="470"/>
      <c r="H184" s="470"/>
      <c r="I184" s="1310" t="s">
        <v>172</v>
      </c>
      <c r="J184" s="1311"/>
    </row>
    <row r="185" spans="1:10" ht="15.75" hidden="1" thickBot="1" x14ac:dyDescent="0.3">
      <c r="A185" s="93">
        <v>8349</v>
      </c>
      <c r="B185" s="96">
        <f t="shared" si="5"/>
        <v>8551.99</v>
      </c>
      <c r="C185" s="95">
        <v>833.12</v>
      </c>
      <c r="F185" s="470"/>
      <c r="G185" s="470"/>
      <c r="H185" s="470"/>
      <c r="I185" s="1312">
        <f>IF(I178=0,I178,IF(I179&gt;0,I179,IF(I180&gt;0,I180,IF(I181&gt;0,I181))))</f>
        <v>0</v>
      </c>
      <c r="J185" s="1313"/>
    </row>
    <row r="186" spans="1:10" ht="15" hidden="1" x14ac:dyDescent="0.25">
      <c r="A186" s="93">
        <v>8552</v>
      </c>
      <c r="B186" s="96">
        <f t="shared" si="5"/>
        <v>8755.99</v>
      </c>
      <c r="C186" s="95">
        <v>874.79</v>
      </c>
      <c r="F186" s="470"/>
      <c r="G186" s="470"/>
      <c r="H186" s="470"/>
      <c r="I186" s="470"/>
      <c r="J186" s="470"/>
    </row>
    <row r="187" spans="1:10" ht="15" hidden="1" x14ac:dyDescent="0.25">
      <c r="A187" s="93">
        <v>8756</v>
      </c>
      <c r="B187" s="96">
        <f t="shared" si="5"/>
        <v>8958.99</v>
      </c>
      <c r="C187" s="95">
        <v>917.21</v>
      </c>
      <c r="F187" s="470" t="s">
        <v>399</v>
      </c>
      <c r="G187" s="470">
        <f>IF('DATOS PARA DEPURAR'!E350&gt;'DEPURACION POR IMAS EMPLEADO'!E33,'DEPURACION POR IMAS EMPLEADO'!E33,'DATOS PARA DEPURAR'!E350)</f>
        <v>0</v>
      </c>
      <c r="H187" s="470"/>
      <c r="I187" s="470"/>
      <c r="J187" s="470"/>
    </row>
    <row r="188" spans="1:10" ht="15" hidden="1" x14ac:dyDescent="0.25">
      <c r="A188" s="93">
        <v>8959</v>
      </c>
      <c r="B188" s="96">
        <f t="shared" si="5"/>
        <v>9162.99</v>
      </c>
      <c r="C188" s="95">
        <v>960.34</v>
      </c>
      <c r="F188" s="470" t="s">
        <v>400</v>
      </c>
      <c r="G188" s="470">
        <f>IF(I185&gt;0,I185*0.75,0)</f>
        <v>0</v>
      </c>
      <c r="H188" s="470"/>
      <c r="I188" s="470"/>
      <c r="J188" s="470"/>
    </row>
    <row r="189" spans="1:10" ht="15" hidden="1" x14ac:dyDescent="0.25">
      <c r="A189" s="93">
        <v>9163</v>
      </c>
      <c r="B189" s="96">
        <f t="shared" si="5"/>
        <v>9366.99</v>
      </c>
      <c r="C189" s="97">
        <v>1004.16</v>
      </c>
      <c r="F189" s="470" t="s">
        <v>401</v>
      </c>
      <c r="G189" s="470">
        <f>IF(G187&lt;G188,G187,0)</f>
        <v>0</v>
      </c>
      <c r="H189" s="470"/>
      <c r="I189" s="470"/>
      <c r="J189" s="470"/>
    </row>
    <row r="190" spans="1:10" ht="15" hidden="1" x14ac:dyDescent="0.25">
      <c r="A190" s="93">
        <v>9367</v>
      </c>
      <c r="B190" s="96">
        <f t="shared" si="5"/>
        <v>9569.99</v>
      </c>
      <c r="C190" s="97">
        <v>1048.6400000000001</v>
      </c>
    </row>
    <row r="191" spans="1:10" ht="15" hidden="1" x14ac:dyDescent="0.25">
      <c r="A191" s="93">
        <v>9570</v>
      </c>
      <c r="B191" s="96">
        <f t="shared" si="5"/>
        <v>9773.99</v>
      </c>
      <c r="C191" s="97">
        <v>1093.75</v>
      </c>
    </row>
    <row r="192" spans="1:10" ht="15" hidden="1" x14ac:dyDescent="0.25">
      <c r="A192" s="93">
        <v>9774</v>
      </c>
      <c r="B192" s="96">
        <f t="shared" ref="B192:B209" si="6">+A193-0.01</f>
        <v>9977.99</v>
      </c>
      <c r="C192" s="97">
        <v>1139.48</v>
      </c>
    </row>
    <row r="193" spans="1:3" ht="15" hidden="1" x14ac:dyDescent="0.25">
      <c r="A193" s="93">
        <v>9978</v>
      </c>
      <c r="B193" s="96">
        <f t="shared" si="6"/>
        <v>10180.99</v>
      </c>
      <c r="C193" s="97">
        <v>1185.78</v>
      </c>
    </row>
    <row r="194" spans="1:3" ht="15" hidden="1" x14ac:dyDescent="0.25">
      <c r="A194" s="93">
        <v>10181</v>
      </c>
      <c r="B194" s="96">
        <f t="shared" si="6"/>
        <v>10384.99</v>
      </c>
      <c r="C194" s="97">
        <v>1232.6199999999999</v>
      </c>
    </row>
    <row r="195" spans="1:3" ht="15" hidden="1" x14ac:dyDescent="0.25">
      <c r="A195" s="93">
        <v>10385</v>
      </c>
      <c r="B195" s="96">
        <f t="shared" si="6"/>
        <v>10587.99</v>
      </c>
      <c r="C195" s="97">
        <v>1279.99</v>
      </c>
    </row>
    <row r="196" spans="1:3" ht="15" hidden="1" x14ac:dyDescent="0.25">
      <c r="A196" s="93">
        <v>10588</v>
      </c>
      <c r="B196" s="96">
        <f t="shared" si="6"/>
        <v>10791.99</v>
      </c>
      <c r="C196" s="97">
        <v>1327.85</v>
      </c>
    </row>
    <row r="197" spans="1:3" ht="15" hidden="1" x14ac:dyDescent="0.25">
      <c r="A197" s="93">
        <v>10792</v>
      </c>
      <c r="B197" s="96">
        <f t="shared" si="6"/>
        <v>10995.99</v>
      </c>
      <c r="C197" s="97">
        <v>1376.16</v>
      </c>
    </row>
    <row r="198" spans="1:3" ht="15" hidden="1" x14ac:dyDescent="0.25">
      <c r="A198" s="93">
        <v>10996</v>
      </c>
      <c r="B198" s="96">
        <f t="shared" si="6"/>
        <v>11198.99</v>
      </c>
      <c r="C198" s="97">
        <v>1424.9</v>
      </c>
    </row>
    <row r="199" spans="1:3" ht="15" hidden="1" x14ac:dyDescent="0.25">
      <c r="A199" s="93">
        <v>11199</v>
      </c>
      <c r="B199" s="96">
        <f t="shared" si="6"/>
        <v>11402.99</v>
      </c>
      <c r="C199" s="97">
        <v>1474.04</v>
      </c>
    </row>
    <row r="200" spans="1:3" ht="15" hidden="1" x14ac:dyDescent="0.25">
      <c r="A200" s="93">
        <v>11403</v>
      </c>
      <c r="B200" s="96">
        <f t="shared" si="6"/>
        <v>11606.99</v>
      </c>
      <c r="C200" s="97">
        <v>1523.54</v>
      </c>
    </row>
    <row r="201" spans="1:3" ht="15" hidden="1" x14ac:dyDescent="0.25">
      <c r="A201" s="93">
        <v>11607</v>
      </c>
      <c r="B201" s="96">
        <f t="shared" si="6"/>
        <v>11809.99</v>
      </c>
      <c r="C201" s="97">
        <v>1573.37</v>
      </c>
    </row>
    <row r="202" spans="1:3" ht="15" hidden="1" x14ac:dyDescent="0.25">
      <c r="A202" s="93">
        <v>11810</v>
      </c>
      <c r="B202" s="96">
        <f t="shared" si="6"/>
        <v>12013.99</v>
      </c>
      <c r="C202" s="97">
        <v>1623.49</v>
      </c>
    </row>
    <row r="203" spans="1:3" ht="15" hidden="1" x14ac:dyDescent="0.25">
      <c r="A203" s="93">
        <v>12014</v>
      </c>
      <c r="B203" s="96">
        <f t="shared" si="6"/>
        <v>12216.99</v>
      </c>
      <c r="C203" s="97">
        <v>1673.89</v>
      </c>
    </row>
    <row r="204" spans="1:3" ht="15" hidden="1" x14ac:dyDescent="0.25">
      <c r="A204" s="93">
        <v>12217</v>
      </c>
      <c r="B204" s="96">
        <f t="shared" si="6"/>
        <v>12420.99</v>
      </c>
      <c r="C204" s="97">
        <v>1724.51</v>
      </c>
    </row>
    <row r="205" spans="1:3" ht="15" hidden="1" x14ac:dyDescent="0.25">
      <c r="A205" s="93">
        <v>12421</v>
      </c>
      <c r="B205" s="96">
        <f t="shared" si="6"/>
        <v>12624.99</v>
      </c>
      <c r="C205" s="97">
        <v>1775.33</v>
      </c>
    </row>
    <row r="206" spans="1:3" ht="15" hidden="1" x14ac:dyDescent="0.25">
      <c r="A206" s="93">
        <v>12625</v>
      </c>
      <c r="B206" s="96">
        <f t="shared" si="6"/>
        <v>12827.99</v>
      </c>
      <c r="C206" s="97">
        <v>1826.31</v>
      </c>
    </row>
    <row r="207" spans="1:3" ht="15" hidden="1" x14ac:dyDescent="0.25">
      <c r="A207" s="93">
        <v>12828</v>
      </c>
      <c r="B207" s="96">
        <f t="shared" si="6"/>
        <v>13031.99</v>
      </c>
      <c r="C207" s="97">
        <v>1877.42</v>
      </c>
    </row>
    <row r="208" spans="1:3" ht="15" hidden="1" x14ac:dyDescent="0.25">
      <c r="A208" s="93">
        <v>13032</v>
      </c>
      <c r="B208" s="96">
        <f t="shared" si="6"/>
        <v>13235.99</v>
      </c>
      <c r="C208" s="97">
        <v>1928.63</v>
      </c>
    </row>
    <row r="209" spans="1:3" ht="15" hidden="1" x14ac:dyDescent="0.25">
      <c r="A209" s="93">
        <v>13236</v>
      </c>
      <c r="B209" s="96">
        <f t="shared" si="6"/>
        <v>13438.99</v>
      </c>
      <c r="C209" s="97">
        <v>1979.89</v>
      </c>
    </row>
    <row r="210" spans="1:3" ht="15" hidden="1" x14ac:dyDescent="0.25">
      <c r="A210" s="93">
        <v>13439</v>
      </c>
      <c r="B210" s="96">
        <f>13643-0.01</f>
        <v>13642.99</v>
      </c>
      <c r="C210" s="97">
        <v>2031.18</v>
      </c>
    </row>
    <row r="211" spans="1:3" ht="25.5" hidden="1" x14ac:dyDescent="0.25">
      <c r="A211" s="95" t="s">
        <v>80</v>
      </c>
      <c r="B211" s="94"/>
      <c r="C211" s="95" t="s">
        <v>81</v>
      </c>
    </row>
  </sheetData>
  <protectedRanges>
    <protectedRange sqref="L92" name="Rango1"/>
  </protectedRanges>
  <mergeCells count="38">
    <mergeCell ref="I184:J184"/>
    <mergeCell ref="I185:J185"/>
    <mergeCell ref="I66:K68"/>
    <mergeCell ref="N66:O68"/>
    <mergeCell ref="R66:T68"/>
    <mergeCell ref="F176:G176"/>
    <mergeCell ref="L97:AL97"/>
    <mergeCell ref="O71:O72"/>
    <mergeCell ref="P71:Q72"/>
    <mergeCell ref="I80:J80"/>
    <mergeCell ref="I81:J81"/>
    <mergeCell ref="I88:J88"/>
    <mergeCell ref="I89:J89"/>
    <mergeCell ref="K26:L26"/>
    <mergeCell ref="I15:J15"/>
    <mergeCell ref="I17:J17"/>
    <mergeCell ref="I1:J1"/>
    <mergeCell ref="I2:J2"/>
    <mergeCell ref="I3:J3"/>
    <mergeCell ref="I11:J11"/>
    <mergeCell ref="I12:J12"/>
    <mergeCell ref="I6:J6"/>
    <mergeCell ref="I7:J7"/>
    <mergeCell ref="I9:J9"/>
    <mergeCell ref="I10:J10"/>
    <mergeCell ref="C2:E2"/>
    <mergeCell ref="B4:D4"/>
    <mergeCell ref="B5:D5"/>
    <mergeCell ref="I23:L23"/>
    <mergeCell ref="I8:J8"/>
    <mergeCell ref="B11:D11"/>
    <mergeCell ref="B13:D13"/>
    <mergeCell ref="C3:E3"/>
    <mergeCell ref="B110:C110"/>
    <mergeCell ref="B12:D12"/>
    <mergeCell ref="A47:E47"/>
    <mergeCell ref="A26:E26"/>
    <mergeCell ref="A46:E46"/>
  </mergeCells>
  <hyperlinks>
    <hyperlink ref="B51" r:id="rId1" xr:uid="{00000000-0004-0000-0B00-000000000000}"/>
  </hyperlinks>
  <pageMargins left="0.51181102362204722" right="0.51181102362204722" top="0.35433070866141736" bottom="0.35433070866141736" header="0.31496062992125984" footer="0.31496062992125984"/>
  <pageSetup orientation="portrait" horizontalDpi="4294967293" verticalDpi="4294967293" r:id="rId2"/>
  <drawing r:id="rId3"/>
  <legacy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7"/>
  <sheetViews>
    <sheetView view="pageBreakPreview" topLeftCell="A4" zoomScale="160" zoomScaleNormal="100" zoomScaleSheetLayoutView="160" workbookViewId="0">
      <selection activeCell="C9" sqref="C9"/>
    </sheetView>
  </sheetViews>
  <sheetFormatPr baseColWidth="10" defaultRowHeight="12.75" x14ac:dyDescent="0.2"/>
  <cols>
    <col min="3" max="3" width="33.5703125" customWidth="1"/>
    <col min="4" max="4" width="18.28515625" customWidth="1"/>
    <col min="5" max="5" width="7.85546875" customWidth="1"/>
    <col min="6" max="6" width="13.28515625" customWidth="1"/>
    <col min="7" max="7" width="0.140625" hidden="1" customWidth="1"/>
    <col min="8" max="8" width="11.42578125" hidden="1" customWidth="1"/>
    <col min="9" max="9" width="0" hidden="1" customWidth="1"/>
    <col min="10" max="10" width="11.42578125" hidden="1" customWidth="1"/>
  </cols>
  <sheetData>
    <row r="1" spans="1:7" ht="26.25" customHeight="1" x14ac:dyDescent="0.2">
      <c r="A1" s="1348" t="s">
        <v>749</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4" customHeight="1" x14ac:dyDescent="0.2">
      <c r="A3" s="1352" t="s">
        <v>576</v>
      </c>
      <c r="B3" s="1344"/>
      <c r="C3" s="1344"/>
      <c r="D3" s="1344"/>
      <c r="E3" s="1347">
        <f>+'RENTA CEDULAR DIVIDENDOS'!F11</f>
        <v>0</v>
      </c>
      <c r="F3" s="1347"/>
    </row>
    <row r="4" spans="1:7" ht="22.5" customHeight="1" x14ac:dyDescent="0.2">
      <c r="A4" s="1340" t="s">
        <v>550</v>
      </c>
      <c r="B4" s="1341"/>
      <c r="C4" s="1341"/>
      <c r="D4" s="1341"/>
      <c r="E4" s="1347">
        <f>SUM(E3:E3)</f>
        <v>0</v>
      </c>
      <c r="F4" s="1347"/>
    </row>
    <row r="5" spans="1:7" x14ac:dyDescent="0.2">
      <c r="A5" s="1340" t="s">
        <v>750</v>
      </c>
      <c r="B5" s="1341"/>
      <c r="C5" s="1341"/>
      <c r="D5" s="1341"/>
      <c r="E5" s="1342">
        <f>+C16</f>
        <v>0</v>
      </c>
      <c r="F5" s="1341"/>
    </row>
    <row r="6" spans="1:7" x14ac:dyDescent="0.2">
      <c r="A6" s="1343"/>
      <c r="B6" s="1343"/>
      <c r="C6" s="1343"/>
      <c r="D6" s="1343"/>
      <c r="E6" s="1343"/>
      <c r="F6" s="1343"/>
    </row>
    <row r="8" spans="1:7" ht="13.5" thickBot="1" x14ac:dyDescent="0.25"/>
    <row r="9" spans="1:7" x14ac:dyDescent="0.2">
      <c r="C9" s="521" t="s">
        <v>8</v>
      </c>
      <c r="D9" s="522"/>
      <c r="E9" s="138"/>
      <c r="F9" s="523" t="s">
        <v>10</v>
      </c>
      <c r="G9" s="138"/>
    </row>
    <row r="10" spans="1:7" ht="15.75" thickBot="1" x14ac:dyDescent="0.3">
      <c r="C10" s="1333">
        <f>+E4/F10</f>
        <v>0</v>
      </c>
      <c r="D10" s="1334"/>
      <c r="E10" s="138"/>
      <c r="F10" s="524">
        <v>42412</v>
      </c>
      <c r="G10" s="138"/>
    </row>
    <row r="11" spans="1:7" ht="13.5" thickBot="1" x14ac:dyDescent="0.25">
      <c r="C11" s="138"/>
      <c r="D11" s="138"/>
      <c r="E11" s="138"/>
      <c r="F11" s="138"/>
      <c r="G11" s="138"/>
    </row>
    <row r="12" spans="1:7" x14ac:dyDescent="0.2">
      <c r="C12" s="525">
        <v>0</v>
      </c>
      <c r="D12" s="526">
        <v>300</v>
      </c>
      <c r="E12" s="138"/>
      <c r="F12" s="527">
        <f>IF(C10&lt;=300,0)</f>
        <v>0</v>
      </c>
      <c r="G12" s="138" t="s">
        <v>553</v>
      </c>
    </row>
    <row r="13" spans="1:7" ht="15.75" thickBot="1" x14ac:dyDescent="0.3">
      <c r="C13" s="531" t="s">
        <v>751</v>
      </c>
      <c r="D13" s="532"/>
      <c r="E13" s="138"/>
      <c r="F13" s="533">
        <f>IF(C10&gt;300,ROUND((((+C10-300)*10%)*F10),-3),0)</f>
        <v>0</v>
      </c>
      <c r="G13" s="594" t="s">
        <v>554</v>
      </c>
    </row>
    <row r="14" spans="1:7" ht="13.5" thickBot="1" x14ac:dyDescent="0.25">
      <c r="C14" s="138"/>
      <c r="D14" s="138"/>
      <c r="E14" s="138"/>
      <c r="F14" s="138"/>
      <c r="G14" s="138"/>
    </row>
    <row r="15" spans="1:7" x14ac:dyDescent="0.2">
      <c r="C15" s="1329" t="s">
        <v>172</v>
      </c>
      <c r="D15" s="1330"/>
      <c r="E15" s="138"/>
      <c r="F15" s="138"/>
      <c r="G15" s="138"/>
    </row>
    <row r="16" spans="1:7" ht="15.75" thickBot="1" x14ac:dyDescent="0.3">
      <c r="C16" s="1331">
        <f>IF(F12=0,F12,IF(F13&gt;0,F13))</f>
        <v>0</v>
      </c>
      <c r="D16" s="1332"/>
      <c r="E16" s="138"/>
      <c r="F16" s="138"/>
      <c r="G16" s="138"/>
    </row>
    <row r="17" spans="1:6" x14ac:dyDescent="0.2">
      <c r="A17" s="1335"/>
      <c r="B17" s="1336"/>
      <c r="C17" s="1336"/>
      <c r="D17" s="1336"/>
      <c r="E17" s="1337"/>
      <c r="F17" s="1337"/>
    </row>
  </sheetData>
  <mergeCells count="15">
    <mergeCell ref="C10:D10"/>
    <mergeCell ref="C15:D15"/>
    <mergeCell ref="C16:D16"/>
    <mergeCell ref="A17:D17"/>
    <mergeCell ref="E17:F17"/>
    <mergeCell ref="A5:D5"/>
    <mergeCell ref="E5:F5"/>
    <mergeCell ref="A6:F6"/>
    <mergeCell ref="A1:F1"/>
    <mergeCell ref="A2:B2"/>
    <mergeCell ref="E2:F2"/>
    <mergeCell ref="A3:D3"/>
    <mergeCell ref="E3:F3"/>
    <mergeCell ref="A4:D4"/>
    <mergeCell ref="E4:F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A1:F22"/>
  <sheetViews>
    <sheetView showGridLines="0" view="pageBreakPreview" zoomScaleNormal="100" zoomScaleSheetLayoutView="100" workbookViewId="0">
      <selection activeCell="A3" sqref="A3:F3"/>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21" customHeight="1" x14ac:dyDescent="0.2">
      <c r="A1" s="2470" t="s">
        <v>499</v>
      </c>
      <c r="B1" s="2471"/>
      <c r="C1" s="2471"/>
      <c r="D1" s="2471"/>
      <c r="E1" s="2471"/>
      <c r="F1" s="2472"/>
    </row>
    <row r="2" spans="1:6" ht="23.25" customHeight="1" x14ac:dyDescent="0.2">
      <c r="A2" s="2519" t="s">
        <v>491</v>
      </c>
      <c r="B2" s="2520"/>
      <c r="C2" s="593" t="str">
        <f>+'DATOS PARA DEPURAR'!C7</f>
        <v>RIOJAS QUINTERO MAIRA ALEJANDRA</v>
      </c>
      <c r="D2" s="649" t="s">
        <v>347</v>
      </c>
      <c r="E2" s="2449">
        <f>+'DATOS PARA DEPURAR'!E7</f>
        <v>1065263869</v>
      </c>
      <c r="F2" s="2474"/>
    </row>
    <row r="3" spans="1:6" x14ac:dyDescent="0.2">
      <c r="A3" s="2475" t="s">
        <v>1015</v>
      </c>
      <c r="B3" s="2379"/>
      <c r="C3" s="2379"/>
      <c r="D3" s="2379"/>
      <c r="E3" s="2379"/>
      <c r="F3" s="2379"/>
    </row>
    <row r="4" spans="1:6" ht="17.25" customHeight="1" x14ac:dyDescent="0.25">
      <c r="A4" s="2521" t="s">
        <v>497</v>
      </c>
      <c r="B4" s="2464" t="s">
        <v>494</v>
      </c>
      <c r="C4" s="2464"/>
      <c r="D4" s="2464"/>
      <c r="E4" s="680">
        <v>99</v>
      </c>
      <c r="F4" s="766">
        <f>IF(SUM(D5:D6)&gt;0,SUM(D5:D6),0)</f>
        <v>0</v>
      </c>
    </row>
    <row r="5" spans="1:6" ht="35.25" customHeight="1" x14ac:dyDescent="0.2">
      <c r="A5" s="2521"/>
      <c r="B5" s="2406"/>
      <c r="C5" s="897" t="s">
        <v>500</v>
      </c>
      <c r="D5" s="642">
        <f>+'DATOS PARA DEPURAR'!E45</f>
        <v>0</v>
      </c>
      <c r="E5" s="2522"/>
    </row>
    <row r="6" spans="1:6" ht="36.75" customHeight="1" thickBot="1" x14ac:dyDescent="0.25">
      <c r="A6" s="2521"/>
      <c r="B6" s="2406"/>
      <c r="C6" s="956" t="s">
        <v>501</v>
      </c>
      <c r="D6" s="643"/>
      <c r="E6" s="2522"/>
    </row>
    <row r="7" spans="1:6" ht="17.25" customHeight="1" x14ac:dyDescent="0.25">
      <c r="A7" s="2521"/>
      <c r="B7" s="758" t="s">
        <v>474</v>
      </c>
      <c r="C7" s="758"/>
      <c r="D7" s="758"/>
      <c r="E7" s="680">
        <v>100</v>
      </c>
      <c r="F7" s="766">
        <f>IF(SUM(D8:D9)&gt;0,SUM(D8:D9),0)</f>
        <v>0</v>
      </c>
    </row>
    <row r="8" spans="1:6" ht="17.25" customHeight="1" x14ac:dyDescent="0.2">
      <c r="A8" s="2521"/>
      <c r="B8" s="2479"/>
      <c r="C8" s="903" t="s">
        <v>972</v>
      </c>
      <c r="D8" s="639">
        <f>+'DATOS PARA DEPURAR'!D118</f>
        <v>0</v>
      </c>
      <c r="E8" s="2403"/>
      <c r="F8" s="2403"/>
    </row>
    <row r="9" spans="1:6" ht="17.25" customHeight="1" thickBot="1" x14ac:dyDescent="0.25">
      <c r="A9" s="2521"/>
      <c r="B9" s="2479"/>
      <c r="C9" s="903" t="s">
        <v>978</v>
      </c>
      <c r="D9" s="962">
        <f>+'DATOS PARA DEPURAR'!D121</f>
        <v>0</v>
      </c>
      <c r="E9" s="2403"/>
      <c r="F9" s="2403"/>
    </row>
    <row r="10" spans="1:6" ht="17.25" customHeight="1" x14ac:dyDescent="0.25">
      <c r="A10" s="2521"/>
      <c r="B10" s="758" t="s">
        <v>736</v>
      </c>
      <c r="C10" s="758"/>
      <c r="D10" s="758"/>
      <c r="E10" s="680">
        <v>101</v>
      </c>
      <c r="F10" s="766">
        <f>IF((F4-F7)&gt;0,F4-F7,0)</f>
        <v>0</v>
      </c>
    </row>
    <row r="11" spans="1:6" ht="15.75" customHeight="1" x14ac:dyDescent="0.25">
      <c r="A11" s="2521"/>
      <c r="B11" s="2364" t="s">
        <v>774</v>
      </c>
      <c r="C11" s="2364"/>
      <c r="D11" s="2364"/>
      <c r="E11" s="680">
        <v>102</v>
      </c>
      <c r="F11" s="767">
        <f>IF((D12+D17)&lt;=(F10),D12+D17,F10)</f>
        <v>0</v>
      </c>
    </row>
    <row r="12" spans="1:6" ht="18" customHeight="1" x14ac:dyDescent="0.25">
      <c r="A12" s="2521"/>
      <c r="C12" s="505" t="s">
        <v>477</v>
      </c>
      <c r="D12" s="515">
        <v>0</v>
      </c>
      <c r="E12" s="2398"/>
      <c r="F12" s="2398"/>
    </row>
    <row r="13" spans="1:6" ht="19.5" customHeight="1" x14ac:dyDescent="0.2">
      <c r="A13" s="2521"/>
      <c r="B13" s="2467"/>
      <c r="C13" s="2523" t="s">
        <v>496</v>
      </c>
      <c r="D13" s="2523"/>
      <c r="E13" s="2398"/>
      <c r="F13" s="2398"/>
    </row>
    <row r="14" spans="1:6" ht="13.5" customHeight="1" x14ac:dyDescent="0.2">
      <c r="A14" s="2521"/>
      <c r="B14" s="2467"/>
      <c r="C14" s="2523"/>
      <c r="D14" s="2523"/>
      <c r="E14" s="2398"/>
      <c r="F14" s="2398"/>
    </row>
    <row r="15" spans="1:6" ht="13.5" customHeight="1" x14ac:dyDescent="0.2">
      <c r="A15" s="2521"/>
      <c r="B15" s="2467"/>
      <c r="C15" s="2523"/>
      <c r="D15" s="2523"/>
      <c r="E15" s="2398"/>
      <c r="F15" s="2398"/>
    </row>
    <row r="16" spans="1:6" ht="32.25" customHeight="1" x14ac:dyDescent="0.2">
      <c r="A16" s="2521"/>
      <c r="B16" s="507"/>
      <c r="C16" s="2523"/>
      <c r="D16" s="2523"/>
      <c r="E16" s="2398"/>
      <c r="F16" s="2398"/>
    </row>
    <row r="17" spans="1:6" ht="18.75" customHeight="1" x14ac:dyDescent="0.25">
      <c r="A17" s="2521"/>
      <c r="C17" s="505" t="s">
        <v>495</v>
      </c>
      <c r="D17" s="508">
        <f>SUM(D18:D19)</f>
        <v>0</v>
      </c>
      <c r="E17" s="2398"/>
      <c r="F17" s="2398"/>
    </row>
    <row r="18" spans="1:6" ht="22.5" x14ac:dyDescent="0.2">
      <c r="A18" s="2521"/>
      <c r="B18" s="507"/>
      <c r="C18" s="506" t="s">
        <v>181</v>
      </c>
      <c r="D18" s="648">
        <f>+'DATOS PARA DEPURAR'!E301</f>
        <v>0</v>
      </c>
      <c r="E18" s="2398"/>
      <c r="F18" s="2398"/>
    </row>
    <row r="19" spans="1:6" ht="35.25" x14ac:dyDescent="0.2">
      <c r="A19" s="2521"/>
      <c r="B19" s="507"/>
      <c r="C19" s="506" t="s">
        <v>501</v>
      </c>
      <c r="D19" s="645"/>
      <c r="E19" s="2398"/>
      <c r="F19" s="2398"/>
    </row>
    <row r="20" spans="1:6" x14ac:dyDescent="0.2">
      <c r="A20" s="2521"/>
      <c r="B20" s="507"/>
      <c r="C20" s="509"/>
      <c r="E20" s="2398"/>
      <c r="F20" s="2398"/>
    </row>
    <row r="21" spans="1:6" ht="32.25" customHeight="1" x14ac:dyDescent="0.2">
      <c r="A21" s="2521"/>
      <c r="B21" s="2524" t="s">
        <v>775</v>
      </c>
      <c r="C21" s="2524"/>
      <c r="D21" s="2524"/>
      <c r="E21" s="761">
        <v>103</v>
      </c>
      <c r="F21" s="766">
        <f>IF((F10-F11)&gt;0,F10-F11,0)</f>
        <v>0</v>
      </c>
    </row>
    <row r="22" spans="1:6" ht="16.5" customHeight="1" x14ac:dyDescent="0.2"/>
  </sheetData>
  <sheetProtection algorithmName="SHA-512" hashValue="iHzJNJbTo2wSSky389EkM2NLXGmWNaJbtmyxaMA7rffhyRmut+EYapDOGpyHmf9isqpK+0RSvtadsHKLhDDijw==" saltValue="mbBn8CiI59MPMKELCHcY5w==" spinCount="100000" sheet="1" objects="1" scenarios="1"/>
  <mergeCells count="15">
    <mergeCell ref="A1:F1"/>
    <mergeCell ref="A2:B2"/>
    <mergeCell ref="E2:F2"/>
    <mergeCell ref="A3:F3"/>
    <mergeCell ref="A4:A21"/>
    <mergeCell ref="B4:D4"/>
    <mergeCell ref="B5:B6"/>
    <mergeCell ref="E5:E6"/>
    <mergeCell ref="B8:B9"/>
    <mergeCell ref="C13:D16"/>
    <mergeCell ref="B21:D21"/>
    <mergeCell ref="E8:F9"/>
    <mergeCell ref="B11:D11"/>
    <mergeCell ref="E12:F20"/>
    <mergeCell ref="B13:B15"/>
  </mergeCells>
  <hyperlinks>
    <hyperlink ref="A3" r:id="rId1" xr:uid="{E3CDE008-068F-4465-98BE-2922494137C5}"/>
  </hyperlinks>
  <pageMargins left="0.11811023622047245" right="0.11811023622047245" top="0.15748031496062992" bottom="0.15748031496062992" header="0.31496062992125984" footer="0.31496062992125984"/>
  <pageSetup scale="95" orientation="portrait"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2"/>
  <sheetViews>
    <sheetView view="pageBreakPreview" topLeftCell="A6" zoomScale="160" zoomScaleNormal="100" zoomScaleSheetLayoutView="160" workbookViewId="0">
      <selection activeCell="B28" sqref="B28"/>
    </sheetView>
  </sheetViews>
  <sheetFormatPr baseColWidth="10" defaultRowHeight="12.75" x14ac:dyDescent="0.2"/>
  <cols>
    <col min="3" max="3" width="33.5703125" customWidth="1"/>
    <col min="5" max="5" width="12.28515625" customWidth="1"/>
    <col min="6" max="6" width="13.28515625" customWidth="1"/>
  </cols>
  <sheetData>
    <row r="1" spans="1:7" ht="26.25" customHeight="1" x14ac:dyDescent="0.2">
      <c r="A1" s="1348" t="s">
        <v>551</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3.25" customHeight="1" x14ac:dyDescent="0.2">
      <c r="A3" s="2525" t="s">
        <v>873</v>
      </c>
      <c r="B3" s="2525"/>
      <c r="C3" s="2525"/>
      <c r="D3" s="2525"/>
      <c r="E3" s="1347">
        <f>+'RENTA CEDULAR DIVIDENDOS'!F10</f>
        <v>100000000</v>
      </c>
      <c r="F3" s="1347"/>
    </row>
    <row r="4" spans="1:7" ht="22.5" hidden="1" customHeight="1" x14ac:dyDescent="0.2">
      <c r="A4" s="2525"/>
      <c r="B4" s="2525"/>
      <c r="C4" s="2525"/>
      <c r="D4" s="2525"/>
      <c r="E4" s="1347"/>
      <c r="F4" s="1347"/>
    </row>
    <row r="5" spans="1:7" ht="22.5" customHeight="1" x14ac:dyDescent="0.2">
      <c r="A5" s="1340" t="s">
        <v>550</v>
      </c>
      <c r="B5" s="1341"/>
      <c r="C5" s="1341"/>
      <c r="D5" s="1341"/>
      <c r="E5" s="1347">
        <f>SUM(E3:E4)</f>
        <v>100000000</v>
      </c>
      <c r="F5" s="1347"/>
    </row>
    <row r="6" spans="1:7" x14ac:dyDescent="0.2">
      <c r="A6" s="1340" t="s">
        <v>552</v>
      </c>
      <c r="B6" s="1341"/>
      <c r="C6" s="1341"/>
      <c r="D6" s="1341"/>
      <c r="E6" s="1342">
        <f>+C20</f>
        <v>12732000</v>
      </c>
      <c r="F6" s="1341"/>
    </row>
    <row r="7" spans="1:7" hidden="1" x14ac:dyDescent="0.2"/>
    <row r="8" spans="1:7" hidden="1" x14ac:dyDescent="0.2"/>
    <row r="9" spans="1:7" hidden="1" x14ac:dyDescent="0.2"/>
    <row r="10" spans="1:7" ht="13.5" hidden="1" thickBot="1" x14ac:dyDescent="0.25"/>
    <row r="11" spans="1:7" hidden="1" x14ac:dyDescent="0.2">
      <c r="C11" s="521" t="s">
        <v>8</v>
      </c>
      <c r="D11" s="522"/>
      <c r="E11" s="138"/>
      <c r="F11" s="523" t="s">
        <v>10</v>
      </c>
      <c r="G11" s="138"/>
    </row>
    <row r="12" spans="1:7" ht="15.75" hidden="1" thickBot="1" x14ac:dyDescent="0.3">
      <c r="C12" s="1338">
        <f>+E5/F12</f>
        <v>2357.8232575686125</v>
      </c>
      <c r="D12" s="1339"/>
      <c r="E12" s="138"/>
      <c r="F12" s="524">
        <v>42412</v>
      </c>
      <c r="G12" s="138"/>
    </row>
    <row r="13" spans="1:7" ht="13.5" hidden="1" thickBot="1" x14ac:dyDescent="0.25">
      <c r="C13" s="138"/>
      <c r="D13" s="138"/>
      <c r="E13" s="138"/>
      <c r="F13" s="138"/>
      <c r="G13" s="138"/>
    </row>
    <row r="14" spans="1:7" hidden="1" x14ac:dyDescent="0.2">
      <c r="C14" s="525">
        <v>0</v>
      </c>
      <c r="D14" s="526">
        <v>1090</v>
      </c>
      <c r="E14" s="138"/>
      <c r="F14" s="527" t="b">
        <f>IF(C12&lt;=1090,0)</f>
        <v>0</v>
      </c>
      <c r="G14" s="138" t="s">
        <v>553</v>
      </c>
    </row>
    <row r="15" spans="1:7" ht="15" hidden="1" x14ac:dyDescent="0.25">
      <c r="C15" s="528" t="s">
        <v>169</v>
      </c>
      <c r="D15" s="529">
        <v>1700</v>
      </c>
      <c r="E15" s="138"/>
      <c r="F15" s="530">
        <f>IF(C12&gt;1090,(IF(C12&lt;=1700,ROUND((((+C12-1090)*19%)*F12),-3),0)),FALSE)</f>
        <v>0</v>
      </c>
      <c r="G15" s="138" t="s">
        <v>554</v>
      </c>
    </row>
    <row r="16" spans="1:7" ht="15" hidden="1" x14ac:dyDescent="0.25">
      <c r="C16" s="528" t="s">
        <v>170</v>
      </c>
      <c r="D16" s="529">
        <v>4100</v>
      </c>
      <c r="E16" s="138"/>
      <c r="F16" s="530">
        <f>IF(C12&gt;1700,IF(C12&lt;=4100,ROUND((((+C12-1700)*28%+116)*F12),-3),0))</f>
        <v>12732000</v>
      </c>
      <c r="G16" s="138" t="s">
        <v>555</v>
      </c>
    </row>
    <row r="17" spans="3:7" ht="15.75" hidden="1" thickBot="1" x14ac:dyDescent="0.3">
      <c r="C17" s="531" t="s">
        <v>171</v>
      </c>
      <c r="D17" s="532"/>
      <c r="E17" s="138"/>
      <c r="F17" s="533">
        <f>IF(C12&gt;4100,ROUND((((+C12-4100)*33%)*F12)+(788*F12),-3),0)</f>
        <v>0</v>
      </c>
      <c r="G17" s="138" t="s">
        <v>556</v>
      </c>
    </row>
    <row r="18" spans="3:7" ht="13.5" hidden="1" thickBot="1" x14ac:dyDescent="0.25">
      <c r="C18" s="138"/>
      <c r="D18" s="138"/>
      <c r="E18" s="138"/>
      <c r="F18" s="138"/>
      <c r="G18" s="138"/>
    </row>
    <row r="19" spans="3:7" hidden="1" x14ac:dyDescent="0.2">
      <c r="C19" s="1329" t="s">
        <v>172</v>
      </c>
      <c r="D19" s="1330"/>
      <c r="E19" s="138"/>
      <c r="F19" s="138"/>
      <c r="G19" s="138"/>
    </row>
    <row r="20" spans="3:7" ht="15.75" hidden="1" thickBot="1" x14ac:dyDescent="0.3">
      <c r="C20" s="1331">
        <f>IF(F14=0,F14,IF(F15&gt;0,F15,IF(F16&gt;0,F16,IF(F17&gt;0,F17))))</f>
        <v>12732000</v>
      </c>
      <c r="D20" s="1332"/>
      <c r="E20" s="138"/>
      <c r="F20" s="138"/>
      <c r="G20" s="138"/>
    </row>
    <row r="21" spans="3:7" hidden="1" x14ac:dyDescent="0.2"/>
    <row r="22" spans="3:7" hidden="1" x14ac:dyDescent="0.2"/>
  </sheetData>
  <mergeCells count="14">
    <mergeCell ref="A5:D5"/>
    <mergeCell ref="E3:F3"/>
    <mergeCell ref="E4:F4"/>
    <mergeCell ref="E5:F5"/>
    <mergeCell ref="A1:F1"/>
    <mergeCell ref="A2:B2"/>
    <mergeCell ref="E2:F2"/>
    <mergeCell ref="A3:D3"/>
    <mergeCell ref="A4:D4"/>
    <mergeCell ref="A6:D6"/>
    <mergeCell ref="E6:F6"/>
    <mergeCell ref="C12:D12"/>
    <mergeCell ref="C19:D19"/>
    <mergeCell ref="C20:D20"/>
  </mergeCells>
  <pageMargins left="0.7" right="0.7" top="0.75" bottom="0.75" header="0.3" footer="0.3"/>
  <pageSetup scale="98"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FFFF00"/>
  </sheetPr>
  <dimension ref="A1:AZ170"/>
  <sheetViews>
    <sheetView view="pageBreakPreview" topLeftCell="A7" zoomScaleNormal="100" zoomScaleSheetLayoutView="100" workbookViewId="0">
      <selection activeCell="C184" sqref="C184"/>
    </sheetView>
  </sheetViews>
  <sheetFormatPr baseColWidth="10" defaultRowHeight="12.75" x14ac:dyDescent="0.2"/>
  <cols>
    <col min="1" max="1" width="3" style="184" customWidth="1"/>
    <col min="2" max="2" width="4.42578125" style="184" customWidth="1"/>
    <col min="3" max="3" width="33.140625" style="184" customWidth="1"/>
    <col min="4" max="4" width="3.7109375" style="181" customWidth="1"/>
    <col min="5" max="5" width="13.5703125" style="184" customWidth="1"/>
    <col min="6" max="7" width="4" style="184" customWidth="1"/>
    <col min="8" max="8" width="30.42578125" style="184" customWidth="1"/>
    <col min="9" max="9" width="3.140625" style="181" customWidth="1"/>
    <col min="10" max="10" width="12.85546875" style="184" customWidth="1"/>
    <col min="11" max="11" width="12" style="184" hidden="1" customWidth="1"/>
    <col min="12" max="12" width="30.28515625" style="184" hidden="1" customWidth="1"/>
    <col min="13" max="13" width="14.7109375" style="184" hidden="1" customWidth="1"/>
    <col min="14" max="14" width="0.140625" style="184" hidden="1" customWidth="1"/>
    <col min="15" max="15" width="11.5703125" style="184" hidden="1" customWidth="1"/>
    <col min="16" max="16" width="63.7109375" style="184" hidden="1" customWidth="1"/>
    <col min="17" max="17" width="13.42578125" style="184" hidden="1" customWidth="1"/>
    <col min="18" max="18" width="0.140625" style="184" hidden="1" customWidth="1"/>
    <col min="19" max="19" width="7" style="184" hidden="1" customWidth="1"/>
    <col min="20" max="25" width="0.140625" style="184" hidden="1" customWidth="1"/>
    <col min="26" max="26" width="14.5703125" style="184" hidden="1" customWidth="1"/>
    <col min="27" max="27" width="17.7109375" style="184" hidden="1" customWidth="1"/>
    <col min="28" max="28" width="12.28515625" style="184" hidden="1" customWidth="1"/>
    <col min="29" max="29" width="9.7109375" style="184" hidden="1" customWidth="1"/>
    <col min="30" max="33" width="11.42578125" style="184" hidden="1" customWidth="1"/>
    <col min="34" max="34" width="5.140625" style="184" hidden="1" customWidth="1"/>
    <col min="35" max="35" width="11.42578125" style="184" hidden="1" customWidth="1"/>
    <col min="36" max="37" width="0" style="184" hidden="1" customWidth="1"/>
    <col min="38" max="47" width="11.42578125" style="184" hidden="1" customWidth="1"/>
    <col min="48" max="48" width="1.7109375" style="184" hidden="1" customWidth="1"/>
    <col min="49" max="52" width="11.42578125" style="184" hidden="1" customWidth="1"/>
    <col min="53" max="16384" width="11.42578125" style="184"/>
  </cols>
  <sheetData>
    <row r="1" spans="1:29" ht="21" customHeight="1" x14ac:dyDescent="0.25">
      <c r="A1" s="1296" t="str">
        <f>+'DATOS PARA DEPURAR'!C7</f>
        <v>RIOJAS QUINTERO MAIRA ALEJANDRA</v>
      </c>
      <c r="B1" s="1296"/>
      <c r="C1" s="1296"/>
      <c r="D1" s="1296"/>
      <c r="E1" s="1296"/>
      <c r="F1" s="1296"/>
      <c r="G1" s="1304" t="s">
        <v>358</v>
      </c>
      <c r="H1" s="1304"/>
      <c r="I1" s="1304"/>
      <c r="J1" s="1304"/>
      <c r="P1" s="247" t="s">
        <v>396</v>
      </c>
    </row>
    <row r="2" spans="1:29" ht="21" customHeight="1" x14ac:dyDescent="0.2">
      <c r="A2" s="1297">
        <f>+'DATOS PARA DEPURAR'!E7</f>
        <v>1065263869</v>
      </c>
      <c r="B2" s="1297"/>
      <c r="C2" s="1297"/>
      <c r="D2" s="1297"/>
      <c r="E2" s="1297"/>
      <c r="F2" s="1297"/>
      <c r="G2" s="1304"/>
      <c r="H2" s="1304"/>
      <c r="I2" s="1304"/>
      <c r="J2" s="1304"/>
      <c r="P2" s="247" t="s">
        <v>397</v>
      </c>
      <c r="Q2" s="363">
        <f>IF(N32&gt;(0),N32*5%*'[1]DATOS PARA DEPURAR'!I9,0)</f>
        <v>0</v>
      </c>
      <c r="S2" s="299">
        <f>MIN(Q2:Q3)</f>
        <v>0</v>
      </c>
      <c r="AA2" s="363">
        <f>IF(J32&gt;(0),J32*5%*'DATOS PARA DEPURAR'!E11,0)</f>
        <v>0</v>
      </c>
      <c r="AB2" s="299"/>
      <c r="AC2" s="299">
        <f>MIN(AA2:AA3)</f>
        <v>0</v>
      </c>
    </row>
    <row r="3" spans="1:29" ht="21" customHeight="1" x14ac:dyDescent="0.2">
      <c r="A3" s="1303"/>
      <c r="B3" s="1303"/>
      <c r="C3" s="1303"/>
      <c r="D3" s="1303"/>
      <c r="E3" s="1303"/>
      <c r="F3" s="1303"/>
      <c r="G3" s="1303"/>
      <c r="H3" s="1303"/>
      <c r="I3" s="1303"/>
      <c r="J3" s="1303"/>
      <c r="P3" s="247" t="s">
        <v>24</v>
      </c>
      <c r="Q3" s="251">
        <f>+N32</f>
        <v>0</v>
      </c>
      <c r="AA3" s="251">
        <f>+J32</f>
        <v>244080500</v>
      </c>
      <c r="AC3" s="299">
        <f>MIN(AA5:AA7)</f>
        <v>0</v>
      </c>
    </row>
    <row r="4" spans="1:29" ht="19.5" customHeight="1" x14ac:dyDescent="0.2">
      <c r="A4" s="1301" t="s">
        <v>107</v>
      </c>
      <c r="B4" s="1300" t="s">
        <v>104</v>
      </c>
      <c r="C4" s="1300"/>
      <c r="D4" s="239">
        <v>30</v>
      </c>
      <c r="E4" s="240">
        <f>+'PATRIMONIO BRUTO'!F91</f>
        <v>4153418915.25</v>
      </c>
      <c r="F4" s="1305" t="s">
        <v>123</v>
      </c>
      <c r="G4" s="1298" t="s">
        <v>108</v>
      </c>
      <c r="H4" s="1298"/>
      <c r="I4" s="239">
        <f>+D41+1</f>
        <v>67</v>
      </c>
      <c r="J4" s="241">
        <f>+'DEPURACION POR IMAS EMPLEADO'!I37+'DEPURACION POR IMAS EMPLEADO'!J30+'DEPURACION POR IMAS EMPLEADO'!I39</f>
        <v>1890000000</v>
      </c>
      <c r="P4" s="247" t="s">
        <v>398</v>
      </c>
      <c r="Q4" s="184">
        <f>IF(N32=0,I14*0.5%*'[1]DATOS PARA DEPURAR'!I9,0)</f>
        <v>0</v>
      </c>
      <c r="S4" s="299">
        <f>MIN(Q4:Q6)</f>
        <v>0</v>
      </c>
      <c r="AA4" s="363">
        <f>IF(J32=0,E14*0.5%*'DATOS PARA DEPURAR'!E11,0)</f>
        <v>0</v>
      </c>
      <c r="AB4" s="184">
        <f>MIN(M4:M6)</f>
        <v>0</v>
      </c>
      <c r="AC4" s="299">
        <f>IF(AA4&gt;AC3,AA4,AC3)</f>
        <v>0</v>
      </c>
    </row>
    <row r="5" spans="1:29" ht="19.5" customHeight="1" x14ac:dyDescent="0.2">
      <c r="A5" s="1302"/>
      <c r="B5" s="1287" t="s">
        <v>105</v>
      </c>
      <c r="C5" s="1287"/>
      <c r="D5" s="181">
        <f>+D4+1</f>
        <v>31</v>
      </c>
      <c r="E5" s="242">
        <f>+'PATRIMONIO BRUTO'!F135</f>
        <v>0</v>
      </c>
      <c r="F5" s="1306"/>
      <c r="G5" s="1299" t="s">
        <v>109</v>
      </c>
      <c r="H5" s="1299"/>
      <c r="I5" s="181">
        <f t="shared" ref="I5:I40" si="0">+I4+1</f>
        <v>68</v>
      </c>
      <c r="J5" s="243">
        <f>IF(('DATOS PARA DEPURAR'!D97="s"),'DATOS PARA DEPURAR'!E97,0)</f>
        <v>0</v>
      </c>
      <c r="P5" s="247" t="s">
        <v>399</v>
      </c>
      <c r="Q5" s="184">
        <f>IF(N32=0,I14*5%,0)</f>
        <v>3.85</v>
      </c>
      <c r="AA5" s="363">
        <f>IF(J32=0,E14*5%,0)</f>
        <v>0</v>
      </c>
    </row>
    <row r="6" spans="1:29" ht="19.5" customHeight="1" x14ac:dyDescent="0.2">
      <c r="A6" s="1302"/>
      <c r="B6" s="1275" t="s">
        <v>106</v>
      </c>
      <c r="C6" s="1275"/>
      <c r="D6" s="244">
        <f t="shared" ref="D6:D41" si="1">+D5+1</f>
        <v>32</v>
      </c>
      <c r="E6" s="245">
        <f>IF((E4-E5)&gt;0,(E4-E5),0)</f>
        <v>4153418915.25</v>
      </c>
      <c r="F6" s="1306"/>
      <c r="G6" s="1288" t="s">
        <v>87</v>
      </c>
      <c r="H6" s="1288"/>
      <c r="I6" s="244">
        <f t="shared" si="0"/>
        <v>69</v>
      </c>
      <c r="J6" s="246">
        <f>SUM('DEPURACION POR IMAS EMPLEADO'!I40:I41)+K6</f>
        <v>0</v>
      </c>
      <c r="K6" s="184">
        <f>IF((J5)&gt;0,('DATOS PARA DEPURAR'!E225),0)</f>
        <v>0</v>
      </c>
      <c r="P6" s="247" t="s">
        <v>400</v>
      </c>
      <c r="Q6" s="184">
        <f>IF(N32=0,S6*2,0)</f>
        <v>0</v>
      </c>
      <c r="S6" s="251">
        <f>+N32-N33-N34-N35+N36</f>
        <v>0</v>
      </c>
      <c r="AA6" s="363" t="b">
        <f>IF(J32=0,IF(E14&gt;0,AB6*2,0))</f>
        <v>0</v>
      </c>
      <c r="AB6" s="363">
        <f>-J32+J33+J34+J35-J36</f>
        <v>-268350500.375</v>
      </c>
      <c r="AC6" s="363"/>
    </row>
    <row r="7" spans="1:29" ht="17.25" customHeight="1" x14ac:dyDescent="0.2">
      <c r="A7" s="1283" t="s">
        <v>114</v>
      </c>
      <c r="B7" s="1287" t="s">
        <v>113</v>
      </c>
      <c r="C7" s="1287"/>
      <c r="D7" s="181">
        <f t="shared" si="1"/>
        <v>33</v>
      </c>
      <c r="E7" s="242">
        <f>+'DATOS PARA DEPURAR'!E48-'DATOS PARA DEPURAR'!E45-'DATOS PARA DEPURAR'!E33</f>
        <v>104803729</v>
      </c>
      <c r="F7" s="1306"/>
      <c r="G7" s="1272" t="s">
        <v>88</v>
      </c>
      <c r="H7" s="1272"/>
      <c r="I7" s="181">
        <f t="shared" si="0"/>
        <v>70</v>
      </c>
      <c r="J7" s="243">
        <f>'DEPURACION POR IMAS EMPLEADO'!I42</f>
        <v>1089195000</v>
      </c>
      <c r="P7" s="247" t="s">
        <v>401</v>
      </c>
      <c r="AA7" s="363" t="b">
        <f>IF(J32=0,IF(E14&gt;0,2500*'DATOS PARA DEPURAR'!C24,0))</f>
        <v>0</v>
      </c>
      <c r="AB7" s="363"/>
      <c r="AC7" s="363">
        <f>MIN(AA9:AA11)</f>
        <v>0</v>
      </c>
    </row>
    <row r="8" spans="1:29" ht="18" customHeight="1" thickBot="1" x14ac:dyDescent="0.25">
      <c r="A8" s="1283"/>
      <c r="B8" s="1290" t="s">
        <v>115</v>
      </c>
      <c r="C8" s="1290"/>
      <c r="D8" s="244">
        <f t="shared" si="1"/>
        <v>34</v>
      </c>
      <c r="E8" s="245">
        <f>+'DATOS PARA DEPURAR'!E45</f>
        <v>0</v>
      </c>
      <c r="F8" s="1307"/>
      <c r="G8" s="1288" t="s">
        <v>89</v>
      </c>
      <c r="H8" s="1288"/>
      <c r="I8" s="244">
        <f t="shared" si="0"/>
        <v>71</v>
      </c>
      <c r="J8" s="246">
        <f>+J4+J5-J6-J7</f>
        <v>800805000</v>
      </c>
      <c r="P8" s="247" t="s">
        <v>381</v>
      </c>
      <c r="AA8" s="363" t="b">
        <f>IF(J32=0,IF(E14=0,'DATOS PARA DEPURAR'!E20*1%*'DATOS PARA DEPURAR'!E11,0))</f>
        <v>0</v>
      </c>
      <c r="AB8" s="363"/>
      <c r="AC8" s="363" t="b">
        <f>IF(AA8&gt;AC7,AA8,AC7)</f>
        <v>0</v>
      </c>
    </row>
    <row r="9" spans="1:29" x14ac:dyDescent="0.2">
      <c r="A9" s="1283"/>
      <c r="B9" s="1286" t="s">
        <v>116</v>
      </c>
      <c r="C9" s="1287"/>
      <c r="D9" s="181">
        <f t="shared" si="1"/>
        <v>35</v>
      </c>
      <c r="E9" s="242">
        <f>+'DATOS PARA DEPURAR'!E57</f>
        <v>310000000</v>
      </c>
      <c r="F9" s="1289" t="s">
        <v>122</v>
      </c>
      <c r="G9" s="1272" t="s">
        <v>110</v>
      </c>
      <c r="H9" s="1272"/>
      <c r="I9" s="181">
        <f t="shared" si="0"/>
        <v>72</v>
      </c>
      <c r="J9" s="243">
        <f>+'DEPURACION POR IMAS EMPLEADO'!F14</f>
        <v>0</v>
      </c>
      <c r="P9" s="247" t="s">
        <v>399</v>
      </c>
      <c r="AA9" s="363" t="b">
        <f>IF(J32=0,IF(E14=0,'DATOS PARA DEPURAR'!E20*10%,0))</f>
        <v>0</v>
      </c>
      <c r="AB9" s="363"/>
      <c r="AC9" s="363"/>
    </row>
    <row r="10" spans="1:29" x14ac:dyDescent="0.2">
      <c r="A10" s="1283"/>
      <c r="B10" s="1274" t="s">
        <v>117</v>
      </c>
      <c r="C10" s="1275"/>
      <c r="D10" s="244">
        <f t="shared" si="1"/>
        <v>36</v>
      </c>
      <c r="E10" s="245">
        <f>+'DATOS PARA DEPURAR'!E84</f>
        <v>69080000</v>
      </c>
      <c r="F10" s="1289"/>
      <c r="G10" s="1288" t="s">
        <v>54</v>
      </c>
      <c r="H10" s="1288"/>
      <c r="I10" s="244">
        <f t="shared" si="0"/>
        <v>73</v>
      </c>
      <c r="J10" s="246">
        <f>IF((J9)&gt;0,('DATOS PARA DEPURAR'!E134),0)</f>
        <v>0</v>
      </c>
      <c r="K10" s="247"/>
      <c r="P10" s="247" t="s">
        <v>400</v>
      </c>
      <c r="AA10" s="363" t="b">
        <f>IF(J32=0,IF(E14=0,AB10*2,0))</f>
        <v>0</v>
      </c>
      <c r="AB10" s="363">
        <f>-J32+J33+J34+J35-J36</f>
        <v>-268350500.375</v>
      </c>
      <c r="AC10" s="363"/>
    </row>
    <row r="11" spans="1:29" x14ac:dyDescent="0.2">
      <c r="A11" s="1283"/>
      <c r="B11" s="1286" t="s">
        <v>118</v>
      </c>
      <c r="C11" s="1287"/>
      <c r="D11" s="181">
        <f t="shared" si="1"/>
        <v>37</v>
      </c>
      <c r="E11" s="242">
        <f>+'DATOS PARA DEPURAR'!E81</f>
        <v>200000000</v>
      </c>
      <c r="F11" s="1289"/>
      <c r="G11" s="1272" t="s">
        <v>55</v>
      </c>
      <c r="H11" s="1272"/>
      <c r="I11" s="181">
        <f t="shared" si="0"/>
        <v>74</v>
      </c>
      <c r="J11" s="243">
        <f>IF((J9)&gt;0,'DATOS PARA DEPURAR'!E294,0)</f>
        <v>0</v>
      </c>
      <c r="K11" s="247"/>
      <c r="L11" s="247" t="s">
        <v>318</v>
      </c>
      <c r="M11" s="247" t="s">
        <v>319</v>
      </c>
      <c r="P11" s="247" t="s">
        <v>401</v>
      </c>
      <c r="AA11" s="363" t="b">
        <f>IF(J32=0,IF(E14=0,2500*'DATOS PARA DEPURAR'!C24,0))</f>
        <v>0</v>
      </c>
      <c r="AB11" s="363"/>
      <c r="AC11" s="363"/>
    </row>
    <row r="12" spans="1:29" ht="18" customHeight="1" x14ac:dyDescent="0.2">
      <c r="A12" s="1283"/>
      <c r="B12" s="1274" t="s">
        <v>119</v>
      </c>
      <c r="C12" s="1275"/>
      <c r="D12" s="244">
        <f t="shared" si="1"/>
        <v>38</v>
      </c>
      <c r="E12" s="245">
        <f>('DATOS PARA DEPURAR'!E57+'DATOS PARA DEPURAR'!E48+'DATOS PARA DEPURAR'!E98)-('DEPURACION ORDINARIO 2017'!E7+'DEPURACION ORDINARIO 2017'!E8+'DEPURACION ORDINARIO 2017'!E9+'DEPURACION ORDINARIO 2017'!E10+E11+'DEPURACION ORDINARIO 2017'!E13+'DATOS PARA DEPURAR'!E75+'DATOS PARA DEPURAR'!E76+'DATOS PARA DEPURAR'!E77+'DATOS PARA DEPURAR'!E78+'DATOS PARA DEPURAR'!E66+'DATOS PARA DEPURAR'!E67+'DATOS PARA DEPURAR'!E69)-L12-L13</f>
        <v>1043456789</v>
      </c>
      <c r="F12" s="1289"/>
      <c r="G12" s="1290" t="s">
        <v>56</v>
      </c>
      <c r="H12" s="1290"/>
      <c r="I12" s="244">
        <f t="shared" si="0"/>
        <v>75</v>
      </c>
      <c r="J12" s="246">
        <f>IF((J9)&gt;0,'DATOS PARA DEPURAR'!D286+'DATOS PARA DEPURAR'!D287+'DATOS PARA DEPURAR'!E258,0)</f>
        <v>0</v>
      </c>
      <c r="K12" s="247"/>
      <c r="L12" s="184">
        <f>IF(('DATOS PARA DEPURAR'!D62)="S",'DATOS PARA DEPURAR'!E62,0)</f>
        <v>0</v>
      </c>
      <c r="M12" s="184">
        <f>IF(('DATOS PARA DEPURAR'!D62)="N",'DATOS PARA DEPURAR'!E62,0)</f>
        <v>100000000</v>
      </c>
      <c r="AA12" s="372" t="s">
        <v>409</v>
      </c>
      <c r="AB12" s="372">
        <f>10*'DATOS PARA DEPURAR'!E25</f>
        <v>470650</v>
      </c>
      <c r="AC12" s="299">
        <f>+AB12</f>
        <v>470650</v>
      </c>
    </row>
    <row r="13" spans="1:29" ht="18" customHeight="1" x14ac:dyDescent="0.2">
      <c r="A13" s="1283"/>
      <c r="B13" s="1286" t="s">
        <v>120</v>
      </c>
      <c r="C13" s="1287"/>
      <c r="D13" s="181">
        <f t="shared" si="1"/>
        <v>39</v>
      </c>
      <c r="E13" s="242">
        <f>IF(('DATOS PARA DEPURAR'!D97="N"),'DATOS PARA DEPURAR'!E97,0)</f>
        <v>0</v>
      </c>
      <c r="F13" s="1289"/>
      <c r="G13" s="1272" t="s">
        <v>57</v>
      </c>
      <c r="H13" s="1272"/>
      <c r="I13" s="181">
        <f t="shared" si="0"/>
        <v>76</v>
      </c>
      <c r="J13" s="243">
        <f>IF((J9)&gt;0,'DATOS PARA DEPURAR'!E293,0)</f>
        <v>0</v>
      </c>
      <c r="K13" s="247"/>
      <c r="L13" s="184">
        <f>IF(('DATOS PARA DEPURAR'!D64)="S",'DATOS PARA DEPURAR'!E64,0)</f>
        <v>0</v>
      </c>
      <c r="M13" s="184">
        <f>IF(('DATOS PARA DEPURAR'!D64)="N",'DATOS PARA DEPURAR'!E64,0)</f>
        <v>100000000</v>
      </c>
      <c r="AC13" s="363">
        <f>MAX(AC2:AC12)</f>
        <v>470650</v>
      </c>
    </row>
    <row r="14" spans="1:29" ht="17.25" customHeight="1" x14ac:dyDescent="0.2">
      <c r="A14" s="1283"/>
      <c r="B14" s="1285" t="s">
        <v>121</v>
      </c>
      <c r="C14" s="1285"/>
      <c r="D14" s="244">
        <f t="shared" si="1"/>
        <v>40</v>
      </c>
      <c r="E14" s="245">
        <f>SUM(E7:E13)</f>
        <v>1727340518</v>
      </c>
      <c r="F14" s="1289"/>
      <c r="G14" s="1284" t="s">
        <v>65</v>
      </c>
      <c r="H14" s="1284"/>
      <c r="I14" s="244">
        <f t="shared" si="0"/>
        <v>77</v>
      </c>
      <c r="J14" s="246">
        <f>IF((J9&gt;0),K14,0)</f>
        <v>0</v>
      </c>
      <c r="K14" s="247">
        <f>IF(('DATOS PARA DEPURAR'!E240)&lt;=L17,('DATOS PARA DEPURAR'!E240),L17)</f>
        <v>0</v>
      </c>
      <c r="L14" s="247" t="s">
        <v>352</v>
      </c>
      <c r="AC14" s="184">
        <f>IF('DATOS PARA DEPURAR'!C11="EXTEMPORANEA",'DEPURACION ORDINARIO 2017'!AC13,0)</f>
        <v>0</v>
      </c>
    </row>
    <row r="15" spans="1:29" x14ac:dyDescent="0.2">
      <c r="A15" s="1283"/>
      <c r="B15" s="1291" t="s">
        <v>124</v>
      </c>
      <c r="C15" s="247" t="s">
        <v>118</v>
      </c>
      <c r="D15" s="181">
        <f t="shared" si="1"/>
        <v>41</v>
      </c>
      <c r="E15" s="242">
        <f>+'DATOS PARA DEPURAR'!E134</f>
        <v>0</v>
      </c>
      <c r="F15" s="1289"/>
      <c r="G15" s="1272" t="s">
        <v>58</v>
      </c>
      <c r="H15" s="1272"/>
      <c r="I15" s="181">
        <f t="shared" si="0"/>
        <v>78</v>
      </c>
      <c r="J15" s="243">
        <f>IF((J9)&gt;0,'DATOS PARA DEPURAR'!E241,0)</f>
        <v>0</v>
      </c>
      <c r="K15" s="247"/>
      <c r="L15" s="248">
        <f>2300*'DATOS PARA DEPURAR'!C24</f>
        <v>97547600</v>
      </c>
      <c r="M15" s="247" t="s">
        <v>353</v>
      </c>
      <c r="P15" s="247" t="s">
        <v>415</v>
      </c>
      <c r="Q15" s="275" t="s">
        <v>441</v>
      </c>
      <c r="S15" s="184">
        <f>IF(J33+J34+J35-J32-J36&gt;0,J33+J34+J35-J32-J36,0)</f>
        <v>0</v>
      </c>
      <c r="Z15" s="416" t="s">
        <v>440</v>
      </c>
    </row>
    <row r="16" spans="1:29" ht="18.75" customHeight="1" x14ac:dyDescent="0.2">
      <c r="A16" s="1283"/>
      <c r="B16" s="1291"/>
      <c r="C16" s="249" t="s">
        <v>125</v>
      </c>
      <c r="D16" s="244">
        <f t="shared" si="1"/>
        <v>42</v>
      </c>
      <c r="E16" s="245">
        <f>+'DATOS PARA DEPURAR'!E73</f>
        <v>0</v>
      </c>
      <c r="F16" s="1289"/>
      <c r="G16" s="1290" t="s">
        <v>59</v>
      </c>
      <c r="H16" s="1290"/>
      <c r="I16" s="244">
        <f t="shared" si="0"/>
        <v>79</v>
      </c>
      <c r="J16" s="246">
        <f>IF((J9)&gt;0,'DATOS PARA DEPURAR'!E242,0)</f>
        <v>0</v>
      </c>
      <c r="K16" s="247"/>
      <c r="L16" s="248">
        <f>+E14*60%</f>
        <v>1036404310.8</v>
      </c>
      <c r="M16" s="247" t="s">
        <v>354</v>
      </c>
      <c r="Q16" s="247">
        <f>IF(S15&gt;0,S15,0)</f>
        <v>0</v>
      </c>
      <c r="Z16" s="184">
        <f>IF(J37&gt;0,J37,0)</f>
        <v>268350500.375</v>
      </c>
    </row>
    <row r="17" spans="1:27" ht="24" x14ac:dyDescent="0.2">
      <c r="A17" s="1283"/>
      <c r="B17" s="1291"/>
      <c r="C17" s="250" t="s">
        <v>126</v>
      </c>
      <c r="D17" s="181">
        <f t="shared" si="1"/>
        <v>43</v>
      </c>
      <c r="E17" s="242">
        <f>+'DATOS PARA DEPURAR'!E132</f>
        <v>0</v>
      </c>
      <c r="F17" s="1289"/>
      <c r="G17" s="1273" t="s">
        <v>60</v>
      </c>
      <c r="H17" s="1273"/>
      <c r="I17" s="181">
        <f t="shared" si="0"/>
        <v>80</v>
      </c>
      <c r="J17" s="243">
        <f>IF((J9)&gt;0,(SUM('DEPURACION POR IMAS EMPLEADO'!I28:I29)),0)</f>
        <v>0</v>
      </c>
      <c r="K17" s="247"/>
      <c r="L17" s="251">
        <f>MIN(L15:L16)</f>
        <v>97547600</v>
      </c>
      <c r="P17" s="275" t="s">
        <v>416</v>
      </c>
      <c r="Q17" s="184">
        <f>IF((('DATOS PARA DEPURAR'!C14)*(-1)-Q16)&gt;0,(('DATOS PARA DEPURAR'!C14)*(-1)-Q16)*10%,0)</f>
        <v>46500</v>
      </c>
      <c r="Z17" s="184">
        <f>IF((Z16-'DATOS PARA DEPURAR'!C14)&gt;0,(Z16-'DATOS PARA DEPURAR'!C14)*10%,0)</f>
        <v>26881550.037500001</v>
      </c>
    </row>
    <row r="18" spans="1:27" ht="18.75" customHeight="1" x14ac:dyDescent="0.2">
      <c r="A18" s="1283"/>
      <c r="B18" s="1291"/>
      <c r="C18" s="252" t="s">
        <v>127</v>
      </c>
      <c r="D18" s="244">
        <f t="shared" si="1"/>
        <v>44</v>
      </c>
      <c r="E18" s="245">
        <f>+'DATOS PARA DEPURAR'!E136-'DEPURACION ORDINARIO 2017'!E15-'DEPURACION ORDINARIO 2017'!E16-'DEPURACION ORDINARIO 2017'!E17-'DATOS PARA DEPURAR'!E118-'DATOS PARA DEPURAR'!E121</f>
        <v>48623267.999999993</v>
      </c>
      <c r="F18" s="1289"/>
      <c r="G18" s="1294" t="s">
        <v>111</v>
      </c>
      <c r="H18" s="1294"/>
      <c r="I18" s="244">
        <f t="shared" si="0"/>
        <v>81</v>
      </c>
      <c r="J18" s="246">
        <f>IF((J9)&gt;0,('DATOS PARA DEPURAR'!E39+'DATOS PARA DEPURAR'!E40+'DATOS PARA DEPURAR'!E41+'DATOS PARA DEPURAR'!E42),0)</f>
        <v>0</v>
      </c>
      <c r="K18" s="247"/>
      <c r="Q18" s="299">
        <f>+AC12</f>
        <v>470650</v>
      </c>
      <c r="Z18" s="299">
        <f>+AC12</f>
        <v>470650</v>
      </c>
    </row>
    <row r="19" spans="1:27" x14ac:dyDescent="0.2">
      <c r="A19" s="1283"/>
      <c r="B19" s="1291"/>
      <c r="C19" s="253" t="s">
        <v>128</v>
      </c>
      <c r="D19" s="181">
        <f t="shared" si="1"/>
        <v>45</v>
      </c>
      <c r="E19" s="242">
        <f>SUM(E15:E18)</f>
        <v>48623267.999999993</v>
      </c>
      <c r="F19" s="1289"/>
      <c r="G19" s="1272" t="s">
        <v>66</v>
      </c>
      <c r="H19" s="1272"/>
      <c r="I19" s="181">
        <f t="shared" si="0"/>
        <v>82</v>
      </c>
      <c r="J19" s="243">
        <f>IF((J9)&gt;0,('DATOS PARA DEPURAR'!E79),0)</f>
        <v>0</v>
      </c>
      <c r="K19" s="254"/>
      <c r="L19" s="323">
        <f>384*'DATOS PARA DEPURAR'!C24</f>
        <v>16286208</v>
      </c>
      <c r="Q19" s="184">
        <f>MAX(Q17:Q18)</f>
        <v>470650</v>
      </c>
      <c r="Z19" s="363">
        <f>MAX(Z17:Z18)</f>
        <v>26881550.037500001</v>
      </c>
      <c r="AA19" s="184">
        <f>IF('DATOS PARA DEPURAR'!C13="S",'DEPURACION ORDINARIO 2017'!AA23,0)</f>
        <v>0</v>
      </c>
    </row>
    <row r="20" spans="1:27" ht="17.25" customHeight="1" x14ac:dyDescent="0.2">
      <c r="A20" s="1283"/>
      <c r="B20" s="1274" t="s">
        <v>129</v>
      </c>
      <c r="C20" s="1275"/>
      <c r="D20" s="244">
        <f t="shared" si="1"/>
        <v>46</v>
      </c>
      <c r="E20" s="245">
        <f>+E14-E19</f>
        <v>1678717250</v>
      </c>
      <c r="F20" s="1289"/>
      <c r="G20" s="1295" t="s">
        <v>112</v>
      </c>
      <c r="H20" s="1295"/>
      <c r="I20" s="244">
        <f t="shared" si="0"/>
        <v>83</v>
      </c>
      <c r="J20" s="246">
        <f>IF((J9-SUM(J10:J19))&gt;0,(J9-SUM(J10:J19)),0)</f>
        <v>0</v>
      </c>
      <c r="K20" s="254"/>
      <c r="L20" s="253">
        <f>IF('DATOS PARA DEPURAR'!E247="S",(E7+M20)*10%,0)</f>
        <v>0</v>
      </c>
      <c r="M20" s="184">
        <f>IF('DATOS PARA DEPURAR'!E106="S",SUM('DATOS PARA DEPURAR'!E52:E55),0)</f>
        <v>0</v>
      </c>
      <c r="P20" s="275" t="s">
        <v>417</v>
      </c>
      <c r="Q20" s="184">
        <f>IF('DATOS PARA DEPURAR'!E14="S",'DEPURACION ORDINARIO 2017'!Q17*2,0)</f>
        <v>0</v>
      </c>
      <c r="Z20" s="184">
        <f>IF('DATOS PARA DEPURAR'!E14="S",'DEPURACION ORDINARIO 2017'!Z17*2,0)</f>
        <v>0</v>
      </c>
    </row>
    <row r="21" spans="1:27" ht="9" customHeight="1" thickBot="1" x14ac:dyDescent="0.25">
      <c r="A21" s="1280" t="s">
        <v>348</v>
      </c>
      <c r="B21" s="1281"/>
      <c r="C21" s="1281"/>
      <c r="D21" s="1281"/>
      <c r="E21" s="1281"/>
      <c r="F21" s="1281"/>
      <c r="G21" s="1281"/>
      <c r="H21" s="1281"/>
      <c r="I21" s="1281"/>
      <c r="J21" s="1282"/>
      <c r="K21" s="254"/>
      <c r="L21" s="324">
        <f>MIN(L19:L20)</f>
        <v>0</v>
      </c>
      <c r="Q21" s="299">
        <f>+AC12</f>
        <v>470650</v>
      </c>
      <c r="Z21" s="377">
        <f>+AC12</f>
        <v>470650</v>
      </c>
    </row>
    <row r="22" spans="1:27" ht="21" customHeight="1" x14ac:dyDescent="0.2">
      <c r="A22" s="1327" t="s">
        <v>139</v>
      </c>
      <c r="B22" s="1328" t="s">
        <v>131</v>
      </c>
      <c r="C22" s="1328"/>
      <c r="D22" s="181">
        <f>+D20+1</f>
        <v>47</v>
      </c>
      <c r="E22" s="242">
        <f>+'DATOS PARA DEPURAR'!E226</f>
        <v>2</v>
      </c>
      <c r="F22" s="1320" t="s">
        <v>165</v>
      </c>
      <c r="G22" s="1273" t="s">
        <v>137</v>
      </c>
      <c r="H22" s="1273"/>
      <c r="I22" s="181">
        <f>+I20+1</f>
        <v>84</v>
      </c>
      <c r="J22" s="255">
        <f>+L31</f>
        <v>164000000</v>
      </c>
      <c r="K22" s="371">
        <f>+L31</f>
        <v>164000000</v>
      </c>
      <c r="L22" s="256" t="s">
        <v>8</v>
      </c>
      <c r="M22" s="257"/>
      <c r="O22" s="258" t="s">
        <v>10</v>
      </c>
      <c r="Q22" s="184">
        <f>MAX(Q20:Q21)</f>
        <v>470650</v>
      </c>
      <c r="Z22" s="184">
        <f>MAX(Z20:Z21)</f>
        <v>470650</v>
      </c>
    </row>
    <row r="23" spans="1:27" ht="24" customHeight="1" thickBot="1" x14ac:dyDescent="0.3">
      <c r="A23" s="1327"/>
      <c r="B23" s="1274" t="s">
        <v>132</v>
      </c>
      <c r="C23" s="1275"/>
      <c r="D23" s="244">
        <f t="shared" si="1"/>
        <v>48</v>
      </c>
      <c r="E23" s="245">
        <f>IF((L20)&gt;0,L21,0)</f>
        <v>0</v>
      </c>
      <c r="F23" s="1320"/>
      <c r="G23" s="1325" t="s">
        <v>168</v>
      </c>
      <c r="H23" s="1325"/>
      <c r="I23" s="244">
        <f t="shared" si="0"/>
        <v>85</v>
      </c>
      <c r="J23" s="246">
        <f>_xlfn.CEILING.PRECISE(H50,1000)</f>
        <v>0</v>
      </c>
      <c r="K23" s="254">
        <f>_xlfn.CEILING.PRECISE(H50,1000)</f>
        <v>0</v>
      </c>
      <c r="L23" s="1292">
        <f>+E41/O23</f>
        <v>13429.789293124588</v>
      </c>
      <c r="M23" s="1293"/>
      <c r="O23" s="259">
        <f>+'DATOS PARA DEPURAR'!C24</f>
        <v>42412</v>
      </c>
      <c r="S23" s="184">
        <f>IF(Q20&gt;0,Q22,Q19)</f>
        <v>470650</v>
      </c>
      <c r="AA23" s="184">
        <f>IF(Z20&gt;0,Z22,Z19)</f>
        <v>26881550.037500001</v>
      </c>
    </row>
    <row r="24" spans="1:27" ht="21" customHeight="1" thickBot="1" x14ac:dyDescent="0.25">
      <c r="A24" s="1327"/>
      <c r="B24" s="1326" t="s">
        <v>133</v>
      </c>
      <c r="C24" s="1326"/>
      <c r="D24" s="181">
        <f t="shared" si="1"/>
        <v>49</v>
      </c>
      <c r="E24" s="242">
        <f>+'DATOS PARA DEPURAR'!E245</f>
        <v>0</v>
      </c>
      <c r="F24" s="1320"/>
      <c r="G24" s="1276" t="s">
        <v>138</v>
      </c>
      <c r="H24" s="260" t="s">
        <v>160</v>
      </c>
      <c r="I24" s="181">
        <f t="shared" si="0"/>
        <v>86</v>
      </c>
      <c r="J24" s="243">
        <f>IF(J166&gt;0,'DATOS PARA DEPURAR'!E343,0)</f>
        <v>0</v>
      </c>
      <c r="P24" s="247" t="s">
        <v>428</v>
      </c>
      <c r="Z24" s="184">
        <f>IF(S15&gt;0,S23,AA23)</f>
        <v>26881550.037500001</v>
      </c>
    </row>
    <row r="25" spans="1:27" ht="20.25" customHeight="1" x14ac:dyDescent="0.2">
      <c r="A25" s="1327"/>
      <c r="B25" s="1274" t="s">
        <v>134</v>
      </c>
      <c r="C25" s="1275"/>
      <c r="D25" s="244">
        <f t="shared" si="1"/>
        <v>50</v>
      </c>
      <c r="E25" s="245">
        <f>'DATOS PARA DEPURAR'!E229+'DATOS PARA DEPURAR'!E238+'DATOS PARA DEPURAR'!E241+'DATOS PARA DEPURAR'!E242+'DATOS PARA DEPURAR'!E243+'DATOS PARA DEPURAR'!E249+'DATOS PARA DEPURAR'!E251+'DATOS PARA DEPURAR'!E257+'DATOS PARA DEPURAR'!E258+'DATOS PARA DEPURAR'!E141+'DATOS PARA DEPURAR'!E151+'DATOS PARA DEPURAR'!E159+'DATOS PARA DEPURAR'!E166+'DATOS PARA DEPURAR'!E181+'DATOS PARA DEPURAR'!E189+SUM(L37:L38)+'DATOS PARA DEPURAR'!E207+'DATOS PARA DEPURAR'!E228</f>
        <v>977827295.5</v>
      </c>
      <c r="F25" s="1320"/>
      <c r="G25" s="1276"/>
      <c r="H25" s="261" t="s">
        <v>161</v>
      </c>
      <c r="I25" s="244">
        <f t="shared" si="0"/>
        <v>87</v>
      </c>
      <c r="J25" s="246">
        <f>IF(J166&gt;0,'DATOS PARA DEPURAR'!E344,0)</f>
        <v>0</v>
      </c>
      <c r="L25" s="262">
        <v>0</v>
      </c>
      <c r="M25" s="263">
        <v>1090</v>
      </c>
      <c r="O25" s="264" t="b">
        <f>IF(L23&lt;=1090,0)</f>
        <v>0</v>
      </c>
      <c r="P25" s="184">
        <f>+'DATOS PARA DEPURAR'!E17</f>
        <v>44301</v>
      </c>
      <c r="AA25" s="184">
        <f>+Z24/0.1</f>
        <v>268815500.375</v>
      </c>
    </row>
    <row r="26" spans="1:27" ht="22.5" customHeight="1" x14ac:dyDescent="0.25">
      <c r="A26" s="1327"/>
      <c r="B26" s="1286" t="s">
        <v>135</v>
      </c>
      <c r="C26" s="1287"/>
      <c r="D26" s="181">
        <f t="shared" si="1"/>
        <v>51</v>
      </c>
      <c r="E26" s="242">
        <f>IF((E13&gt;0),('DATOS PARA DEPURAR'!E225),0)</f>
        <v>0</v>
      </c>
      <c r="F26" s="1320"/>
      <c r="G26" s="1276"/>
      <c r="H26" s="260" t="s">
        <v>162</v>
      </c>
      <c r="I26" s="181">
        <f t="shared" si="0"/>
        <v>88</v>
      </c>
      <c r="J26" s="243">
        <f>IF(J166&gt;0,'DATOS PARA DEPURAR'!E345,0)</f>
        <v>0</v>
      </c>
      <c r="L26" s="265" t="s">
        <v>169</v>
      </c>
      <c r="M26" s="266">
        <v>1700</v>
      </c>
      <c r="O26" s="267">
        <f>IF(L23&gt;1090,(IF(L23&lt;=1700,ROUND((((+L23-1090)*19%)*O23),-3),0)),FALSE)</f>
        <v>0</v>
      </c>
      <c r="P26" s="184">
        <f>+'DATOS PARA DEPURAR'!C17</f>
        <v>45568</v>
      </c>
      <c r="AA26" s="298">
        <f>+AA25*P28*5%</f>
        <v>-564512550.78750002</v>
      </c>
    </row>
    <row r="27" spans="1:27" ht="17.25" customHeight="1" x14ac:dyDescent="0.25">
      <c r="A27" s="1327"/>
      <c r="B27" s="1274" t="s">
        <v>136</v>
      </c>
      <c r="C27" s="1275"/>
      <c r="D27" s="244">
        <f t="shared" si="1"/>
        <v>52</v>
      </c>
      <c r="E27" s="245">
        <f>SUM(E22:E26)</f>
        <v>977827297.5</v>
      </c>
      <c r="F27" s="1320"/>
      <c r="G27" s="1276"/>
      <c r="H27" s="268" t="s">
        <v>163</v>
      </c>
      <c r="I27" s="244">
        <f t="shared" si="0"/>
        <v>89</v>
      </c>
      <c r="J27" s="246">
        <f>IF(J166&gt;0,'DATOS PARA DEPURAR'!E349,0)</f>
        <v>0</v>
      </c>
      <c r="L27" s="265" t="s">
        <v>170</v>
      </c>
      <c r="M27" s="266">
        <v>4100</v>
      </c>
      <c r="O27" s="267">
        <f>IF(L23&gt;1700,IF(L23&lt;=4100,ROUND((((+L23-1700)*28%+116)*O23),-3),0))</f>
        <v>0</v>
      </c>
      <c r="P27" s="184">
        <f>+P25-P26</f>
        <v>-1267</v>
      </c>
      <c r="AA27" s="390">
        <f>IF(AA26&gt;AA25,AA25,AA26)</f>
        <v>-564512550.78750002</v>
      </c>
    </row>
    <row r="28" spans="1:27" ht="18" customHeight="1" thickBot="1" x14ac:dyDescent="0.3">
      <c r="A28" s="1321" t="s">
        <v>146</v>
      </c>
      <c r="B28" s="1286" t="s">
        <v>140</v>
      </c>
      <c r="C28" s="1287"/>
      <c r="D28" s="181">
        <f t="shared" si="1"/>
        <v>53</v>
      </c>
      <c r="E28" s="242">
        <f>IF((E20-E27)&gt;0,E20-E27,0)</f>
        <v>700889952.5</v>
      </c>
      <c r="F28" s="1320"/>
      <c r="G28" s="1276"/>
      <c r="H28" s="269" t="s">
        <v>164</v>
      </c>
      <c r="I28" s="181">
        <f t="shared" si="0"/>
        <v>90</v>
      </c>
      <c r="J28" s="243">
        <f>SUM(J24:J27)</f>
        <v>0</v>
      </c>
      <c r="K28" s="184">
        <f>SUM(K24:K27)</f>
        <v>0</v>
      </c>
      <c r="L28" s="270" t="s">
        <v>171</v>
      </c>
      <c r="M28" s="271"/>
      <c r="O28" s="272">
        <f>IF(L23&gt;4100,ROUND((((+L23-4100)*33%)*O23)+(788*O23),-3),0)</f>
        <v>164000000</v>
      </c>
      <c r="P28" s="184">
        <f>_xlfn.CEILING.PRECISE(P27/30,1)</f>
        <v>-42</v>
      </c>
    </row>
    <row r="29" spans="1:27" ht="18" customHeight="1" thickBot="1" x14ac:dyDescent="0.25">
      <c r="A29" s="1321"/>
      <c r="B29" s="1274" t="s">
        <v>142</v>
      </c>
      <c r="C29" s="1275"/>
      <c r="D29" s="244">
        <f t="shared" si="1"/>
        <v>54</v>
      </c>
      <c r="E29" s="245">
        <f>IF((E27-E20)&gt;0,E27-E20,0)</f>
        <v>0</v>
      </c>
      <c r="F29" s="1320"/>
      <c r="G29" s="1314" t="s">
        <v>166</v>
      </c>
      <c r="H29" s="1314"/>
      <c r="I29" s="244">
        <f t="shared" si="0"/>
        <v>91</v>
      </c>
      <c r="J29" s="246">
        <f>IF(J22&gt;J23,J22-J28,IF(J23&gt;J22,J23-J28,0))</f>
        <v>164000000</v>
      </c>
      <c r="K29" s="184">
        <f>IF(K22&gt;K23,K22-K28,IF(K23&gt;K22,K23-K28,0))</f>
        <v>164000000</v>
      </c>
      <c r="P29" s="247" t="s">
        <v>430</v>
      </c>
      <c r="Q29" s="184">
        <f>+AC14</f>
        <v>0</v>
      </c>
    </row>
    <row r="30" spans="1:27" ht="18" customHeight="1" x14ac:dyDescent="0.2">
      <c r="A30" s="1321"/>
      <c r="B30" s="1286" t="s">
        <v>141</v>
      </c>
      <c r="C30" s="1287"/>
      <c r="D30" s="181">
        <f t="shared" si="1"/>
        <v>55</v>
      </c>
      <c r="E30" s="242">
        <f>IF((H87)&gt;0,H87,0)</f>
        <v>0</v>
      </c>
      <c r="F30" s="1320"/>
      <c r="G30" s="1315" t="s">
        <v>100</v>
      </c>
      <c r="H30" s="1315"/>
      <c r="I30" s="181">
        <f t="shared" si="0"/>
        <v>92</v>
      </c>
      <c r="J30" s="243">
        <f>SUM('DEPURACION POR IMAS EMPLEADO'!K30:K31)</f>
        <v>80080500</v>
      </c>
      <c r="L30" s="1268" t="s">
        <v>172</v>
      </c>
      <c r="M30" s="1269"/>
      <c r="P30" s="247" t="s">
        <v>415</v>
      </c>
      <c r="Q30" s="184">
        <f>IF('DATOS PARA DEPURAR'!C13="S",'DEPURACION ORDINARIO 2017'!Z24,0)</f>
        <v>0</v>
      </c>
    </row>
    <row r="31" spans="1:27" ht="18" customHeight="1" thickBot="1" x14ac:dyDescent="0.3">
      <c r="A31" s="1321"/>
      <c r="B31" s="1274" t="s">
        <v>143</v>
      </c>
      <c r="C31" s="1275"/>
      <c r="D31" s="244">
        <f t="shared" si="1"/>
        <v>56</v>
      </c>
      <c r="E31" s="245">
        <f>IF(E28&gt;0,E28-E30,0)</f>
        <v>700889952.5</v>
      </c>
      <c r="F31" s="1320"/>
      <c r="G31" s="1317" t="s">
        <v>167</v>
      </c>
      <c r="H31" s="1317"/>
      <c r="I31" s="244">
        <f t="shared" si="0"/>
        <v>93</v>
      </c>
      <c r="J31" s="273">
        <f>+'DATOS PARA DEPURAR'!E338</f>
        <v>0</v>
      </c>
      <c r="L31" s="1270">
        <f>IF(O25=0,O25,IF(O26&gt;0,O26,IF(O27&gt;0,O27,IF(O28&gt;0,O28))))</f>
        <v>164000000</v>
      </c>
      <c r="M31" s="1271"/>
      <c r="P31" s="416" t="s">
        <v>431</v>
      </c>
      <c r="Q31" s="299">
        <f>IF('DATOS PARA DEPURAR'!C15="S",AA27,0)</f>
        <v>0</v>
      </c>
      <c r="Z31" s="184">
        <f>+'DATOS PARA DEPURAR'!E15</f>
        <v>0</v>
      </c>
    </row>
    <row r="32" spans="1:27" ht="18" customHeight="1" x14ac:dyDescent="0.2">
      <c r="A32" s="1321"/>
      <c r="B32" s="1286" t="s">
        <v>144</v>
      </c>
      <c r="C32" s="1287"/>
      <c r="D32" s="181">
        <f t="shared" si="1"/>
        <v>57</v>
      </c>
      <c r="E32" s="242">
        <f>IF(('DATOS PARA DEPURAR'!E22=1),0,'DEPURACION ORDINARIO 2017'!C83)</f>
        <v>3000000</v>
      </c>
      <c r="F32" s="1320"/>
      <c r="G32" s="1315" t="s">
        <v>102</v>
      </c>
      <c r="H32" s="1315"/>
      <c r="I32" s="181">
        <f t="shared" si="0"/>
        <v>94</v>
      </c>
      <c r="J32" s="274">
        <f>+J29+J30-J31</f>
        <v>244080500</v>
      </c>
      <c r="Q32" s="184">
        <f>IF((Q29&lt;=0),Q30+Q31,IF(Q30&lt;=0,Q29,IF(SUM(Q29:Q30)&lt;=0,0,0)))</f>
        <v>0</v>
      </c>
      <c r="Z32" s="184">
        <f>IF(Z24&gt;0,Z31,0)</f>
        <v>0</v>
      </c>
    </row>
    <row r="33" spans="1:16" ht="24" customHeight="1" thickBot="1" x14ac:dyDescent="0.25">
      <c r="A33" s="1321"/>
      <c r="B33" s="1320" t="s">
        <v>145</v>
      </c>
      <c r="C33" s="261" t="s">
        <v>147</v>
      </c>
      <c r="D33" s="244">
        <f t="shared" si="1"/>
        <v>58</v>
      </c>
      <c r="E33" s="245">
        <f>+'DATOS PARA DEPURAR'!E293+'DATOS PARA DEPURAR'!E295+'DATOS PARA DEPURAR'!E297+'DATOS PARA DEPURAR'!E304</f>
        <v>0</v>
      </c>
      <c r="F33" s="1320"/>
      <c r="G33" s="1314" t="s">
        <v>471</v>
      </c>
      <c r="H33" s="1314"/>
      <c r="I33" s="244">
        <f t="shared" si="0"/>
        <v>95</v>
      </c>
      <c r="J33" s="246">
        <f>IF('DATOS PARA DEPURAR'!E21&gt;0,'DATOS PARA DEPURAR'!E21,0)</f>
        <v>0</v>
      </c>
    </row>
    <row r="34" spans="1:16" ht="17.25" customHeight="1" x14ac:dyDescent="0.2">
      <c r="A34" s="1321"/>
      <c r="B34" s="1320"/>
      <c r="C34" s="275" t="s">
        <v>148</v>
      </c>
      <c r="D34" s="181">
        <f t="shared" si="1"/>
        <v>59</v>
      </c>
      <c r="E34" s="242">
        <f>+'DATOS PARA DEPURAR'!D286+'DATOS PARA DEPURAR'!D287</f>
        <v>0</v>
      </c>
      <c r="F34" s="1320"/>
      <c r="G34" s="1322" t="s">
        <v>589</v>
      </c>
      <c r="H34" s="1322"/>
      <c r="I34" s="181">
        <f t="shared" si="0"/>
        <v>96</v>
      </c>
      <c r="J34" s="243">
        <f>IF('DATOS PARA DEPURAR'!C22&gt;0,'DATOS PARA DEPURAR'!C22,0)</f>
        <v>0</v>
      </c>
      <c r="L34" s="306" t="s">
        <v>182</v>
      </c>
      <c r="M34" s="307"/>
      <c r="N34" s="307"/>
      <c r="O34" s="307"/>
      <c r="P34" s="308"/>
    </row>
    <row r="35" spans="1:16" ht="17.25" customHeight="1" x14ac:dyDescent="0.2">
      <c r="A35" s="1321"/>
      <c r="B35" s="1320"/>
      <c r="C35" s="276" t="s">
        <v>149</v>
      </c>
      <c r="D35" s="244">
        <f t="shared" si="1"/>
        <v>60</v>
      </c>
      <c r="E35" s="245">
        <f>IF(('DATOS PARA DEPURAR'!D291&lt;=0),('DEPURACION ORDINARIO 2017'!C69),(C73))</f>
        <v>0</v>
      </c>
      <c r="F35" s="1320"/>
      <c r="G35" s="1316" t="s">
        <v>566</v>
      </c>
      <c r="H35" s="1316"/>
      <c r="I35" s="244">
        <f t="shared" si="0"/>
        <v>97</v>
      </c>
      <c r="J35" s="246">
        <f>+'DATOS PARA DEPURAR'!E339</f>
        <v>18615000</v>
      </c>
      <c r="K35" s="184">
        <f>IF((L35)&gt;0,L35,0)</f>
        <v>0</v>
      </c>
      <c r="L35" s="309">
        <f>IF((M35*25%)&lt;=(2880*'DATOS PARA DEPURAR'!C24),(M35*25%),(2880*'DATOS PARA DEPURAR'!C24))</f>
        <v>-7914995.75</v>
      </c>
      <c r="M35" s="304">
        <f>E7-'DATOS PARA DEPURAR'!E44+L36-SUM('DATOS PARA DEPURAR'!E293:E298)-'DATOS PARA DEPURAR'!E240-'DATOS PARA DEPURAR'!E241-'DATOS PARA DEPURAR'!E242-'DATOS PARA DEPURAR'!C245-'DATOS PARA DEPURAR'!C249-'DATOS PARA DEPURAR'!E258-'DATOS PARA DEPURAR'!E257-'DATOS PARA DEPURAR'!E251-'DEPURACION ORDINARIO 2017'!E23-'DATOS PARA DEPURAR'!E286</f>
        <v>-31659983</v>
      </c>
      <c r="N35" s="177"/>
      <c r="O35" s="177"/>
      <c r="P35" s="310"/>
    </row>
    <row r="36" spans="1:16" ht="17.25" customHeight="1" x14ac:dyDescent="0.2">
      <c r="A36" s="1321"/>
      <c r="B36" s="1320"/>
      <c r="C36" s="275" t="s">
        <v>150</v>
      </c>
      <c r="D36" s="181">
        <f t="shared" si="1"/>
        <v>61</v>
      </c>
      <c r="E36" s="242">
        <f>IF((C65&gt;0),C65,0)</f>
        <v>0</v>
      </c>
      <c r="F36" s="1320"/>
      <c r="G36" s="1315" t="s">
        <v>567</v>
      </c>
      <c r="H36" s="1315"/>
      <c r="I36" s="181">
        <f t="shared" si="0"/>
        <v>98</v>
      </c>
      <c r="J36" s="243">
        <f>+P42</f>
        <v>42885000.375</v>
      </c>
      <c r="L36" s="311">
        <f>IF(('DATOS PARA DEPURAR'!E106)="S",('DATOS PARA DEPURAR'!E52+'DATOS PARA DEPURAR'!E54),0)</f>
        <v>0</v>
      </c>
      <c r="M36" s="177">
        <f>50531/0.25</f>
        <v>202124</v>
      </c>
      <c r="N36" s="177"/>
      <c r="O36" s="177"/>
      <c r="P36" s="310"/>
    </row>
    <row r="37" spans="1:16" ht="17.25" customHeight="1" x14ac:dyDescent="0.2">
      <c r="A37" s="1321"/>
      <c r="B37" s="1320"/>
      <c r="C37" s="276" t="s">
        <v>151</v>
      </c>
      <c r="D37" s="244">
        <f t="shared" si="1"/>
        <v>62</v>
      </c>
      <c r="E37" s="245">
        <f>'DATOS PARA DEPURAR'!E306-'DATOS PARA DEPURAR'!E286-'DATOS PARA DEPURAR'!E302-'DATOS PARA DEPURAR'!E301-'DATOS PARA DEPURAR'!E293-'DATOS PARA DEPURAR'!E295-'DATOS PARA DEPURAR'!E297-'DATOS PARA DEPURAR'!E304</f>
        <v>131305729</v>
      </c>
      <c r="F37" s="1320"/>
      <c r="G37" s="1316" t="s">
        <v>173</v>
      </c>
      <c r="H37" s="1316"/>
      <c r="I37" s="244">
        <f t="shared" si="0"/>
        <v>99</v>
      </c>
      <c r="J37" s="246">
        <f>IF((J32+J36-J33-J34-J35)&gt;0,J32+J36-J33-J34-J35,0)</f>
        <v>268350500.375</v>
      </c>
      <c r="L37" s="311">
        <f>IF('DATOS PARA DEPURAR'!D62="N",'DATOS PARA DEPURAR'!E175,0)</f>
        <v>50000000</v>
      </c>
      <c r="M37" s="177">
        <f>+M36/2</f>
        <v>101062</v>
      </c>
      <c r="N37" s="177"/>
      <c r="O37" s="304">
        <f>IF((J29)&gt;0,J29,0)</f>
        <v>164000000</v>
      </c>
      <c r="P37" s="310"/>
    </row>
    <row r="38" spans="1:16" ht="17.25" customHeight="1" x14ac:dyDescent="0.2">
      <c r="A38" s="1321"/>
      <c r="B38" s="1320"/>
      <c r="C38" s="275" t="s">
        <v>152</v>
      </c>
      <c r="D38" s="181">
        <f t="shared" si="1"/>
        <v>63</v>
      </c>
      <c r="E38" s="242">
        <f>+K35+'DATOS PARA DEPURAR'!E301</f>
        <v>0</v>
      </c>
      <c r="F38" s="1320"/>
      <c r="G38" s="1324" t="s">
        <v>174</v>
      </c>
      <c r="H38" s="1324"/>
      <c r="I38" s="277">
        <f t="shared" si="0"/>
        <v>100</v>
      </c>
      <c r="J38" s="243">
        <f>+K38</f>
        <v>0</v>
      </c>
      <c r="K38" s="184">
        <f>+Q32</f>
        <v>0</v>
      </c>
      <c r="L38" s="311">
        <f>IF('DATOS PARA DEPURAR'!D64="N",'DATOS PARA DEPURAR'!E176,0)</f>
        <v>50000000</v>
      </c>
      <c r="M38" s="177"/>
      <c r="N38" s="177"/>
      <c r="O38" s="304">
        <f>IF(((O37)*('DEPURACION POR IMAS EMPLEADO'!K44)-('DATOS PARA DEPURAR'!E332))&gt;0,(O37)*('DEPURACION POR IMAS EMPLEADO'!K44)-('DATOS PARA DEPURAR'!E332),0)</f>
        <v>104385000</v>
      </c>
      <c r="P38" s="310"/>
    </row>
    <row r="39" spans="1:16" ht="17.25" customHeight="1" x14ac:dyDescent="0.2">
      <c r="A39" s="1321"/>
      <c r="B39" s="1320"/>
      <c r="C39" s="278" t="s">
        <v>153</v>
      </c>
      <c r="D39" s="244">
        <f t="shared" si="1"/>
        <v>64</v>
      </c>
      <c r="E39" s="245">
        <f>SUM(E33:E38)</f>
        <v>131305729</v>
      </c>
      <c r="F39" s="1320"/>
      <c r="G39" s="1316" t="s">
        <v>175</v>
      </c>
      <c r="H39" s="1316"/>
      <c r="I39" s="279">
        <f t="shared" si="0"/>
        <v>101</v>
      </c>
      <c r="J39" s="246">
        <f>IF((J32+J36-J33-J34-J35+J38)&gt;0,J32+J36-J33-J34-J35+J38,0)</f>
        <v>268350500.375</v>
      </c>
      <c r="L39" s="311"/>
      <c r="M39" s="177"/>
      <c r="N39" s="177"/>
      <c r="O39" s="177"/>
      <c r="P39" s="312">
        <f>+O38</f>
        <v>104385000</v>
      </c>
    </row>
    <row r="40" spans="1:16" ht="17.25" customHeight="1" x14ac:dyDescent="0.2">
      <c r="A40" s="1323" t="s">
        <v>154</v>
      </c>
      <c r="B40" s="1287"/>
      <c r="C40" s="1287"/>
      <c r="D40" s="181">
        <f t="shared" si="1"/>
        <v>65</v>
      </c>
      <c r="E40" s="242">
        <v>0</v>
      </c>
      <c r="F40" s="1320"/>
      <c r="G40" s="1319" t="s">
        <v>176</v>
      </c>
      <c r="H40" s="1319"/>
      <c r="I40" s="277">
        <f t="shared" si="0"/>
        <v>102</v>
      </c>
      <c r="J40" s="243">
        <f>IF(J33+J34+J35-J32-J36-J38&gt;0,J33+J34+J35-J32-J36-J38,0)</f>
        <v>0</v>
      </c>
      <c r="L40" s="311">
        <v>1</v>
      </c>
      <c r="M40" s="177"/>
      <c r="N40" s="177"/>
      <c r="O40" s="304">
        <f>IF((O41)&gt;0,(O41+O37)/(2),0)</f>
        <v>82000000.5</v>
      </c>
      <c r="P40" s="310">
        <f>IF((O40*'DEPURACION POR IMAS EMPLEADO'!K44)-('DATOS PARA DEPURAR'!E332)&gt;0,(O40*'DEPURACION POR IMAS EMPLEADO'!K44)-('DATOS PARA DEPURAR'!E332),0)</f>
        <v>42885000.375</v>
      </c>
    </row>
    <row r="41" spans="1:16" x14ac:dyDescent="0.2">
      <c r="A41" s="1277" t="s">
        <v>155</v>
      </c>
      <c r="B41" s="1278"/>
      <c r="C41" s="1278"/>
      <c r="D41" s="280">
        <f t="shared" si="1"/>
        <v>66</v>
      </c>
      <c r="E41" s="281">
        <f>IF((E44)&gt;0,E44,0)</f>
        <v>569584223.5</v>
      </c>
      <c r="F41" s="282"/>
      <c r="G41" s="283"/>
      <c r="H41" s="283"/>
      <c r="I41" s="280"/>
      <c r="J41" s="284"/>
      <c r="L41" s="311">
        <v>2</v>
      </c>
      <c r="M41" s="177"/>
      <c r="N41" s="177"/>
      <c r="O41" s="304">
        <f>+'DATOS PARA DEPURAR'!C21</f>
        <v>1</v>
      </c>
      <c r="P41" s="312">
        <f>MIN(P39:P40)</f>
        <v>42885000.375</v>
      </c>
    </row>
    <row r="42" spans="1:16" x14ac:dyDescent="0.2">
      <c r="A42" s="1318" t="str">
        <f>IF(E20&gt;0,C105,C99)</f>
        <v>YAOP</v>
      </c>
      <c r="B42" s="1318"/>
      <c r="C42" s="1318"/>
      <c r="D42" s="1318"/>
      <c r="E42" s="1318"/>
      <c r="F42" s="1318"/>
      <c r="G42" s="1318"/>
      <c r="H42" s="1318"/>
      <c r="I42" s="1318"/>
      <c r="J42" s="1318"/>
      <c r="L42" s="311">
        <v>3</v>
      </c>
      <c r="M42" s="317">
        <f>+'DATOS PARA DEPURAR'!C25/'DATOS PARA DEPURAR'!C24</f>
        <v>82.25238140149014</v>
      </c>
      <c r="N42" s="177"/>
      <c r="O42" s="177">
        <f>LOOKUP(M42,L43:M49,O43:O49)</f>
        <v>1</v>
      </c>
      <c r="P42" s="310">
        <f>IF((P41)&gt;0,P41,P39)</f>
        <v>42885000.375</v>
      </c>
    </row>
    <row r="43" spans="1:16" hidden="1" x14ac:dyDescent="0.2">
      <c r="L43" s="311">
        <v>0</v>
      </c>
      <c r="M43" s="177">
        <f>350-0.01</f>
        <v>349.99</v>
      </c>
      <c r="N43" s="177"/>
      <c r="O43" s="305">
        <v>1</v>
      </c>
      <c r="P43" s="310">
        <f>IF(M42&lt;=M43,O42,0)</f>
        <v>1</v>
      </c>
    </row>
    <row r="44" spans="1:16" hidden="1" x14ac:dyDescent="0.2">
      <c r="C44" s="247" t="s">
        <v>155</v>
      </c>
      <c r="E44" s="184">
        <f>IF(E31&lt;E32,E32+E40-E39,IF(E32&lt;E31,E31-E39+E40,0))</f>
        <v>569584223.5</v>
      </c>
      <c r="J44" s="181"/>
      <c r="L44" s="311">
        <v>350</v>
      </c>
      <c r="M44" s="177">
        <f>410-0.01</f>
        <v>409.99</v>
      </c>
      <c r="N44" s="177"/>
      <c r="O44" s="305">
        <v>0.9</v>
      </c>
      <c r="P44" s="310"/>
    </row>
    <row r="45" spans="1:16" hidden="1" x14ac:dyDescent="0.2">
      <c r="L45" s="311">
        <v>410</v>
      </c>
      <c r="M45" s="177">
        <f>470-0.01</f>
        <v>469.99</v>
      </c>
      <c r="N45" s="177"/>
      <c r="O45" s="305">
        <v>0.8</v>
      </c>
      <c r="P45" s="310"/>
    </row>
    <row r="46" spans="1:16" ht="13.5" hidden="1" thickBot="1" x14ac:dyDescent="0.25">
      <c r="L46" s="311">
        <v>470</v>
      </c>
      <c r="M46" s="177">
        <f>530-0.01</f>
        <v>529.99</v>
      </c>
      <c r="N46" s="177"/>
      <c r="O46" s="305">
        <v>0.6</v>
      </c>
      <c r="P46" s="310"/>
    </row>
    <row r="47" spans="1:16" ht="15.75" hidden="1" thickBot="1" x14ac:dyDescent="0.3">
      <c r="C47" s="285" t="s">
        <v>34</v>
      </c>
      <c r="D47" s="286"/>
      <c r="E47" s="287" t="s">
        <v>75</v>
      </c>
      <c r="F47" s="287"/>
      <c r="H47" s="288" t="s">
        <v>76</v>
      </c>
      <c r="L47" s="311">
        <v>530</v>
      </c>
      <c r="M47" s="177">
        <f>590-0.01</f>
        <v>589.99</v>
      </c>
      <c r="N47" s="177"/>
      <c r="O47" s="305">
        <v>0.4</v>
      </c>
      <c r="P47" s="310"/>
    </row>
    <row r="48" spans="1:16" ht="13.5" hidden="1" thickBot="1" x14ac:dyDescent="0.25">
      <c r="C48" s="289" t="s">
        <v>18</v>
      </c>
      <c r="D48" s="289"/>
      <c r="E48" s="290">
        <f>+J9/'DATOS PARA DEPURAR'!$C$24</f>
        <v>0</v>
      </c>
      <c r="F48" s="290"/>
      <c r="H48" s="291">
        <f>+E48*'DATOS PARA DEPURAR'!$C$24</f>
        <v>0</v>
      </c>
      <c r="L48" s="311">
        <v>590</v>
      </c>
      <c r="M48" s="177">
        <f>650-0.01</f>
        <v>649.99</v>
      </c>
      <c r="N48" s="177"/>
      <c r="O48" s="305">
        <v>0.2</v>
      </c>
      <c r="P48" s="310"/>
    </row>
    <row r="49" spans="3:16" ht="13.5" hidden="1" thickBot="1" x14ac:dyDescent="0.25">
      <c r="C49" s="289" t="s">
        <v>77</v>
      </c>
      <c r="D49" s="289"/>
      <c r="E49" s="290">
        <f>+J20/'DATOS PARA DEPURAR'!$C$24</f>
        <v>0</v>
      </c>
      <c r="F49" s="290"/>
      <c r="H49" s="291">
        <f>+E49*'DATOS PARA DEPURAR'!$C$24</f>
        <v>0</v>
      </c>
      <c r="L49" s="313">
        <v>650</v>
      </c>
      <c r="M49" s="314">
        <v>10000</v>
      </c>
      <c r="N49" s="314"/>
      <c r="O49" s="315">
        <v>0.1</v>
      </c>
      <c r="P49" s="316"/>
    </row>
    <row r="50" spans="3:16" ht="13.5" hidden="1" thickBot="1" x14ac:dyDescent="0.25">
      <c r="C50" s="289" t="s">
        <v>78</v>
      </c>
      <c r="D50" s="289"/>
      <c r="E50" s="171">
        <f>+E53</f>
        <v>0</v>
      </c>
      <c r="F50" s="171"/>
      <c r="H50" s="291">
        <f>+E50*'DATOS PARA DEPURAR'!$C$24</f>
        <v>0</v>
      </c>
    </row>
    <row r="51" spans="3:16" ht="15" hidden="1" x14ac:dyDescent="0.25">
      <c r="C51" s="292"/>
      <c r="D51" s="292"/>
      <c r="E51" s="181"/>
      <c r="F51" s="181"/>
      <c r="H51" s="291">
        <f>+E51*'DATOS PARA DEPURAR'!$C$24</f>
        <v>0</v>
      </c>
      <c r="J51" s="293">
        <v>0</v>
      </c>
      <c r="K51" s="294">
        <v>1547.99</v>
      </c>
      <c r="L51" s="295">
        <v>0</v>
      </c>
    </row>
    <row r="52" spans="3:16" ht="15" hidden="1" x14ac:dyDescent="0.25">
      <c r="J52" s="293">
        <v>1548</v>
      </c>
      <c r="K52" s="296">
        <f>+J53-0.01</f>
        <v>1587.99</v>
      </c>
      <c r="L52" s="295">
        <v>1.05</v>
      </c>
    </row>
    <row r="53" spans="3:16" ht="15" hidden="1" x14ac:dyDescent="0.25">
      <c r="E53" s="184">
        <f>IF(E49&lt;=13642.99,H53,IF(E49&gt;13642.99,(E49*27%)-1622,0))</f>
        <v>0</v>
      </c>
      <c r="H53" s="184">
        <f>LOOKUP(E49,J51:K135,L51:L135)</f>
        <v>0</v>
      </c>
      <c r="J53" s="293">
        <v>1588</v>
      </c>
      <c r="K53" s="296">
        <f t="shared" ref="K53:K116" si="2">+J54-0.01</f>
        <v>1628.99</v>
      </c>
      <c r="L53" s="295">
        <v>1.08</v>
      </c>
    </row>
    <row r="54" spans="3:16" ht="15" hidden="1" x14ac:dyDescent="0.25">
      <c r="C54" s="297">
        <f>+E49-1622</f>
        <v>-1622</v>
      </c>
      <c r="J54" s="293">
        <v>1629</v>
      </c>
      <c r="K54" s="296">
        <f t="shared" si="2"/>
        <v>1669.99</v>
      </c>
      <c r="L54" s="295">
        <v>1.1100000000000001</v>
      </c>
    </row>
    <row r="55" spans="3:16" ht="15" hidden="1" x14ac:dyDescent="0.25">
      <c r="C55" s="184">
        <f>+C54*0.27</f>
        <v>-437.94000000000005</v>
      </c>
      <c r="J55" s="293">
        <v>1670</v>
      </c>
      <c r="K55" s="296">
        <f t="shared" si="2"/>
        <v>1709.99</v>
      </c>
      <c r="L55" s="295">
        <v>1.1399999999999999</v>
      </c>
    </row>
    <row r="56" spans="3:16" ht="15" hidden="1" x14ac:dyDescent="0.25">
      <c r="C56" s="184">
        <f>C55*26841</f>
        <v>-11754747.540000001</v>
      </c>
      <c r="J56" s="293">
        <v>1710</v>
      </c>
      <c r="K56" s="296">
        <f t="shared" si="2"/>
        <v>1750.99</v>
      </c>
      <c r="L56" s="295">
        <v>1.1599999999999999</v>
      </c>
    </row>
    <row r="57" spans="3:16" ht="15" hidden="1" x14ac:dyDescent="0.25">
      <c r="J57" s="293">
        <v>1751</v>
      </c>
      <c r="K57" s="296">
        <f t="shared" si="2"/>
        <v>1791.99</v>
      </c>
      <c r="L57" s="295">
        <v>2.38</v>
      </c>
    </row>
    <row r="58" spans="3:16" ht="15" hidden="1" x14ac:dyDescent="0.25">
      <c r="J58" s="293">
        <v>1792</v>
      </c>
      <c r="K58" s="296">
        <f t="shared" si="2"/>
        <v>1832.99</v>
      </c>
      <c r="L58" s="295">
        <v>2.4300000000000002</v>
      </c>
    </row>
    <row r="59" spans="3:16" ht="15" hidden="1" x14ac:dyDescent="0.25">
      <c r="C59" s="184" t="s">
        <v>320</v>
      </c>
      <c r="J59" s="293">
        <v>1833</v>
      </c>
      <c r="K59" s="296">
        <f t="shared" si="2"/>
        <v>1872.99</v>
      </c>
      <c r="L59" s="295">
        <v>2.4900000000000002</v>
      </c>
    </row>
    <row r="60" spans="3:16" ht="15" hidden="1" x14ac:dyDescent="0.25">
      <c r="C60" s="298">
        <f>3800*'DATOS PARA DEPURAR'!C24</f>
        <v>161165600</v>
      </c>
      <c r="J60" s="293">
        <v>1873</v>
      </c>
      <c r="K60" s="296">
        <f t="shared" si="2"/>
        <v>1913.99</v>
      </c>
      <c r="L60" s="295">
        <v>4.76</v>
      </c>
    </row>
    <row r="61" spans="3:16" ht="15" hidden="1" x14ac:dyDescent="0.25">
      <c r="C61" s="298">
        <f>(SUM('DATOS PARA DEPURAR'!E52:E55)+('DATOS PARA DEPURAR'!E29))*0.3</f>
        <v>117825600</v>
      </c>
      <c r="J61" s="293">
        <v>1914</v>
      </c>
      <c r="K61" s="296">
        <f t="shared" si="2"/>
        <v>1954.99</v>
      </c>
      <c r="L61" s="295">
        <v>4.8600000000000003</v>
      </c>
    </row>
    <row r="62" spans="3:16" ht="15" hidden="1" x14ac:dyDescent="0.25">
      <c r="C62" s="299">
        <f>MIN(C60:C61)</f>
        <v>117825600</v>
      </c>
      <c r="J62" s="293">
        <v>1955</v>
      </c>
      <c r="K62" s="296">
        <f t="shared" si="2"/>
        <v>1995.99</v>
      </c>
      <c r="L62" s="295">
        <v>4.96</v>
      </c>
    </row>
    <row r="63" spans="3:16" ht="15" hidden="1" x14ac:dyDescent="0.25">
      <c r="J63" s="293">
        <v>1996</v>
      </c>
      <c r="K63" s="296">
        <f t="shared" si="2"/>
        <v>2035.99</v>
      </c>
      <c r="L63" s="295">
        <v>8.43</v>
      </c>
    </row>
    <row r="64" spans="3:16" ht="15" hidden="1" x14ac:dyDescent="0.25">
      <c r="C64" s="247" t="s">
        <v>321</v>
      </c>
      <c r="J64" s="293">
        <v>2036</v>
      </c>
      <c r="K64" s="296">
        <f t="shared" si="2"/>
        <v>2117.9899999999998</v>
      </c>
      <c r="L64" s="295">
        <v>8.7100000000000009</v>
      </c>
    </row>
    <row r="65" spans="3:12" ht="15" hidden="1" x14ac:dyDescent="0.25">
      <c r="C65" s="298">
        <f>IF(SUM('DATOS PARA DEPURAR'!D286:D291)&lt;=('DATOS PARA DEPURAR'!E286),('DATOS PARA DEPURAR'!D291),IF(SUM('DATOS PARA DEPURAR'!D286:D291)&gt;('DATOS PARA DEPURAR'!E286),('DATOS PARA DEPURAR'!E286-'DATOS PARA DEPURAR'!D286-'DATOS PARA DEPURAR'!D288),0))</f>
        <v>0</v>
      </c>
      <c r="J65" s="293">
        <v>2118</v>
      </c>
      <c r="K65" s="296">
        <f t="shared" si="2"/>
        <v>2198.9899999999998</v>
      </c>
      <c r="L65" s="295">
        <v>13.74</v>
      </c>
    </row>
    <row r="66" spans="3:12" ht="15" hidden="1" x14ac:dyDescent="0.25">
      <c r="C66" s="247" t="s">
        <v>322</v>
      </c>
      <c r="J66" s="293">
        <v>2199</v>
      </c>
      <c r="K66" s="296">
        <f t="shared" si="2"/>
        <v>2280.9899999999998</v>
      </c>
      <c r="L66" s="295">
        <v>14.26</v>
      </c>
    </row>
    <row r="67" spans="3:12" ht="15" hidden="1" x14ac:dyDescent="0.25">
      <c r="C67" s="248">
        <f>IF(SUM('DATOS PARA DEPURAR'!D286:D288)&lt;=('DATOS PARA DEPURAR'!E286+'DATOS PARA DEPURAR'!D287),'DATOS PARA DEPURAR'!D288,'DATOS PARA DEPURAR'!E286-'DATOS PARA DEPURAR'!D286-'DATOS PARA DEPURAR'!D287)</f>
        <v>0</v>
      </c>
      <c r="J67" s="293">
        <v>2281</v>
      </c>
      <c r="K67" s="296">
        <f t="shared" si="2"/>
        <v>2361.9899999999998</v>
      </c>
      <c r="L67" s="295">
        <v>19.809999999999999</v>
      </c>
    </row>
    <row r="68" spans="3:12" ht="15" hidden="1" x14ac:dyDescent="0.25">
      <c r="C68" s="248">
        <f>+'DATOS PARA DEPURAR'!D288</f>
        <v>0</v>
      </c>
      <c r="J68" s="293">
        <v>2362</v>
      </c>
      <c r="K68" s="296">
        <f t="shared" si="2"/>
        <v>2442.9899999999998</v>
      </c>
      <c r="L68" s="295">
        <v>25.7</v>
      </c>
    </row>
    <row r="69" spans="3:12" ht="15" hidden="1" x14ac:dyDescent="0.25">
      <c r="C69" s="251">
        <f>MIN(C67:C68)</f>
        <v>0</v>
      </c>
      <c r="E69" s="247" t="s">
        <v>323</v>
      </c>
      <c r="J69" s="293">
        <v>2443</v>
      </c>
      <c r="K69" s="296">
        <f t="shared" si="2"/>
        <v>2524.9899999999998</v>
      </c>
      <c r="L69" s="295">
        <v>26.57</v>
      </c>
    </row>
    <row r="70" spans="3:12" ht="15" hidden="1" x14ac:dyDescent="0.25">
      <c r="J70" s="293">
        <v>2525</v>
      </c>
      <c r="K70" s="296">
        <f t="shared" si="2"/>
        <v>2605.9899999999998</v>
      </c>
      <c r="L70" s="295">
        <v>35.56</v>
      </c>
    </row>
    <row r="71" spans="3:12" ht="15" hidden="1" x14ac:dyDescent="0.25">
      <c r="C71" s="248">
        <f>IF(('DATOS PARA DEPURAR'!D291&lt;=0),('DEPURACION ORDINARIO 2017'!C69),0)</f>
        <v>0</v>
      </c>
      <c r="J71" s="293">
        <v>2606</v>
      </c>
      <c r="K71" s="296">
        <f t="shared" si="2"/>
        <v>2687.99</v>
      </c>
      <c r="L71" s="295">
        <v>45.05</v>
      </c>
    </row>
    <row r="72" spans="3:12" ht="15" hidden="1" x14ac:dyDescent="0.25">
      <c r="C72" s="298">
        <f>IF(SUM('DATOS PARA DEPURAR'!D286:D291)&gt;('DATOS PARA DEPURAR'!E286),('DEPURACION ORDINARIO 2017'!C69),('DATOS PARA DEPURAR'!D288))</f>
        <v>0</v>
      </c>
      <c r="J72" s="293">
        <v>2688</v>
      </c>
      <c r="K72" s="296">
        <f t="shared" si="2"/>
        <v>2768.99</v>
      </c>
      <c r="L72" s="295">
        <v>46.43</v>
      </c>
    </row>
    <row r="73" spans="3:12" ht="15" hidden="1" x14ac:dyDescent="0.25">
      <c r="C73" s="251">
        <f>IF(C71&gt;C72,(MIN(C71:C72)),C72)</f>
        <v>0</v>
      </c>
      <c r="H73" s="370">
        <f>IF(('DATOS PARA DEPURAR'!E22)=2,('DATOS PARA DEPURAR'!C20/'DATOS PARA DEPURAR'!E20),IF(('DATOS PARA DEPURAR'!E22)=3,('DATOS PARA DEPURAR'!C20/'DATOS PARA DEPURAR'!E20),0))</f>
        <v>0</v>
      </c>
      <c r="J73" s="293">
        <v>2769</v>
      </c>
      <c r="K73" s="296">
        <f t="shared" si="2"/>
        <v>2850.99</v>
      </c>
      <c r="L73" s="295">
        <v>55.58</v>
      </c>
    </row>
    <row r="74" spans="3:12" ht="15" hidden="1" x14ac:dyDescent="0.25">
      <c r="H74" s="370">
        <f>IF(H73&gt;0,H73,0)</f>
        <v>0</v>
      </c>
      <c r="J74" s="293">
        <v>2851</v>
      </c>
      <c r="K74" s="296">
        <f t="shared" si="2"/>
        <v>2931.99</v>
      </c>
      <c r="L74" s="295">
        <v>60.7</v>
      </c>
    </row>
    <row r="75" spans="3:12" ht="15.75" hidden="1" x14ac:dyDescent="0.25">
      <c r="C75" s="300" t="s">
        <v>344</v>
      </c>
      <c r="J75" s="293">
        <v>2932</v>
      </c>
      <c r="K75" s="296">
        <f t="shared" si="2"/>
        <v>3013.99</v>
      </c>
      <c r="L75" s="295">
        <v>66.02</v>
      </c>
    </row>
    <row r="76" spans="3:12" ht="15" hidden="1" x14ac:dyDescent="0.25">
      <c r="C76" s="247" t="s">
        <v>345</v>
      </c>
      <c r="E76" s="184">
        <f>IF(('PATRIMONIO BRUTO'!D28)="S",('PATRIMONIO BRUTO'!E28),0)</f>
        <v>3288899</v>
      </c>
      <c r="H76" s="184">
        <f>IF(($H$74)&gt;0,$H$74*E76,0)</f>
        <v>0</v>
      </c>
      <c r="J76" s="293">
        <v>3014</v>
      </c>
      <c r="K76" s="296">
        <f t="shared" si="2"/>
        <v>3094.99</v>
      </c>
      <c r="L76" s="295">
        <v>71.540000000000006</v>
      </c>
    </row>
    <row r="77" spans="3:12" ht="15" hidden="1" x14ac:dyDescent="0.25">
      <c r="C77" s="247" t="s">
        <v>346</v>
      </c>
      <c r="E77" s="184">
        <f>IF(('PATRIMONIO BRUTO'!D30)="S",('PATRIMONIO BRUTO'!E30),0)</f>
        <v>23444444</v>
      </c>
      <c r="H77" s="184">
        <f>IF(($H$74)&gt;0,$H$74*E77,0)</f>
        <v>0</v>
      </c>
      <c r="J77" s="293">
        <v>3095</v>
      </c>
      <c r="K77" s="296">
        <f t="shared" si="2"/>
        <v>3176.99</v>
      </c>
      <c r="L77" s="295">
        <v>77.239999999999995</v>
      </c>
    </row>
    <row r="78" spans="3:12" ht="15" hidden="1" x14ac:dyDescent="0.25">
      <c r="C78" s="247" t="s">
        <v>292</v>
      </c>
      <c r="E78" s="184">
        <f>IF(('PATRIMONIO BRUTO'!E51)&gt;0,('PATRIMONIO BRUTO'!E51),0)</f>
        <v>0</v>
      </c>
      <c r="H78" s="184">
        <f>IF((E78)&lt;=((8000)*('DATOS PARA DEPURAR'!C24)),E78,(8000*'DATOS PARA DEPURAR'!C24))</f>
        <v>0</v>
      </c>
      <c r="J78" s="293">
        <v>3177</v>
      </c>
      <c r="K78" s="296">
        <f t="shared" si="2"/>
        <v>3257.99</v>
      </c>
      <c r="L78" s="295">
        <v>83.14</v>
      </c>
    </row>
    <row r="79" spans="3:12" ht="15" hidden="1" x14ac:dyDescent="0.25">
      <c r="C79" s="275" t="s">
        <v>294</v>
      </c>
      <c r="E79" s="184">
        <f>IF(('PATRIMONIO BRUTO'!E60)&gt;0,('PATRIMONIO BRUTO'!E60),0)</f>
        <v>0</v>
      </c>
      <c r="H79" s="184">
        <f>IF(SUM(E79:E81)&lt;=(19000*'DATOS PARA DEPURAR'!C24),(SUM(E79:E81)),(19000*'DATOS PARA DEPURAR'!C24))</f>
        <v>0</v>
      </c>
      <c r="J79" s="293">
        <v>3258</v>
      </c>
      <c r="K79" s="296">
        <f t="shared" si="2"/>
        <v>3338.99</v>
      </c>
      <c r="L79" s="295">
        <v>89.23</v>
      </c>
    </row>
    <row r="80" spans="3:12" ht="15" hidden="1" x14ac:dyDescent="0.25">
      <c r="C80" s="275" t="s">
        <v>294</v>
      </c>
      <c r="E80" s="184">
        <f>IF(('PATRIMONIO BRUTO'!E61)&gt;0,('PATRIMONIO BRUTO'!E61),0)</f>
        <v>0</v>
      </c>
      <c r="J80" s="293">
        <v>3339</v>
      </c>
      <c r="K80" s="296">
        <f t="shared" si="2"/>
        <v>3420.99</v>
      </c>
      <c r="L80" s="295">
        <v>95.51</v>
      </c>
    </row>
    <row r="81" spans="3:12" ht="15" hidden="1" x14ac:dyDescent="0.25">
      <c r="C81" s="275" t="s">
        <v>335</v>
      </c>
      <c r="E81" s="184">
        <f>IF(('PATRIMONIO BRUTO'!E86)&gt;0,('PATRIMONIO BRUTO'!E86),0)</f>
        <v>0</v>
      </c>
      <c r="J81" s="293">
        <v>3421</v>
      </c>
      <c r="K81" s="296">
        <f t="shared" si="2"/>
        <v>3501.99</v>
      </c>
      <c r="L81" s="295">
        <v>101.98</v>
      </c>
    </row>
    <row r="82" spans="3:12" ht="15" hidden="1" x14ac:dyDescent="0.25">
      <c r="H82" s="298">
        <f>SUM(H76:H81)</f>
        <v>0</v>
      </c>
      <c r="J82" s="293">
        <v>3502</v>
      </c>
      <c r="K82" s="296">
        <f t="shared" si="2"/>
        <v>3583.99</v>
      </c>
      <c r="L82" s="295">
        <v>108.64</v>
      </c>
    </row>
    <row r="83" spans="3:12" ht="15.75" hidden="1" x14ac:dyDescent="0.25">
      <c r="C83" s="301">
        <f>IF((H83-H82)&gt;0,(H83-H82)*3%,0)</f>
        <v>3000000</v>
      </c>
      <c r="H83" s="248">
        <f>+'DATOS PARA DEPURAR'!E20</f>
        <v>100000000</v>
      </c>
      <c r="J83" s="293">
        <v>3584</v>
      </c>
      <c r="K83" s="296">
        <f t="shared" si="2"/>
        <v>3664.99</v>
      </c>
      <c r="L83" s="295">
        <v>115.49</v>
      </c>
    </row>
    <row r="84" spans="3:12" ht="15" hidden="1" x14ac:dyDescent="0.25">
      <c r="J84" s="293">
        <v>3665</v>
      </c>
      <c r="K84" s="296">
        <f t="shared" si="2"/>
        <v>3746.99</v>
      </c>
      <c r="L84" s="295">
        <v>122.54</v>
      </c>
    </row>
    <row r="85" spans="3:12" ht="15" hidden="1" x14ac:dyDescent="0.25">
      <c r="J85" s="293">
        <v>3747</v>
      </c>
      <c r="K85" s="296">
        <f t="shared" si="2"/>
        <v>3827.99</v>
      </c>
      <c r="L85" s="295">
        <v>129.76</v>
      </c>
    </row>
    <row r="86" spans="3:12" ht="15" hidden="1" x14ac:dyDescent="0.25">
      <c r="C86" s="269" t="s">
        <v>349</v>
      </c>
      <c r="J86" s="293">
        <v>3828</v>
      </c>
      <c r="K86" s="296">
        <f t="shared" si="2"/>
        <v>3909.99</v>
      </c>
      <c r="L86" s="295">
        <v>137.18</v>
      </c>
    </row>
    <row r="87" spans="3:12" ht="15" hidden="1" x14ac:dyDescent="0.25">
      <c r="C87" s="247" t="s">
        <v>344</v>
      </c>
      <c r="E87" s="184">
        <f>+'DATOS PARA DEPURAR'!C23</f>
        <v>0</v>
      </c>
      <c r="H87" s="184">
        <f>IF((E28)&gt;=E87,E87,E28)</f>
        <v>0</v>
      </c>
      <c r="J87" s="293">
        <v>3910</v>
      </c>
      <c r="K87" s="296">
        <f t="shared" si="2"/>
        <v>3990.99</v>
      </c>
      <c r="L87" s="295">
        <v>144.78</v>
      </c>
    </row>
    <row r="88" spans="3:12" ht="16.5" hidden="1" x14ac:dyDescent="0.25">
      <c r="C88" s="302" t="s">
        <v>351</v>
      </c>
      <c r="J88" s="293">
        <v>3991</v>
      </c>
      <c r="K88" s="296">
        <f t="shared" si="2"/>
        <v>4071.99</v>
      </c>
      <c r="L88" s="295">
        <v>152.58000000000001</v>
      </c>
    </row>
    <row r="89" spans="3:12" ht="15" hidden="1" x14ac:dyDescent="0.25">
      <c r="J89" s="293">
        <v>4072</v>
      </c>
      <c r="K89" s="296">
        <f t="shared" si="2"/>
        <v>4275.99</v>
      </c>
      <c r="L89" s="295">
        <v>168.71</v>
      </c>
    </row>
    <row r="90" spans="3:12" ht="15" hidden="1" x14ac:dyDescent="0.25">
      <c r="J90" s="293">
        <v>4276</v>
      </c>
      <c r="K90" s="296">
        <f t="shared" si="2"/>
        <v>4479.99</v>
      </c>
      <c r="L90" s="295">
        <v>189.92</v>
      </c>
    </row>
    <row r="91" spans="3:12" ht="15" hidden="1" x14ac:dyDescent="0.25">
      <c r="J91" s="293">
        <v>4480</v>
      </c>
      <c r="K91" s="296">
        <f t="shared" si="2"/>
        <v>4682.99</v>
      </c>
      <c r="L91" s="295">
        <v>212.27</v>
      </c>
    </row>
    <row r="92" spans="3:12" ht="15" hidden="1" x14ac:dyDescent="0.25">
      <c r="J92" s="293">
        <v>4683</v>
      </c>
      <c r="K92" s="296">
        <f t="shared" si="2"/>
        <v>4886.99</v>
      </c>
      <c r="L92" s="295">
        <v>235.75</v>
      </c>
    </row>
    <row r="93" spans="3:12" ht="15" hidden="1" x14ac:dyDescent="0.25">
      <c r="J93" s="293">
        <v>4887</v>
      </c>
      <c r="K93" s="296">
        <f t="shared" si="2"/>
        <v>5090.99</v>
      </c>
      <c r="L93" s="295">
        <v>260.33999999999997</v>
      </c>
    </row>
    <row r="94" spans="3:12" ht="15" hidden="1" x14ac:dyDescent="0.25">
      <c r="J94" s="293">
        <v>5091</v>
      </c>
      <c r="K94" s="296">
        <f t="shared" si="2"/>
        <v>5293.99</v>
      </c>
      <c r="L94" s="295">
        <v>286.02999999999997</v>
      </c>
    </row>
    <row r="95" spans="3:12" ht="15" hidden="1" x14ac:dyDescent="0.25">
      <c r="J95" s="293">
        <v>5294</v>
      </c>
      <c r="K95" s="296">
        <f t="shared" si="2"/>
        <v>5497.99</v>
      </c>
      <c r="L95" s="295">
        <v>312.81</v>
      </c>
    </row>
    <row r="96" spans="3:12" ht="15" hidden="1" x14ac:dyDescent="0.25">
      <c r="C96" s="2">
        <f>+J40</f>
        <v>0</v>
      </c>
      <c r="D96">
        <f>+E96*-1</f>
        <v>465000</v>
      </c>
      <c r="E96">
        <f>IF('DATOS PARA DEPURAR'!C14&lt;=0,'DATOS PARA DEPURAR'!C14,0)</f>
        <v>-465000</v>
      </c>
      <c r="F96" s="47"/>
      <c r="J96" s="293">
        <v>5498</v>
      </c>
      <c r="K96" s="296">
        <f t="shared" si="2"/>
        <v>5700.99</v>
      </c>
      <c r="L96" s="295">
        <v>340.66</v>
      </c>
    </row>
    <row r="97" spans="3:12" ht="15" hidden="1" x14ac:dyDescent="0.25">
      <c r="C97" s="2">
        <f>IF((J32+J36-J33-J34-J35)&gt;0,J32+J36-J33-J34-J35,0)</f>
        <v>268350500.375</v>
      </c>
      <c r="D97" s="362">
        <f>IF('DATOS PARA DEPURAR'!C14&gt;0,'DATOS PARA DEPURAR'!C14,0)</f>
        <v>0</v>
      </c>
      <c r="E97"/>
      <c r="F97" s="47"/>
      <c r="J97" s="293">
        <v>5701</v>
      </c>
      <c r="K97" s="296">
        <f t="shared" si="2"/>
        <v>5904.99</v>
      </c>
      <c r="L97" s="295">
        <v>369.57</v>
      </c>
    </row>
    <row r="98" spans="3:12" ht="15" hidden="1" x14ac:dyDescent="0.25">
      <c r="C98" s="1279" t="s">
        <v>445</v>
      </c>
      <c r="D98" s="1241"/>
      <c r="E98"/>
      <c r="F98" s="47"/>
      <c r="J98" s="293">
        <v>5905</v>
      </c>
      <c r="K98" s="296">
        <f t="shared" si="2"/>
        <v>6108.99</v>
      </c>
      <c r="L98" s="295">
        <v>399.52</v>
      </c>
    </row>
    <row r="99" spans="3:12" ht="15" hidden="1" x14ac:dyDescent="0.25">
      <c r="C99" s="37" t="s">
        <v>446</v>
      </c>
      <c r="D99"/>
      <c r="E99"/>
      <c r="F99" s="47"/>
      <c r="J99" s="293">
        <v>6109</v>
      </c>
      <c r="K99" s="296">
        <f t="shared" si="2"/>
        <v>6311.99</v>
      </c>
      <c r="L99" s="295">
        <v>430.49</v>
      </c>
    </row>
    <row r="100" spans="3:12" ht="15" hidden="1" x14ac:dyDescent="0.25">
      <c r="C100" t="str">
        <f>IF(C96&gt;D96,C98,C99)</f>
        <v>YAOP</v>
      </c>
      <c r="D100"/>
      <c r="E100"/>
      <c r="F100" s="47"/>
      <c r="J100" s="293">
        <v>6312</v>
      </c>
      <c r="K100" s="296">
        <f t="shared" si="2"/>
        <v>6515.99</v>
      </c>
      <c r="L100" s="295">
        <v>462.46</v>
      </c>
    </row>
    <row r="101" spans="3:12" ht="15" hidden="1" x14ac:dyDescent="0.25">
      <c r="C101" t="str">
        <f>IF(C97&gt;D97,C98,C99)</f>
        <v>ESTA DECLARACION DEBE REALIZARSE SEGÚN ART 589 E.T.</v>
      </c>
      <c r="D101"/>
      <c r="E101" t="str">
        <f>IF(C96&gt;=0,IF(D97&gt;=0,C102,IF(C96&gt;=0,IF(D96&gt;=0,C100,IF(C97&gt;=0,IF(D97&gt;=0,C101,0))))))</f>
        <v>ESTA DECLARACION DEBE REALIZARSE SEGÚN ART 589 E.T.</v>
      </c>
      <c r="F101" s="47"/>
      <c r="J101" s="293">
        <v>6516</v>
      </c>
      <c r="K101" s="296">
        <f t="shared" si="2"/>
        <v>6719.99</v>
      </c>
      <c r="L101" s="295">
        <v>495.43</v>
      </c>
    </row>
    <row r="102" spans="3:12" ht="15" hidden="1" x14ac:dyDescent="0.25">
      <c r="C102" t="str">
        <f>IF(C96&gt;=0,IF(D97&gt;=0,C98,C99))</f>
        <v>ESTA DECLARACION DEBE REALIZARSE SEGÚN ART 589 E.T.</v>
      </c>
      <c r="D102"/>
      <c r="E102"/>
      <c r="F102" s="47"/>
      <c r="J102" s="293">
        <v>6720</v>
      </c>
      <c r="K102" s="296">
        <f t="shared" si="2"/>
        <v>6922.99</v>
      </c>
      <c r="L102" s="295">
        <v>529.36</v>
      </c>
    </row>
    <row r="103" spans="3:12" ht="15" hidden="1" x14ac:dyDescent="0.25">
      <c r="J103" s="293">
        <v>6923</v>
      </c>
      <c r="K103" s="296">
        <f t="shared" si="2"/>
        <v>7126.99</v>
      </c>
      <c r="L103" s="295">
        <v>564.23</v>
      </c>
    </row>
    <row r="104" spans="3:12" ht="15" hidden="1" x14ac:dyDescent="0.25">
      <c r="J104" s="293">
        <v>7127</v>
      </c>
      <c r="K104" s="296">
        <f t="shared" si="2"/>
        <v>7329.99</v>
      </c>
      <c r="L104" s="295">
        <v>600.04</v>
      </c>
    </row>
    <row r="105" spans="3:12" ht="15" hidden="1" x14ac:dyDescent="0.25">
      <c r="C105" s="184" t="str">
        <f>IF('DATOS PARA DEPURAR'!C13="S",E101,C99)</f>
        <v>YAOP</v>
      </c>
      <c r="J105" s="293">
        <v>7330</v>
      </c>
      <c r="K105" s="296">
        <f t="shared" si="2"/>
        <v>7533.99</v>
      </c>
      <c r="L105" s="295">
        <v>636.75</v>
      </c>
    </row>
    <row r="106" spans="3:12" ht="15" hidden="1" x14ac:dyDescent="0.25">
      <c r="J106" s="293">
        <v>7534</v>
      </c>
      <c r="K106" s="296">
        <f t="shared" si="2"/>
        <v>7737.99</v>
      </c>
      <c r="L106" s="295">
        <v>674.35</v>
      </c>
    </row>
    <row r="107" spans="3:12" ht="15" hidden="1" x14ac:dyDescent="0.25">
      <c r="J107" s="293">
        <v>7738</v>
      </c>
      <c r="K107" s="296">
        <f t="shared" si="2"/>
        <v>7940.99</v>
      </c>
      <c r="L107" s="295">
        <v>712.8</v>
      </c>
    </row>
    <row r="108" spans="3:12" ht="15" hidden="1" x14ac:dyDescent="0.25">
      <c r="C108" s="247" t="s">
        <v>458</v>
      </c>
      <c r="J108" s="293">
        <v>7941</v>
      </c>
      <c r="K108" s="296">
        <f t="shared" si="2"/>
        <v>8144.99</v>
      </c>
      <c r="L108" s="295">
        <v>752.1</v>
      </c>
    </row>
    <row r="109" spans="3:12" ht="15.75" hidden="1" thickBot="1" x14ac:dyDescent="0.3">
      <c r="J109" s="293">
        <v>8145</v>
      </c>
      <c r="K109" s="296">
        <f t="shared" si="2"/>
        <v>8348.99</v>
      </c>
      <c r="L109" s="295">
        <v>792.22</v>
      </c>
    </row>
    <row r="110" spans="3:12" ht="15" hidden="1" x14ac:dyDescent="0.25">
      <c r="C110" s="256" t="s">
        <v>8</v>
      </c>
      <c r="D110" s="257"/>
      <c r="H110" s="258" t="s">
        <v>10</v>
      </c>
      <c r="J110" s="293">
        <v>8349</v>
      </c>
      <c r="K110" s="296">
        <f t="shared" si="2"/>
        <v>8551.99</v>
      </c>
      <c r="L110" s="295">
        <v>833.12</v>
      </c>
    </row>
    <row r="111" spans="3:12" ht="15.75" hidden="1" thickBot="1" x14ac:dyDescent="0.3">
      <c r="C111" s="1266">
        <f>+E32/H111</f>
        <v>70.734697727058375</v>
      </c>
      <c r="D111" s="1267"/>
      <c r="H111" s="259">
        <f>+'DATOS PARA DEPURAR'!C24</f>
        <v>42412</v>
      </c>
      <c r="J111" s="293">
        <v>8552</v>
      </c>
      <c r="K111" s="296">
        <f t="shared" si="2"/>
        <v>8755.99</v>
      </c>
      <c r="L111" s="295">
        <v>874.79</v>
      </c>
    </row>
    <row r="112" spans="3:12" ht="15.75" hidden="1" thickBot="1" x14ac:dyDescent="0.3">
      <c r="D112" s="184"/>
      <c r="J112" s="293">
        <v>8756</v>
      </c>
      <c r="K112" s="296">
        <f t="shared" si="2"/>
        <v>8958.99</v>
      </c>
      <c r="L112" s="295">
        <v>917.21</v>
      </c>
    </row>
    <row r="113" spans="3:12" ht="15" hidden="1" x14ac:dyDescent="0.25">
      <c r="C113" s="262">
        <v>0</v>
      </c>
      <c r="E113" s="263">
        <v>1090</v>
      </c>
      <c r="H113" s="264">
        <f>IF(C111&lt;=1090,0)</f>
        <v>0</v>
      </c>
      <c r="J113" s="293">
        <v>8959</v>
      </c>
      <c r="K113" s="296">
        <f t="shared" si="2"/>
        <v>9162.99</v>
      </c>
      <c r="L113" s="295">
        <v>960.34</v>
      </c>
    </row>
    <row r="114" spans="3:12" ht="15" hidden="1" x14ac:dyDescent="0.25">
      <c r="C114" s="265" t="s">
        <v>169</v>
      </c>
      <c r="E114" s="266">
        <v>1700</v>
      </c>
      <c r="H114" s="267" t="b">
        <f>IF(C111&gt;1090,(IF(C111&lt;=1700,ROUND((((+C111-1090)*19%)*H111),-3),0)),FALSE)</f>
        <v>0</v>
      </c>
      <c r="J114" s="293">
        <v>9163</v>
      </c>
      <c r="K114" s="296">
        <f t="shared" si="2"/>
        <v>9366.99</v>
      </c>
      <c r="L114" s="303">
        <v>1004.16</v>
      </c>
    </row>
    <row r="115" spans="3:12" ht="15" hidden="1" x14ac:dyDescent="0.25">
      <c r="C115" s="265" t="s">
        <v>170</v>
      </c>
      <c r="E115" s="266">
        <v>4100</v>
      </c>
      <c r="H115" s="267" t="b">
        <f>IF(C111&gt;1700,IF(C111&lt;=4100,ROUND((((+C111-1700)*28%+116)*H111),-3),0))</f>
        <v>0</v>
      </c>
      <c r="J115" s="293">
        <v>9367</v>
      </c>
      <c r="K115" s="296">
        <f t="shared" si="2"/>
        <v>9569.99</v>
      </c>
      <c r="L115" s="303">
        <v>1048.6400000000001</v>
      </c>
    </row>
    <row r="116" spans="3:12" ht="15.75" hidden="1" thickBot="1" x14ac:dyDescent="0.3">
      <c r="C116" s="270" t="s">
        <v>171</v>
      </c>
      <c r="E116" s="271"/>
      <c r="H116" s="272">
        <f>IF(C111&gt;4100,ROUND((((+C111-4100)*33%)*H111)+(788*H111),-3),0)</f>
        <v>0</v>
      </c>
      <c r="J116" s="293">
        <v>9570</v>
      </c>
      <c r="K116" s="296">
        <f t="shared" si="2"/>
        <v>9773.99</v>
      </c>
      <c r="L116" s="303">
        <v>1093.75</v>
      </c>
    </row>
    <row r="117" spans="3:12" ht="15.75" hidden="1" thickBot="1" x14ac:dyDescent="0.3">
      <c r="D117" s="184"/>
      <c r="J117" s="293">
        <v>9774</v>
      </c>
      <c r="K117" s="296">
        <f t="shared" ref="K117:K134" si="3">+J118-0.01</f>
        <v>9977.99</v>
      </c>
      <c r="L117" s="303">
        <v>1139.48</v>
      </c>
    </row>
    <row r="118" spans="3:12" ht="15" hidden="1" x14ac:dyDescent="0.25">
      <c r="C118" s="1268" t="s">
        <v>172</v>
      </c>
      <c r="D118" s="1269"/>
      <c r="J118" s="293">
        <v>9978</v>
      </c>
      <c r="K118" s="296">
        <f t="shared" si="3"/>
        <v>10180.99</v>
      </c>
      <c r="L118" s="303">
        <v>1185.78</v>
      </c>
    </row>
    <row r="119" spans="3:12" ht="15.75" hidden="1" thickBot="1" x14ac:dyDescent="0.3">
      <c r="C119" s="1270">
        <f>IF(H113=0,H113,IF(H114&gt;0,H114,IF(H115&gt;0,H115,IF(H116&gt;0,H116))))</f>
        <v>0</v>
      </c>
      <c r="D119" s="1271"/>
      <c r="J119" s="293">
        <v>10181</v>
      </c>
      <c r="K119" s="296">
        <f t="shared" si="3"/>
        <v>10384.99</v>
      </c>
      <c r="L119" s="303">
        <v>1232.6199999999999</v>
      </c>
    </row>
    <row r="120" spans="3:12" ht="15" hidden="1" x14ac:dyDescent="0.25">
      <c r="J120" s="293">
        <v>10385</v>
      </c>
      <c r="K120" s="296">
        <f t="shared" si="3"/>
        <v>10587.99</v>
      </c>
      <c r="L120" s="303">
        <v>1279.99</v>
      </c>
    </row>
    <row r="121" spans="3:12" ht="15" hidden="1" x14ac:dyDescent="0.25">
      <c r="J121" s="293">
        <v>10588</v>
      </c>
      <c r="K121" s="296">
        <f t="shared" si="3"/>
        <v>10791.99</v>
      </c>
      <c r="L121" s="303">
        <v>1327.85</v>
      </c>
    </row>
    <row r="122" spans="3:12" ht="15" hidden="1" x14ac:dyDescent="0.25">
      <c r="C122" s="247" t="s">
        <v>459</v>
      </c>
      <c r="J122" s="293">
        <v>10792</v>
      </c>
      <c r="K122" s="296">
        <f t="shared" si="3"/>
        <v>10995.99</v>
      </c>
      <c r="L122" s="303">
        <v>1376.16</v>
      </c>
    </row>
    <row r="123" spans="3:12" ht="15" hidden="1" x14ac:dyDescent="0.25">
      <c r="C123" s="298">
        <f>MAX(I22:J23)</f>
        <v>164000000</v>
      </c>
      <c r="J123" s="293">
        <v>10996</v>
      </c>
      <c r="K123" s="296">
        <f t="shared" si="3"/>
        <v>11198.99</v>
      </c>
      <c r="L123" s="303">
        <v>1424.9</v>
      </c>
    </row>
    <row r="124" spans="3:12" ht="15" hidden="1" x14ac:dyDescent="0.25">
      <c r="C124" s="247" t="s">
        <v>460</v>
      </c>
      <c r="J124" s="293">
        <v>11199</v>
      </c>
      <c r="K124" s="296">
        <f t="shared" si="3"/>
        <v>11402.99</v>
      </c>
      <c r="L124" s="303">
        <v>1474.04</v>
      </c>
    </row>
    <row r="125" spans="3:12" ht="15" hidden="1" x14ac:dyDescent="0.25">
      <c r="C125" s="299">
        <f>+C119</f>
        <v>0</v>
      </c>
      <c r="J125" s="293">
        <v>11403</v>
      </c>
      <c r="K125" s="296">
        <f t="shared" si="3"/>
        <v>11606.99</v>
      </c>
      <c r="L125" s="303">
        <v>1523.54</v>
      </c>
    </row>
    <row r="126" spans="3:12" ht="15" hidden="1" x14ac:dyDescent="0.25">
      <c r="J126" s="293">
        <v>11607</v>
      </c>
      <c r="K126" s="296">
        <f t="shared" si="3"/>
        <v>11809.99</v>
      </c>
      <c r="L126" s="303">
        <v>1573.37</v>
      </c>
    </row>
    <row r="127" spans="3:12" ht="22.5" hidden="1" x14ac:dyDescent="0.25">
      <c r="C127" s="260" t="s">
        <v>160</v>
      </c>
      <c r="E127" s="251">
        <f>+'DATOS PARA DEPURAR'!E343</f>
        <v>0</v>
      </c>
      <c r="H127" s="184">
        <f>IF(E127&gt;0,(IF((C123-SUM(E127))&gt;0,E127,C123)),0)</f>
        <v>0</v>
      </c>
      <c r="J127" s="293">
        <v>11810</v>
      </c>
      <c r="K127" s="296">
        <f t="shared" si="3"/>
        <v>12013.99</v>
      </c>
      <c r="L127" s="303">
        <v>1623.49</v>
      </c>
    </row>
    <row r="128" spans="3:12" ht="22.5" hidden="1" x14ac:dyDescent="0.25">
      <c r="C128" s="260" t="s">
        <v>161</v>
      </c>
      <c r="E128" s="251">
        <f>+'DATOS PARA DEPURAR'!E344</f>
        <v>0</v>
      </c>
      <c r="H128" s="184">
        <f>IF(E128&gt;0,(IF((C123-SUM(E128))&gt;0,E128,C123)),0)</f>
        <v>0</v>
      </c>
      <c r="J128" s="293">
        <v>12014</v>
      </c>
      <c r="K128" s="296">
        <f t="shared" si="3"/>
        <v>12216.99</v>
      </c>
      <c r="L128" s="303">
        <v>1673.89</v>
      </c>
    </row>
    <row r="129" spans="3:12" ht="22.5" hidden="1" x14ac:dyDescent="0.25">
      <c r="C129" s="260" t="s">
        <v>162</v>
      </c>
      <c r="E129" s="251">
        <f>+'DATOS PARA DEPURAR'!E345</f>
        <v>0</v>
      </c>
      <c r="H129" s="184">
        <f>IF(E129&gt;0,(IF((C123-SUM(E129))&gt;0,E129,C123)),0)</f>
        <v>0</v>
      </c>
      <c r="J129" s="293">
        <v>12217</v>
      </c>
      <c r="K129" s="296">
        <f t="shared" si="3"/>
        <v>12420.99</v>
      </c>
      <c r="L129" s="303">
        <v>1724.51</v>
      </c>
    </row>
    <row r="130" spans="3:12" ht="15" hidden="1" x14ac:dyDescent="0.25">
      <c r="C130" s="253" t="s">
        <v>163</v>
      </c>
      <c r="E130" s="251">
        <f>+'DATOS PARA DEPURAR'!E349</f>
        <v>0</v>
      </c>
      <c r="H130" s="184">
        <f>IF(E130&gt;0,(IF((C123-SUM(E130))&gt;0,E130,C123)),0)</f>
        <v>0</v>
      </c>
      <c r="J130" s="293">
        <v>12421</v>
      </c>
      <c r="K130" s="296">
        <f t="shared" si="3"/>
        <v>12624.99</v>
      </c>
      <c r="L130" s="303">
        <v>1775.33</v>
      </c>
    </row>
    <row r="131" spans="3:12" ht="15" hidden="1" x14ac:dyDescent="0.25">
      <c r="C131" s="247" t="s">
        <v>461</v>
      </c>
      <c r="E131" s="298">
        <f>IF(H131&gt;0,C123-H131,0)</f>
        <v>0</v>
      </c>
      <c r="H131" s="251">
        <f>MAX(H127:H130)</f>
        <v>0</v>
      </c>
      <c r="J131" s="293">
        <v>12625</v>
      </c>
      <c r="K131" s="296">
        <f t="shared" si="3"/>
        <v>12827.99</v>
      </c>
      <c r="L131" s="303">
        <v>1826.31</v>
      </c>
    </row>
    <row r="132" spans="3:12" ht="15" hidden="1" x14ac:dyDescent="0.25">
      <c r="C132" s="247" t="s">
        <v>462</v>
      </c>
      <c r="E132" s="248">
        <f>IF(C125&gt;0,C125*0.75,0)</f>
        <v>0</v>
      </c>
      <c r="J132" s="293">
        <v>12828</v>
      </c>
      <c r="K132" s="296">
        <f t="shared" si="3"/>
        <v>13031.99</v>
      </c>
      <c r="L132" s="303">
        <v>1877.42</v>
      </c>
    </row>
    <row r="133" spans="3:12" ht="15" hidden="1" x14ac:dyDescent="0.25">
      <c r="J133" s="293">
        <v>13032</v>
      </c>
      <c r="K133" s="296">
        <f t="shared" si="3"/>
        <v>13235.99</v>
      </c>
      <c r="L133" s="303">
        <v>1928.63</v>
      </c>
    </row>
    <row r="134" spans="3:12" ht="15" hidden="1" x14ac:dyDescent="0.25">
      <c r="C134" s="247" t="s">
        <v>463</v>
      </c>
      <c r="E134" s="298">
        <f>IF(E131&lt;E132,0,E131)</f>
        <v>0</v>
      </c>
      <c r="J134" s="293">
        <v>13236</v>
      </c>
      <c r="K134" s="296">
        <f t="shared" si="3"/>
        <v>13438.99</v>
      </c>
      <c r="L134" s="303">
        <v>1979.89</v>
      </c>
    </row>
    <row r="135" spans="3:12" ht="15" hidden="1" x14ac:dyDescent="0.25">
      <c r="J135" s="293">
        <v>13439</v>
      </c>
      <c r="K135" s="296">
        <f>13643-0.01</f>
        <v>13642.99</v>
      </c>
      <c r="L135" s="303">
        <v>2031.18</v>
      </c>
    </row>
    <row r="136" spans="3:12" ht="25.5" hidden="1" x14ac:dyDescent="0.25">
      <c r="C136" s="260" t="s">
        <v>160</v>
      </c>
      <c r="E136" s="184">
        <f>IF(E134&gt;0,H127,0)</f>
        <v>0</v>
      </c>
      <c r="J136" s="295" t="s">
        <v>80</v>
      </c>
      <c r="K136" s="294"/>
      <c r="L136" s="295" t="s">
        <v>81</v>
      </c>
    </row>
    <row r="137" spans="3:12" ht="22.5" hidden="1" x14ac:dyDescent="0.2">
      <c r="C137" s="260" t="s">
        <v>161</v>
      </c>
      <c r="E137" s="184">
        <f>IF(E134&gt;0,H128,0)</f>
        <v>0</v>
      </c>
    </row>
    <row r="138" spans="3:12" ht="22.5" hidden="1" x14ac:dyDescent="0.2">
      <c r="C138" s="260" t="s">
        <v>162</v>
      </c>
      <c r="E138" s="184">
        <f>IF(E134&gt;0,H129,0)</f>
        <v>0</v>
      </c>
    </row>
    <row r="139" spans="3:12" hidden="1" x14ac:dyDescent="0.2">
      <c r="C139" s="253" t="s">
        <v>163</v>
      </c>
      <c r="E139" s="184">
        <f>IF(E134&gt;0,H130,0)</f>
        <v>0</v>
      </c>
    </row>
    <row r="140" spans="3:12" hidden="1" x14ac:dyDescent="0.2"/>
    <row r="141" spans="3:12" hidden="1" x14ac:dyDescent="0.2">
      <c r="C141" s="247" t="s">
        <v>464</v>
      </c>
    </row>
    <row r="142" spans="3:12" hidden="1" x14ac:dyDescent="0.2">
      <c r="C142" s="247" t="s">
        <v>398</v>
      </c>
      <c r="E142" s="184">
        <f>IF('DATOS PARA DEPURAR'!E106="S",'DATOS PARA DEPURAR'!E57,0)</f>
        <v>0</v>
      </c>
    </row>
    <row r="143" spans="3:12" hidden="1" x14ac:dyDescent="0.2">
      <c r="C143" s="247" t="s">
        <v>465</v>
      </c>
    </row>
    <row r="144" spans="3:12" hidden="1" x14ac:dyDescent="0.2">
      <c r="C144" s="247" t="s">
        <v>196</v>
      </c>
      <c r="E144" s="184">
        <f>IF(E142&gt;0,'DATOS PARA DEPURAR'!E207+SUM('DATOS PARA DEPURAR'!E226:E242)+'DATOS PARA DEPURAR'!E249+'DATOS PARA DEPURAR'!E258,0)</f>
        <v>0</v>
      </c>
    </row>
    <row r="145" spans="3:12" hidden="1" x14ac:dyDescent="0.2">
      <c r="C145" s="247" t="s">
        <v>466</v>
      </c>
      <c r="E145" s="247">
        <f>IF(E142&gt;0,'DATOS PARA DEPURAR'!E286-'DATOS PARA DEPURAR'!D286,0)</f>
        <v>0</v>
      </c>
    </row>
    <row r="146" spans="3:12" hidden="1" x14ac:dyDescent="0.2">
      <c r="C146" s="247" t="s">
        <v>467</v>
      </c>
      <c r="E146" s="184">
        <f>+E142-E144-E145</f>
        <v>0</v>
      </c>
    </row>
    <row r="147" spans="3:12" hidden="1" x14ac:dyDescent="0.2">
      <c r="C147" s="247" t="s">
        <v>466</v>
      </c>
      <c r="E147" s="184">
        <f>+E146*0.25</f>
        <v>0</v>
      </c>
    </row>
    <row r="148" spans="3:12" hidden="1" x14ac:dyDescent="0.2"/>
    <row r="149" spans="3:12" hidden="1" x14ac:dyDescent="0.2">
      <c r="H149" s="470" t="s">
        <v>468</v>
      </c>
      <c r="I149" s="470"/>
      <c r="J149" s="470"/>
      <c r="K149" s="470"/>
      <c r="L149" s="470"/>
    </row>
    <row r="150" spans="3:12" hidden="1" x14ac:dyDescent="0.2">
      <c r="H150" s="470"/>
      <c r="I150" s="470"/>
      <c r="J150" s="470"/>
      <c r="K150" s="470"/>
      <c r="L150" s="470"/>
    </row>
    <row r="151" spans="3:12" ht="13.5" hidden="1" thickBot="1" x14ac:dyDescent="0.25">
      <c r="H151" s="470"/>
      <c r="I151" s="470"/>
      <c r="J151" s="470"/>
      <c r="K151" s="470"/>
      <c r="L151" s="470"/>
    </row>
    <row r="152" spans="3:12" hidden="1" x14ac:dyDescent="0.2">
      <c r="H152" s="471" t="s">
        <v>8</v>
      </c>
      <c r="I152" s="472"/>
      <c r="J152" s="470"/>
      <c r="K152" s="473" t="s">
        <v>10</v>
      </c>
      <c r="L152" s="470"/>
    </row>
    <row r="153" spans="3:12" ht="13.5" hidden="1" thickBot="1" x14ac:dyDescent="0.25">
      <c r="H153" s="1308">
        <f>+'DEPURACION ORDINARIO 2017'!E32/K153</f>
        <v>70.734697727058375</v>
      </c>
      <c r="I153" s="1309"/>
      <c r="J153" s="470"/>
      <c r="K153" s="474">
        <f>+'DATOS PARA DEPURAR'!C24</f>
        <v>42412</v>
      </c>
      <c r="L153" s="470"/>
    </row>
    <row r="154" spans="3:12" ht="13.5" hidden="1" thickBot="1" x14ac:dyDescent="0.25">
      <c r="H154" s="470"/>
      <c r="I154" s="470"/>
      <c r="J154" s="470"/>
      <c r="K154" s="470"/>
      <c r="L154" s="470"/>
    </row>
    <row r="155" spans="3:12" hidden="1" x14ac:dyDescent="0.2">
      <c r="H155" s="475">
        <v>0</v>
      </c>
      <c r="I155" s="476">
        <v>1090</v>
      </c>
      <c r="J155" s="470"/>
      <c r="K155" s="477">
        <f>IF(H153&lt;=1090,0)</f>
        <v>0</v>
      </c>
      <c r="L155" s="470"/>
    </row>
    <row r="156" spans="3:12" ht="15" hidden="1" x14ac:dyDescent="0.25">
      <c r="H156" s="478" t="s">
        <v>169</v>
      </c>
      <c r="I156" s="479">
        <v>1700</v>
      </c>
      <c r="J156" s="470"/>
      <c r="K156" s="480" t="b">
        <f>IF(H153&gt;1090,(IF(H153&lt;=1700,ROUND((((+H153-1090)*19%)*K153),-3),0)),FALSE)</f>
        <v>0</v>
      </c>
      <c r="L156" s="470"/>
    </row>
    <row r="157" spans="3:12" ht="15" hidden="1" x14ac:dyDescent="0.25">
      <c r="H157" s="478" t="s">
        <v>170</v>
      </c>
      <c r="I157" s="479">
        <v>4100</v>
      </c>
      <c r="J157" s="470"/>
      <c r="K157" s="480" t="b">
        <f>IF(H153&gt;1700,IF(H153&lt;=4100,ROUND((((+H153-1700)*28%+116)*K153),-3),0))</f>
        <v>0</v>
      </c>
      <c r="L157" s="470"/>
    </row>
    <row r="158" spans="3:12" ht="15.75" hidden="1" thickBot="1" x14ac:dyDescent="0.3">
      <c r="H158" s="481" t="s">
        <v>171</v>
      </c>
      <c r="I158" s="482"/>
      <c r="J158" s="470"/>
      <c r="K158" s="483">
        <f>IF(H153&gt;4100,ROUND((((+H153-4100)*33%)*K153)+(788*K153),-3),0)</f>
        <v>0</v>
      </c>
      <c r="L158" s="470"/>
    </row>
    <row r="159" spans="3:12" hidden="1" x14ac:dyDescent="0.2">
      <c r="H159" s="484"/>
      <c r="I159" s="470"/>
      <c r="J159" s="470"/>
      <c r="K159" s="485"/>
      <c r="L159" s="470"/>
    </row>
    <row r="160" spans="3:12" ht="13.5" hidden="1" thickBot="1" x14ac:dyDescent="0.25">
      <c r="H160" s="484"/>
      <c r="I160" s="470"/>
      <c r="J160" s="470"/>
      <c r="K160" s="485"/>
      <c r="L160" s="470"/>
    </row>
    <row r="161" spans="8:12" hidden="1" x14ac:dyDescent="0.2">
      <c r="H161" s="470"/>
      <c r="I161" s="470"/>
      <c r="J161" s="470"/>
      <c r="K161" s="1310" t="s">
        <v>172</v>
      </c>
      <c r="L161" s="1311"/>
    </row>
    <row r="162" spans="8:12" ht="13.5" hidden="1" thickBot="1" x14ac:dyDescent="0.25">
      <c r="H162" s="470"/>
      <c r="I162" s="470"/>
      <c r="J162" s="470"/>
      <c r="K162" s="1312">
        <f>IF(K155=0,K155,IF(K156&gt;0,K156,IF(K157&gt;0,K157,IF(K158&gt;0,K158))))</f>
        <v>0</v>
      </c>
      <c r="L162" s="1313"/>
    </row>
    <row r="163" spans="8:12" hidden="1" x14ac:dyDescent="0.2">
      <c r="H163" s="470"/>
      <c r="I163" s="470"/>
      <c r="J163" s="470"/>
      <c r="K163" s="470"/>
      <c r="L163" s="470"/>
    </row>
    <row r="164" spans="8:12" hidden="1" x14ac:dyDescent="0.2">
      <c r="H164" s="470" t="s">
        <v>399</v>
      </c>
      <c r="J164" s="470">
        <f>IF('DATOS PARA DEPURAR'!E350&lt;'DEPURACION ORDINARIO 2017'!J22,'DATOS PARA DEPURAR'!E350,'DEPURACION ORDINARIO 2017'!J22)</f>
        <v>10216475</v>
      </c>
      <c r="K164" s="470"/>
      <c r="L164" s="470"/>
    </row>
    <row r="165" spans="8:12" hidden="1" x14ac:dyDescent="0.2">
      <c r="H165" s="470" t="s">
        <v>400</v>
      </c>
      <c r="J165" s="470">
        <f>IF(K162&gt;0,K162*0.75,0)</f>
        <v>0</v>
      </c>
      <c r="K165" s="470"/>
      <c r="L165" s="470"/>
    </row>
    <row r="166" spans="8:12" hidden="1" x14ac:dyDescent="0.2">
      <c r="H166" s="470" t="s">
        <v>401</v>
      </c>
      <c r="J166" s="470">
        <f>IF(J164&lt;J165,J164,0)</f>
        <v>0</v>
      </c>
      <c r="K166" s="470"/>
      <c r="L166" s="470"/>
    </row>
    <row r="167" spans="8:12" hidden="1" x14ac:dyDescent="0.2"/>
    <row r="168" spans="8:12" hidden="1" x14ac:dyDescent="0.2"/>
    <row r="169" spans="8:12" hidden="1" x14ac:dyDescent="0.2"/>
    <row r="170" spans="8:12" hidden="1" x14ac:dyDescent="0.2"/>
  </sheetData>
  <sheetProtection algorithmName="SHA-512" hashValue="jhEtfLgBZaX3eHsR8qHR01PCHp8lMzUDp+D+2EBk2SosjWajTSKnWKZ5yXOnvVL5KEPGyZMnQSiNA6R8jkQONA==" saltValue="bmNSlAKZrYatB6M8wmv8lw==" spinCount="100000" sheet="1" objects="1" scenarios="1"/>
  <mergeCells count="82">
    <mergeCell ref="A28:A39"/>
    <mergeCell ref="F22:F40"/>
    <mergeCell ref="G33:H33"/>
    <mergeCell ref="G34:H34"/>
    <mergeCell ref="A40:C40"/>
    <mergeCell ref="B29:C29"/>
    <mergeCell ref="B28:C28"/>
    <mergeCell ref="B30:C30"/>
    <mergeCell ref="G38:H38"/>
    <mergeCell ref="G23:H23"/>
    <mergeCell ref="B23:C23"/>
    <mergeCell ref="B24:C24"/>
    <mergeCell ref="B25:C25"/>
    <mergeCell ref="B26:C26"/>
    <mergeCell ref="A22:A27"/>
    <mergeCell ref="B22:C22"/>
    <mergeCell ref="H153:I153"/>
    <mergeCell ref="K161:L161"/>
    <mergeCell ref="K162:L162"/>
    <mergeCell ref="G29:H29"/>
    <mergeCell ref="G30:H30"/>
    <mergeCell ref="G39:H39"/>
    <mergeCell ref="G37:H37"/>
    <mergeCell ref="G31:H31"/>
    <mergeCell ref="G32:H32"/>
    <mergeCell ref="A42:J42"/>
    <mergeCell ref="G40:H40"/>
    <mergeCell ref="G36:H36"/>
    <mergeCell ref="G35:H35"/>
    <mergeCell ref="B31:C31"/>
    <mergeCell ref="B32:C32"/>
    <mergeCell ref="B33:B39"/>
    <mergeCell ref="A1:F1"/>
    <mergeCell ref="A2:F2"/>
    <mergeCell ref="G4:H4"/>
    <mergeCell ref="G5:H5"/>
    <mergeCell ref="B4:C4"/>
    <mergeCell ref="B5:C5"/>
    <mergeCell ref="A4:A6"/>
    <mergeCell ref="B6:C6"/>
    <mergeCell ref="A3:J3"/>
    <mergeCell ref="G6:H6"/>
    <mergeCell ref="G1:J2"/>
    <mergeCell ref="F4:F8"/>
    <mergeCell ref="B7:C7"/>
    <mergeCell ref="B8:C8"/>
    <mergeCell ref="L23:M23"/>
    <mergeCell ref="L30:M30"/>
    <mergeCell ref="L31:M31"/>
    <mergeCell ref="G17:H17"/>
    <mergeCell ref="G18:H18"/>
    <mergeCell ref="G20:H20"/>
    <mergeCell ref="B9:C9"/>
    <mergeCell ref="G7:H7"/>
    <mergeCell ref="G8:H8"/>
    <mergeCell ref="F9:F20"/>
    <mergeCell ref="B12:C12"/>
    <mergeCell ref="B10:C10"/>
    <mergeCell ref="B13:C13"/>
    <mergeCell ref="G9:H9"/>
    <mergeCell ref="G10:H10"/>
    <mergeCell ref="G11:H11"/>
    <mergeCell ref="G12:H12"/>
    <mergeCell ref="B11:C11"/>
    <mergeCell ref="B15:B19"/>
    <mergeCell ref="G16:H16"/>
    <mergeCell ref="C111:D111"/>
    <mergeCell ref="C118:D118"/>
    <mergeCell ref="C119:D119"/>
    <mergeCell ref="G19:H19"/>
    <mergeCell ref="G22:H22"/>
    <mergeCell ref="B27:C27"/>
    <mergeCell ref="G24:G28"/>
    <mergeCell ref="A41:C41"/>
    <mergeCell ref="C98:D98"/>
    <mergeCell ref="A21:J21"/>
    <mergeCell ref="A7:A20"/>
    <mergeCell ref="B20:C20"/>
    <mergeCell ref="G13:H13"/>
    <mergeCell ref="G14:H14"/>
    <mergeCell ref="G15:H15"/>
    <mergeCell ref="B14:C14"/>
  </mergeCells>
  <pageMargins left="3.937007874015748E-2" right="3.937007874015748E-2" top="0.55118110236220474" bottom="0.55118110236220474" header="0.31496062992125984" footer="0.31496062992125984"/>
  <pageSetup scale="90" orientation="portrait" vertic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66"/>
  </sheetPr>
  <dimension ref="A1:G38"/>
  <sheetViews>
    <sheetView view="pageBreakPreview" topLeftCell="A2" zoomScale="160" zoomScaleNormal="100" zoomScaleSheetLayoutView="160" workbookViewId="0">
      <selection activeCell="B44" sqref="B44:B45"/>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48" t="s">
        <v>557</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4" customHeight="1" x14ac:dyDescent="0.2">
      <c r="A3" s="1352" t="s">
        <v>667</v>
      </c>
      <c r="B3" s="1344"/>
      <c r="C3" s="1344"/>
      <c r="D3" s="1344"/>
      <c r="E3" s="1347">
        <f>+'FORMULARIO 2023 RENTA'!J38</f>
        <v>424950372</v>
      </c>
      <c r="F3" s="1347"/>
    </row>
    <row r="4" spans="1:7" ht="22.5" customHeight="1" x14ac:dyDescent="0.2">
      <c r="A4" s="1340" t="s">
        <v>550</v>
      </c>
      <c r="B4" s="1341"/>
      <c r="C4" s="1341"/>
      <c r="D4" s="1341"/>
      <c r="E4" s="1347">
        <f>SUM(E3:E3)</f>
        <v>424950372</v>
      </c>
      <c r="F4" s="1347"/>
    </row>
    <row r="5" spans="1:7" ht="15.75" customHeight="1" x14ac:dyDescent="0.2">
      <c r="A5" s="1340" t="s">
        <v>668</v>
      </c>
      <c r="B5" s="1341"/>
      <c r="C5" s="1341"/>
      <c r="D5" s="1341"/>
      <c r="E5" s="1342">
        <f>+C23</f>
        <v>117411000</v>
      </c>
      <c r="F5" s="1341"/>
    </row>
    <row r="6" spans="1:7" hidden="1" x14ac:dyDescent="0.2">
      <c r="A6" s="1343" t="s">
        <v>596</v>
      </c>
      <c r="B6" s="1343"/>
      <c r="C6" s="1343"/>
      <c r="D6" s="1343"/>
      <c r="E6" s="1343"/>
      <c r="F6" s="1343"/>
    </row>
    <row r="7" spans="1:7" hidden="1" x14ac:dyDescent="0.2">
      <c r="A7" s="1344" t="s">
        <v>344</v>
      </c>
      <c r="B7" s="1345"/>
      <c r="C7" s="1345"/>
      <c r="D7" s="1345"/>
      <c r="E7" s="1346">
        <v>0</v>
      </c>
      <c r="F7" s="1346"/>
    </row>
    <row r="8" spans="1:7" hidden="1" x14ac:dyDescent="0.2">
      <c r="A8" s="1344" t="s">
        <v>460</v>
      </c>
      <c r="B8" s="1345"/>
      <c r="C8" s="1345"/>
      <c r="D8" s="1345"/>
      <c r="E8" s="1342">
        <f>+C37</f>
        <v>0</v>
      </c>
      <c r="F8" s="1341"/>
    </row>
    <row r="9" spans="1:7" hidden="1" x14ac:dyDescent="0.2"/>
    <row r="10" spans="1:7" ht="13.5" hidden="1" thickBot="1" x14ac:dyDescent="0.25"/>
    <row r="11" spans="1:7" hidden="1" x14ac:dyDescent="0.2">
      <c r="C11" s="521" t="s">
        <v>8</v>
      </c>
      <c r="D11" s="522"/>
      <c r="E11" s="138"/>
      <c r="F11" s="523" t="s">
        <v>10</v>
      </c>
      <c r="G11" s="138"/>
    </row>
    <row r="12" spans="1:7" ht="15.75" hidden="1" thickBot="1" x14ac:dyDescent="0.3">
      <c r="C12" s="1333">
        <f>+E4/F12</f>
        <v>10019.578704140338</v>
      </c>
      <c r="D12" s="1334"/>
      <c r="E12" s="138"/>
      <c r="F12" s="524">
        <v>42412</v>
      </c>
      <c r="G12" s="138"/>
    </row>
    <row r="13" spans="1:7" ht="13.5" hidden="1" thickBot="1" x14ac:dyDescent="0.25">
      <c r="C13" s="138"/>
      <c r="D13" s="138"/>
      <c r="E13" s="138"/>
      <c r="F13" s="138"/>
      <c r="G13" s="138"/>
    </row>
    <row r="14" spans="1:7" hidden="1" x14ac:dyDescent="0.2">
      <c r="C14" s="525">
        <v>0</v>
      </c>
      <c r="D14" s="526">
        <v>1090</v>
      </c>
      <c r="E14" s="138"/>
      <c r="F14" s="527" t="b">
        <f>IF(C12&lt;=1090,0)</f>
        <v>0</v>
      </c>
      <c r="G14" s="138" t="s">
        <v>553</v>
      </c>
    </row>
    <row r="15" spans="1:7" ht="15" hidden="1" x14ac:dyDescent="0.25">
      <c r="C15" s="534" t="s">
        <v>169</v>
      </c>
      <c r="D15" s="378">
        <v>1700</v>
      </c>
      <c r="E15" s="138"/>
      <c r="F15" s="530">
        <f>IF(C12&gt;1090,(IF(C12&lt;=1700,ROUND((((+C12-1090)*19%)*F12),-3),0)),FALSE)</f>
        <v>0</v>
      </c>
      <c r="G15" s="138" t="s">
        <v>554</v>
      </c>
    </row>
    <row r="16" spans="1:7" ht="15" hidden="1" x14ac:dyDescent="0.25">
      <c r="C16" s="528" t="s">
        <v>170</v>
      </c>
      <c r="D16" s="378">
        <v>4100</v>
      </c>
      <c r="E16" s="138"/>
      <c r="F16" s="530">
        <f>IF(C12&gt;1700,(IF(C12&lt;=4100,ROUND((((+C12-1700)*28%+116)*F12),-3),0)),FALSE)</f>
        <v>0</v>
      </c>
      <c r="G16" s="138" t="s">
        <v>555</v>
      </c>
    </row>
    <row r="17" spans="1:7" ht="15" hidden="1" x14ac:dyDescent="0.25">
      <c r="C17" s="528" t="s">
        <v>171</v>
      </c>
      <c r="D17" s="529">
        <v>8670</v>
      </c>
      <c r="E17" s="138"/>
      <c r="F17" s="530">
        <f>IF(C12&gt;4100,(IF(C12&lt;=8670,ROUND((((+C12-4100)*33%+788)*F12),-3),0)),FALSE)</f>
        <v>0</v>
      </c>
      <c r="G17" s="138" t="s">
        <v>556</v>
      </c>
    </row>
    <row r="18" spans="1:7" hidden="1" x14ac:dyDescent="0.2">
      <c r="C18" s="528" t="s">
        <v>669</v>
      </c>
      <c r="D18" s="529">
        <v>18970</v>
      </c>
      <c r="E18" s="138"/>
      <c r="F18" s="782">
        <f>IF(C12&gt;8670,IF(C12&lt;=18970,ROUND((((+C12-8670)*35%+2296)*F12),-3),0))</f>
        <v>117411000</v>
      </c>
      <c r="G18" s="138" t="s">
        <v>562</v>
      </c>
    </row>
    <row r="19" spans="1:7" ht="15" hidden="1" x14ac:dyDescent="0.25">
      <c r="C19" s="528" t="s">
        <v>670</v>
      </c>
      <c r="D19" s="529">
        <v>31000</v>
      </c>
      <c r="E19" s="138"/>
      <c r="F19" s="530" t="b">
        <f>IF(C12&gt;18970,IF(C12&lt;=31000,ROUND((((+C12-18970)*37%+5901)*F12),-3),0))</f>
        <v>0</v>
      </c>
      <c r="G19" s="138" t="s">
        <v>564</v>
      </c>
    </row>
    <row r="20" spans="1:7" ht="15.75" hidden="1" thickBot="1" x14ac:dyDescent="0.3">
      <c r="C20" s="531" t="s">
        <v>671</v>
      </c>
      <c r="D20" s="532"/>
      <c r="E20" s="138"/>
      <c r="F20" s="533">
        <f>IF(C12&gt;31000,ROUND((((+C12-31000)*39%)*F12)+(10352*F12),-3),0)</f>
        <v>0</v>
      </c>
      <c r="G20" s="138" t="s">
        <v>672</v>
      </c>
    </row>
    <row r="21" spans="1:7" ht="13.5" hidden="1" thickBot="1" x14ac:dyDescent="0.25">
      <c r="C21" s="138"/>
      <c r="D21" s="138"/>
      <c r="E21" s="138"/>
      <c r="F21" s="138"/>
      <c r="G21" s="138"/>
    </row>
    <row r="22" spans="1:7" hidden="1" x14ac:dyDescent="0.2">
      <c r="C22" s="1329" t="s">
        <v>172</v>
      </c>
      <c r="D22" s="1330"/>
      <c r="E22" s="138"/>
      <c r="F22" s="138"/>
      <c r="G22" s="138"/>
    </row>
    <row r="23" spans="1:7" ht="15.75" hidden="1" thickBot="1" x14ac:dyDescent="0.3">
      <c r="C23" s="1331">
        <f>IF(F14=0,F14,IF(F15&gt;0,F15,IF(F16&gt;0,F16,IF(F17&gt;0,F17,IF(F18&gt;0,F18,IF(F19&gt;0,F19,IF(F20&gt;0,F20)))))))</f>
        <v>117411000</v>
      </c>
      <c r="D23" s="1332"/>
      <c r="E23" s="138"/>
      <c r="F23" s="138"/>
      <c r="G23" s="138"/>
    </row>
    <row r="24" spans="1:7" ht="13.5" hidden="1" thickBot="1" x14ac:dyDescent="0.25">
      <c r="A24" s="1335"/>
      <c r="B24" s="1336"/>
      <c r="C24" s="1336"/>
      <c r="D24" s="1336"/>
      <c r="E24" s="1337"/>
      <c r="F24" s="1337"/>
    </row>
    <row r="25" spans="1:7" hidden="1" x14ac:dyDescent="0.2">
      <c r="C25" s="521" t="s">
        <v>8</v>
      </c>
      <c r="D25" s="522"/>
      <c r="E25" s="138"/>
      <c r="F25" s="523" t="s">
        <v>10</v>
      </c>
      <c r="G25" s="138"/>
    </row>
    <row r="26" spans="1:7" ht="15.75" hidden="1" thickBot="1" x14ac:dyDescent="0.3">
      <c r="C26" s="1338">
        <f>+E7/F26</f>
        <v>0</v>
      </c>
      <c r="D26" s="1339"/>
      <c r="E26" s="138"/>
      <c r="F26" s="524">
        <v>35607</v>
      </c>
      <c r="G26" s="138"/>
    </row>
    <row r="27" spans="1:7" ht="13.5" hidden="1" thickBot="1" x14ac:dyDescent="0.25">
      <c r="C27" s="138"/>
      <c r="D27" s="138"/>
      <c r="E27" s="138"/>
      <c r="F27" s="138"/>
      <c r="G27" s="138"/>
    </row>
    <row r="28" spans="1:7" hidden="1" x14ac:dyDescent="0.2">
      <c r="C28" s="525">
        <v>0</v>
      </c>
      <c r="D28" s="526">
        <v>1090</v>
      </c>
      <c r="E28" s="138"/>
      <c r="F28" s="527">
        <f>IF(C26&lt;=1090,0)</f>
        <v>0</v>
      </c>
      <c r="G28" s="138" t="s">
        <v>553</v>
      </c>
    </row>
    <row r="29" spans="1:7" ht="15" hidden="1" x14ac:dyDescent="0.25">
      <c r="C29" s="534" t="s">
        <v>169</v>
      </c>
      <c r="D29" s="378">
        <v>1700</v>
      </c>
      <c r="E29" s="138"/>
      <c r="F29" s="530" t="b">
        <f>IF(C26&gt;1090,(IF(C26&lt;=1700,ROUND((((+C26-1090)*19%)*F26),-3),0)),FALSE)</f>
        <v>0</v>
      </c>
      <c r="G29" s="138" t="s">
        <v>554</v>
      </c>
    </row>
    <row r="30" spans="1:7" ht="15" hidden="1" x14ac:dyDescent="0.25">
      <c r="C30" s="528" t="s">
        <v>170</v>
      </c>
      <c r="D30" s="378">
        <v>4100</v>
      </c>
      <c r="E30" s="138"/>
      <c r="F30" s="530" t="b">
        <f>IF(C26&gt;1700,(IF(C26&lt;=4100,ROUND((((+C26-1700)*28%+116)*F26),-3),0)),FALSE)</f>
        <v>0</v>
      </c>
      <c r="G30" s="138" t="s">
        <v>555</v>
      </c>
    </row>
    <row r="31" spans="1:7" ht="15" hidden="1" x14ac:dyDescent="0.25">
      <c r="C31" s="528" t="s">
        <v>171</v>
      </c>
      <c r="D31" s="529">
        <v>8670</v>
      </c>
      <c r="E31" s="138"/>
      <c r="F31" s="530" t="b">
        <f>IF(C26&gt;4100,(IF(C26&lt;=8670,ROUND((((+C26-4100)*33%+788)*F26),-3),0)),FALSE)</f>
        <v>0</v>
      </c>
      <c r="G31" s="138" t="s">
        <v>556</v>
      </c>
    </row>
    <row r="32" spans="1:7" ht="15" hidden="1" x14ac:dyDescent="0.25">
      <c r="C32" s="528" t="s">
        <v>669</v>
      </c>
      <c r="D32" s="529">
        <v>18970</v>
      </c>
      <c r="E32" s="138"/>
      <c r="F32" s="530" t="b">
        <f>IF(C26&gt;8670,IF(C26&lt;=18970,ROUND((((+C26-8670)*35%+2296)*F26),-3),0))</f>
        <v>0</v>
      </c>
      <c r="G32" s="138" t="s">
        <v>562</v>
      </c>
    </row>
    <row r="33" spans="3:7" ht="15" hidden="1" x14ac:dyDescent="0.25">
      <c r="C33" s="528" t="s">
        <v>670</v>
      </c>
      <c r="D33" s="529">
        <v>31000</v>
      </c>
      <c r="E33" s="138"/>
      <c r="F33" s="530" t="b">
        <f>IF(C26&gt;18970,IF(C26&lt;=31000,ROUND((((+C26-18970)*37%+5901)*F26),-3),0))</f>
        <v>0</v>
      </c>
      <c r="G33" s="138" t="s">
        <v>564</v>
      </c>
    </row>
    <row r="34" spans="3:7" ht="15.75" hidden="1" thickBot="1" x14ac:dyDescent="0.3">
      <c r="C34" s="531" t="s">
        <v>671</v>
      </c>
      <c r="D34" s="532"/>
      <c r="E34" s="138"/>
      <c r="F34" s="533">
        <f>IF(C26&gt;31000,ROUND((((+C26-31000)*39%)*F26)+(10352*F26),-3),0)</f>
        <v>0</v>
      </c>
      <c r="G34" s="138" t="s">
        <v>672</v>
      </c>
    </row>
    <row r="35" spans="3:7" ht="13.5" hidden="1" thickBot="1" x14ac:dyDescent="0.25">
      <c r="C35" s="138"/>
      <c r="D35" s="138"/>
      <c r="E35" s="138"/>
      <c r="F35" s="138"/>
      <c r="G35" s="138"/>
    </row>
    <row r="36" spans="3:7" hidden="1" x14ac:dyDescent="0.2">
      <c r="C36" s="1329" t="s">
        <v>172</v>
      </c>
      <c r="D36" s="1330"/>
      <c r="E36" s="138"/>
      <c r="F36" s="138"/>
      <c r="G36" s="138"/>
    </row>
    <row r="37" spans="3:7" ht="15.75" hidden="1" thickBot="1" x14ac:dyDescent="0.3">
      <c r="C37" s="1331">
        <f>IF(F28=0,F28,IF(F29&gt;0,F29,IF(F30&gt;0,F30,IF(F31&gt;0,F31,IF(F32&gt;0,F32,IF(F33&gt;0,F33,IF(F34&gt;0,F34)))))))</f>
        <v>0</v>
      </c>
      <c r="D37" s="1332"/>
      <c r="E37" s="138"/>
      <c r="F37" s="138"/>
      <c r="G37" s="138"/>
    </row>
    <row r="38" spans="3:7" hidden="1" x14ac:dyDescent="0.2"/>
  </sheetData>
  <sheetProtection algorithmName="SHA-512" hashValue="ufvID0fzi/ExzsWnFQ/lVJyCXT4lhTaro1JWEuAW9HZxgVJlMMiiud6UVVy9DrzzEBXPFypPxlkm2XJhMKBSDA==" saltValue="qEa7ts8uWoHh9XXZqp9Xag==" spinCount="100000" sheet="1" objects="1" scenarios="1"/>
  <mergeCells count="22">
    <mergeCell ref="A4:D4"/>
    <mergeCell ref="E4:F4"/>
    <mergeCell ref="A1:F1"/>
    <mergeCell ref="A2:B2"/>
    <mergeCell ref="E2:F2"/>
    <mergeCell ref="A3:D3"/>
    <mergeCell ref="E3:F3"/>
    <mergeCell ref="E24:F24"/>
    <mergeCell ref="C26:D26"/>
    <mergeCell ref="A5:D5"/>
    <mergeCell ref="E5:F5"/>
    <mergeCell ref="A6:F6"/>
    <mergeCell ref="A7:D7"/>
    <mergeCell ref="E7:F7"/>
    <mergeCell ref="A8:D8"/>
    <mergeCell ref="E8:F8"/>
    <mergeCell ref="C36:D36"/>
    <mergeCell ref="C37:D37"/>
    <mergeCell ref="C12:D12"/>
    <mergeCell ref="C22:D22"/>
    <mergeCell ref="C23:D23"/>
    <mergeCell ref="A24:D2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view="pageBreakPreview" zoomScale="160" zoomScaleNormal="100" zoomScaleSheetLayoutView="160" workbookViewId="0">
      <selection activeCell="C49" sqref="C49"/>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48" t="s">
        <v>557</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4" customHeight="1" x14ac:dyDescent="0.2">
      <c r="A3" s="1352" t="s">
        <v>667</v>
      </c>
      <c r="B3" s="1344"/>
      <c r="C3" s="1344"/>
      <c r="D3" s="1344"/>
      <c r="E3" s="1347">
        <f>+'FORMULARIO 2019 RENTA CEDULA'!F44</f>
        <v>314718681.375</v>
      </c>
      <c r="F3" s="1347"/>
    </row>
    <row r="4" spans="1:7" ht="22.5" customHeight="1" x14ac:dyDescent="0.2">
      <c r="A4" s="1340" t="s">
        <v>550</v>
      </c>
      <c r="B4" s="1341"/>
      <c r="C4" s="1341"/>
      <c r="D4" s="1341"/>
      <c r="E4" s="1347">
        <f>SUM(E3:E3)</f>
        <v>314718681.375</v>
      </c>
      <c r="F4" s="1347"/>
    </row>
    <row r="5" spans="1:7" ht="15.75" customHeight="1" x14ac:dyDescent="0.2">
      <c r="A5" s="1340" t="s">
        <v>668</v>
      </c>
      <c r="B5" s="1341"/>
      <c r="C5" s="1341"/>
      <c r="D5" s="1341"/>
      <c r="E5" s="1342">
        <f>+C23</f>
        <v>84843000</v>
      </c>
      <c r="F5" s="1341"/>
    </row>
    <row r="6" spans="1:7" ht="15.75" customHeight="1" x14ac:dyDescent="0.2">
      <c r="A6" s="1343" t="s">
        <v>596</v>
      </c>
      <c r="B6" s="1343"/>
      <c r="C6" s="1343"/>
      <c r="D6" s="1343"/>
      <c r="E6" s="1343"/>
      <c r="F6" s="1343"/>
    </row>
    <row r="7" spans="1:7" ht="19.5" customHeight="1" x14ac:dyDescent="0.2">
      <c r="A7" s="1344" t="s">
        <v>344</v>
      </c>
      <c r="B7" s="1345"/>
      <c r="C7" s="1345"/>
      <c r="D7" s="1345"/>
      <c r="E7" s="1346">
        <f>+'FORMULARIO 2018 RENTA CEDULAR'!J13</f>
        <v>3000000</v>
      </c>
      <c r="F7" s="1346"/>
    </row>
    <row r="8" spans="1:7" ht="15.75" customHeight="1" x14ac:dyDescent="0.2">
      <c r="A8" s="1344" t="s">
        <v>460</v>
      </c>
      <c r="B8" s="1345"/>
      <c r="C8" s="1345"/>
      <c r="D8" s="1345"/>
      <c r="E8" s="1342">
        <f>+C37</f>
        <v>0</v>
      </c>
      <c r="F8" s="1341"/>
    </row>
    <row r="9" spans="1:7" hidden="1" x14ac:dyDescent="0.2"/>
    <row r="10" spans="1:7" ht="13.5" hidden="1" thickBot="1" x14ac:dyDescent="0.25"/>
    <row r="11" spans="1:7" hidden="1" x14ac:dyDescent="0.2">
      <c r="C11" s="521" t="s">
        <v>8</v>
      </c>
      <c r="D11" s="522"/>
      <c r="E11" s="138"/>
      <c r="F11" s="523" t="s">
        <v>10</v>
      </c>
      <c r="G11" s="138"/>
    </row>
    <row r="12" spans="1:7" ht="15.75" hidden="1" thickBot="1" x14ac:dyDescent="0.3">
      <c r="C12" s="1333">
        <f>+E4/F12</f>
        <v>9183.503979428071</v>
      </c>
      <c r="D12" s="1334"/>
      <c r="E12" s="138"/>
      <c r="F12" s="524">
        <v>34270</v>
      </c>
      <c r="G12" s="138"/>
    </row>
    <row r="13" spans="1:7" ht="13.5" hidden="1" thickBot="1" x14ac:dyDescent="0.25">
      <c r="C13" s="138"/>
      <c r="D13" s="138"/>
      <c r="E13" s="138"/>
      <c r="F13" s="138"/>
      <c r="G13" s="138"/>
    </row>
    <row r="14" spans="1:7" hidden="1" x14ac:dyDescent="0.2">
      <c r="C14" s="525">
        <v>0</v>
      </c>
      <c r="D14" s="526">
        <v>1090</v>
      </c>
      <c r="E14" s="138"/>
      <c r="F14" s="527" t="b">
        <f>IF(C12&lt;=1090,0)</f>
        <v>0</v>
      </c>
      <c r="G14" s="138" t="s">
        <v>553</v>
      </c>
    </row>
    <row r="15" spans="1:7" ht="15" hidden="1" x14ac:dyDescent="0.25">
      <c r="C15" s="534" t="s">
        <v>169</v>
      </c>
      <c r="D15" s="378">
        <v>1700</v>
      </c>
      <c r="E15" s="138"/>
      <c r="F15" s="530">
        <f>IF(C12&gt;1090,(IF(C12&lt;=1700,ROUND((((+C12-1090)*19%)*F12),-3),0)),FALSE)</f>
        <v>0</v>
      </c>
      <c r="G15" s="138" t="s">
        <v>554</v>
      </c>
    </row>
    <row r="16" spans="1:7" ht="15" hidden="1" x14ac:dyDescent="0.25">
      <c r="C16" s="528" t="s">
        <v>170</v>
      </c>
      <c r="D16" s="378">
        <v>4100</v>
      </c>
      <c r="E16" s="138"/>
      <c r="F16" s="530">
        <f>IF(C12&gt;1700,(IF(C12&lt;=4100,ROUND((((+C12-1700)*28%+116)*F12),-3),0)),FALSE)</f>
        <v>0</v>
      </c>
      <c r="G16" s="138" t="s">
        <v>555</v>
      </c>
    </row>
    <row r="17" spans="1:7" ht="15" hidden="1" x14ac:dyDescent="0.25">
      <c r="C17" s="528" t="s">
        <v>171</v>
      </c>
      <c r="D17" s="529">
        <v>8670</v>
      </c>
      <c r="E17" s="138"/>
      <c r="F17" s="530">
        <f>IF(C12&gt;4100,(IF(C12&lt;=8670,ROUND((((+C12-4100)*33%+788)*F12),-3),0)),FALSE)</f>
        <v>0</v>
      </c>
      <c r="G17" s="138" t="s">
        <v>556</v>
      </c>
    </row>
    <row r="18" spans="1:7" hidden="1" x14ac:dyDescent="0.2">
      <c r="C18" s="528" t="s">
        <v>669</v>
      </c>
      <c r="D18" s="529">
        <v>18970</v>
      </c>
      <c r="E18" s="138"/>
      <c r="F18" s="782">
        <f>IF(C12&gt;8670,IF(C12&lt;=18970,ROUND((((+C12-8670)*35%+2296)*F12),-3),0))</f>
        <v>84843000</v>
      </c>
      <c r="G18" s="138" t="s">
        <v>562</v>
      </c>
    </row>
    <row r="19" spans="1:7" ht="15" hidden="1" x14ac:dyDescent="0.25">
      <c r="C19" s="528" t="s">
        <v>670</v>
      </c>
      <c r="D19" s="529">
        <v>31000</v>
      </c>
      <c r="E19" s="138"/>
      <c r="F19" s="530" t="b">
        <f>IF(C12&gt;18970,IF(C12&lt;=31000,ROUND((((+C12-18970)*37%+5901)*F12),-3),0))</f>
        <v>0</v>
      </c>
      <c r="G19" s="138" t="s">
        <v>564</v>
      </c>
    </row>
    <row r="20" spans="1:7" ht="15.75" hidden="1" thickBot="1" x14ac:dyDescent="0.3">
      <c r="C20" s="531" t="s">
        <v>671</v>
      </c>
      <c r="D20" s="532"/>
      <c r="E20" s="138"/>
      <c r="F20" s="533">
        <f>IF(C12&gt;31000,ROUND((((+C12-31000)*39%)*F12)+(10352*F12),-3),0)</f>
        <v>0</v>
      </c>
      <c r="G20" s="138" t="s">
        <v>672</v>
      </c>
    </row>
    <row r="21" spans="1:7" ht="13.5" hidden="1" thickBot="1" x14ac:dyDescent="0.25">
      <c r="C21" s="138"/>
      <c r="D21" s="138"/>
      <c r="E21" s="138"/>
      <c r="F21" s="138"/>
      <c r="G21" s="138"/>
    </row>
    <row r="22" spans="1:7" hidden="1" x14ac:dyDescent="0.2">
      <c r="C22" s="1329" t="s">
        <v>172</v>
      </c>
      <c r="D22" s="1330"/>
      <c r="E22" s="138"/>
      <c r="F22" s="138"/>
      <c r="G22" s="138"/>
    </row>
    <row r="23" spans="1:7" ht="15.75" hidden="1" thickBot="1" x14ac:dyDescent="0.3">
      <c r="C23" s="1331">
        <f>IF(F14=0,F14,IF(F15&gt;0,F15,IF(F16&gt;0,F16,IF(F17&gt;0,F17,IF(F18&gt;0,F18,IF(F19&gt;0,F19,IF(F20&gt;0,F20)))))))</f>
        <v>84843000</v>
      </c>
      <c r="D23" s="1332"/>
      <c r="E23" s="138"/>
      <c r="F23" s="138"/>
      <c r="G23" s="138"/>
    </row>
    <row r="24" spans="1:7" ht="13.5" hidden="1" thickBot="1" x14ac:dyDescent="0.25">
      <c r="A24" s="1335"/>
      <c r="B24" s="1336"/>
      <c r="C24" s="1336"/>
      <c r="D24" s="1336"/>
      <c r="E24" s="1337"/>
      <c r="F24" s="1337"/>
    </row>
    <row r="25" spans="1:7" hidden="1" x14ac:dyDescent="0.2">
      <c r="C25" s="521" t="s">
        <v>8</v>
      </c>
      <c r="D25" s="522"/>
      <c r="E25" s="138"/>
      <c r="F25" s="523" t="s">
        <v>10</v>
      </c>
      <c r="G25" s="138"/>
    </row>
    <row r="26" spans="1:7" ht="15.75" hidden="1" thickBot="1" x14ac:dyDescent="0.3">
      <c r="C26" s="1338">
        <f>+E7/F26</f>
        <v>87.540122556171582</v>
      </c>
      <c r="D26" s="1339"/>
      <c r="E26" s="138"/>
      <c r="F26" s="524">
        <v>34270</v>
      </c>
      <c r="G26" s="138"/>
    </row>
    <row r="27" spans="1:7" ht="13.5" hidden="1" thickBot="1" x14ac:dyDescent="0.25">
      <c r="C27" s="138"/>
      <c r="D27" s="138"/>
      <c r="E27" s="138"/>
      <c r="F27" s="138"/>
      <c r="G27" s="138"/>
    </row>
    <row r="28" spans="1:7" hidden="1" x14ac:dyDescent="0.2">
      <c r="C28" s="525">
        <v>0</v>
      </c>
      <c r="D28" s="526">
        <v>1090</v>
      </c>
      <c r="E28" s="138"/>
      <c r="F28" s="527">
        <f>IF(C26&lt;=1090,0)</f>
        <v>0</v>
      </c>
      <c r="G28" s="138" t="s">
        <v>553</v>
      </c>
    </row>
    <row r="29" spans="1:7" ht="15" hidden="1" x14ac:dyDescent="0.25">
      <c r="C29" s="534" t="s">
        <v>169</v>
      </c>
      <c r="D29" s="378">
        <v>1700</v>
      </c>
      <c r="E29" s="138"/>
      <c r="F29" s="530" t="b">
        <f>IF(C26&gt;1090,(IF(C26&lt;=1700,ROUND((((+C26-1090)*19%)*F26),-3),0)),FALSE)</f>
        <v>0</v>
      </c>
      <c r="G29" s="138" t="s">
        <v>554</v>
      </c>
    </row>
    <row r="30" spans="1:7" ht="15" hidden="1" x14ac:dyDescent="0.25">
      <c r="C30" s="528" t="s">
        <v>170</v>
      </c>
      <c r="D30" s="378">
        <v>4100</v>
      </c>
      <c r="E30" s="138"/>
      <c r="F30" s="530" t="b">
        <f>IF(C26&gt;1700,(IF(C26&lt;=4100,ROUND((((+C26-1700)*28%+116)*F26),-3),0)),FALSE)</f>
        <v>0</v>
      </c>
      <c r="G30" s="138" t="s">
        <v>555</v>
      </c>
    </row>
    <row r="31" spans="1:7" ht="15" hidden="1" x14ac:dyDescent="0.25">
      <c r="C31" s="528" t="s">
        <v>171</v>
      </c>
      <c r="D31" s="529">
        <v>8670</v>
      </c>
      <c r="E31" s="138"/>
      <c r="F31" s="530" t="b">
        <f>IF(C26&gt;4100,(IF(C26&lt;=8670,ROUND((((+C26-4100)*33%+788)*F26),-3),0)),FALSE)</f>
        <v>0</v>
      </c>
      <c r="G31" s="138" t="s">
        <v>556</v>
      </c>
    </row>
    <row r="32" spans="1:7" ht="15" hidden="1" x14ac:dyDescent="0.25">
      <c r="C32" s="528" t="s">
        <v>669</v>
      </c>
      <c r="D32" s="529">
        <v>18970</v>
      </c>
      <c r="E32" s="138"/>
      <c r="F32" s="530" t="b">
        <f>IF(C26&gt;8670,IF(C26&lt;=18970,ROUND((((+C26-8670)*35%+2296)*F26),-3),0))</f>
        <v>0</v>
      </c>
      <c r="G32" s="138" t="s">
        <v>562</v>
      </c>
    </row>
    <row r="33" spans="3:7" ht="15" hidden="1" x14ac:dyDescent="0.25">
      <c r="C33" s="528" t="s">
        <v>670</v>
      </c>
      <c r="D33" s="529">
        <v>31000</v>
      </c>
      <c r="E33" s="138"/>
      <c r="F33" s="530" t="b">
        <f>IF(C26&gt;18970,IF(C26&lt;=31000,ROUND((((+C26-18970)*37%+5901)*F26),-3),0))</f>
        <v>0</v>
      </c>
      <c r="G33" s="138" t="s">
        <v>564</v>
      </c>
    </row>
    <row r="34" spans="3:7" ht="15.75" hidden="1" thickBot="1" x14ac:dyDescent="0.3">
      <c r="C34" s="531" t="s">
        <v>671</v>
      </c>
      <c r="D34" s="532"/>
      <c r="E34" s="138"/>
      <c r="F34" s="533">
        <f>IF(C26&gt;31000,ROUND((((+C26-31000)*39%)*F26)+(10352*F26),-3),0)</f>
        <v>0</v>
      </c>
      <c r="G34" s="138" t="s">
        <v>672</v>
      </c>
    </row>
    <row r="35" spans="3:7" ht="13.5" hidden="1" thickBot="1" x14ac:dyDescent="0.25">
      <c r="C35" s="138"/>
      <c r="D35" s="138"/>
      <c r="E35" s="138"/>
      <c r="F35" s="138"/>
      <c r="G35" s="138"/>
    </row>
    <row r="36" spans="3:7" hidden="1" x14ac:dyDescent="0.2">
      <c r="C36" s="1329" t="s">
        <v>172</v>
      </c>
      <c r="D36" s="1330"/>
      <c r="E36" s="138"/>
      <c r="F36" s="138"/>
      <c r="G36" s="138"/>
    </row>
    <row r="37" spans="3:7" ht="15.75" hidden="1" thickBot="1" x14ac:dyDescent="0.3">
      <c r="C37" s="1331">
        <f>IF(F28=0,F28,IF(F29&gt;0,F29,IF(F30&gt;0,F30,IF(F31&gt;0,F31,IF(F32&gt;0,F32,IF(F33&gt;0,F33,IF(F34&gt;0,F34)))))))</f>
        <v>0</v>
      </c>
      <c r="D37" s="1332"/>
      <c r="E37" s="138"/>
      <c r="F37" s="138"/>
      <c r="G37" s="138"/>
    </row>
    <row r="38" spans="3:7" hidden="1" x14ac:dyDescent="0.2"/>
  </sheetData>
  <mergeCells count="22">
    <mergeCell ref="C26:D26"/>
    <mergeCell ref="C36:D36"/>
    <mergeCell ref="C37:D37"/>
    <mergeCell ref="A8:D8"/>
    <mergeCell ref="E8:F8"/>
    <mergeCell ref="C12:D12"/>
    <mergeCell ref="C22:D22"/>
    <mergeCell ref="C23:D23"/>
    <mergeCell ref="A24:D24"/>
    <mergeCell ref="E24:F24"/>
    <mergeCell ref="A7:D7"/>
    <mergeCell ref="E7:F7"/>
    <mergeCell ref="A1:F1"/>
    <mergeCell ref="A2:B2"/>
    <mergeCell ref="E2:F2"/>
    <mergeCell ref="A3:D3"/>
    <mergeCell ref="E3:F3"/>
    <mergeCell ref="A4:D4"/>
    <mergeCell ref="E4:F4"/>
    <mergeCell ref="A5:D5"/>
    <mergeCell ref="E5:F5"/>
    <mergeCell ref="A6:F6"/>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8"/>
  <sheetViews>
    <sheetView view="pageBreakPreview" zoomScale="160" zoomScaleNormal="100" zoomScaleSheetLayoutView="160" workbookViewId="0">
      <selection activeCell="H5" sqref="H5"/>
    </sheetView>
  </sheetViews>
  <sheetFormatPr baseColWidth="10" defaultRowHeight="12.75" x14ac:dyDescent="0.2"/>
  <cols>
    <col min="3" max="3" width="33.5703125" customWidth="1"/>
    <col min="4" max="4" width="18.28515625" customWidth="1"/>
    <col min="5" max="5" width="8.42578125" customWidth="1"/>
    <col min="6" max="6" width="12.42578125" customWidth="1"/>
  </cols>
  <sheetData>
    <row r="1" spans="1:7" ht="26.25" customHeight="1" x14ac:dyDescent="0.2">
      <c r="A1" s="1348" t="s">
        <v>557</v>
      </c>
      <c r="B1" s="1349"/>
      <c r="C1" s="1349"/>
      <c r="D1" s="1349"/>
      <c r="E1" s="1349"/>
      <c r="F1" s="1349"/>
    </row>
    <row r="2" spans="1:7" ht="26.25" customHeight="1" x14ac:dyDescent="0.2">
      <c r="A2" s="1350" t="s">
        <v>491</v>
      </c>
      <c r="B2" s="1350"/>
      <c r="C2" s="513" t="str">
        <f>+'DATOS PARA DEPURAR'!C7</f>
        <v>RIOJAS QUINTERO MAIRA ALEJANDRA</v>
      </c>
      <c r="D2" s="512" t="s">
        <v>347</v>
      </c>
      <c r="E2" s="1351">
        <f>+'DATOS PARA DEPURAR'!E7</f>
        <v>1065263869</v>
      </c>
      <c r="F2" s="1351"/>
    </row>
    <row r="3" spans="1:7" ht="24" customHeight="1" x14ac:dyDescent="0.2">
      <c r="A3" s="1344" t="s">
        <v>543</v>
      </c>
      <c r="B3" s="1344"/>
      <c r="C3" s="1344"/>
      <c r="D3" s="1344"/>
      <c r="E3" s="1347">
        <f>+'RENTA GENERAL NO LABORAL'!F88</f>
        <v>228499819</v>
      </c>
      <c r="F3" s="1347"/>
    </row>
    <row r="4" spans="1:7" ht="22.5" customHeight="1" x14ac:dyDescent="0.2">
      <c r="A4" s="1344" t="s">
        <v>528</v>
      </c>
      <c r="B4" s="1344"/>
      <c r="C4" s="1344"/>
      <c r="D4" s="1344"/>
      <c r="E4" s="1347">
        <f>+'RENTA GENERAL CAPITAL'!F53</f>
        <v>22996731.000000007</v>
      </c>
      <c r="F4" s="1347"/>
    </row>
    <row r="5" spans="1:7" ht="22.5" customHeight="1" x14ac:dyDescent="0.2">
      <c r="A5" s="1340" t="s">
        <v>550</v>
      </c>
      <c r="B5" s="1341"/>
      <c r="C5" s="1341"/>
      <c r="D5" s="1341"/>
      <c r="E5" s="1347">
        <f>SUM(E3:E4)</f>
        <v>251496550</v>
      </c>
      <c r="F5" s="1347"/>
    </row>
    <row r="6" spans="1:7" ht="15.75" customHeight="1" x14ac:dyDescent="0.2">
      <c r="A6" s="1340" t="s">
        <v>552</v>
      </c>
      <c r="B6" s="1341"/>
      <c r="C6" s="1341"/>
      <c r="D6" s="1341"/>
      <c r="E6" s="1342">
        <f>+C23</f>
        <v>65545000</v>
      </c>
      <c r="F6" s="1341"/>
    </row>
    <row r="7" spans="1:7" ht="15.75" customHeight="1" x14ac:dyDescent="0.2">
      <c r="A7" s="1343" t="s">
        <v>596</v>
      </c>
      <c r="B7" s="1343"/>
      <c r="C7" s="1343"/>
      <c r="D7" s="1343"/>
      <c r="E7" s="1343"/>
      <c r="F7" s="1343"/>
    </row>
    <row r="8" spans="1:7" ht="19.5" customHeight="1" x14ac:dyDescent="0.2">
      <c r="A8" s="1344" t="s">
        <v>344</v>
      </c>
      <c r="B8" s="1345"/>
      <c r="C8" s="1345"/>
      <c r="D8" s="1345"/>
      <c r="E8" s="1346">
        <f>+'FORMULARIO 2018 RENTA CEDULAR'!J13</f>
        <v>3000000</v>
      </c>
      <c r="F8" s="1346"/>
    </row>
    <row r="9" spans="1:7" ht="18" customHeight="1" x14ac:dyDescent="0.2">
      <c r="A9" s="1344" t="s">
        <v>460</v>
      </c>
      <c r="B9" s="1345"/>
      <c r="C9" s="1345"/>
      <c r="D9" s="1345"/>
      <c r="E9" s="1342">
        <f>+C36</f>
        <v>0</v>
      </c>
      <c r="F9" s="1341"/>
    </row>
    <row r="10" spans="1:7" ht="4.5" hidden="1" customHeight="1" x14ac:dyDescent="0.2"/>
    <row r="11" spans="1:7" ht="4.5" hidden="1" customHeight="1" thickBot="1" x14ac:dyDescent="0.25"/>
    <row r="12" spans="1:7" ht="4.5" hidden="1" customHeight="1" x14ac:dyDescent="0.2">
      <c r="C12" s="521" t="s">
        <v>8</v>
      </c>
      <c r="D12" s="522"/>
      <c r="E12" s="138"/>
      <c r="F12" s="523" t="s">
        <v>10</v>
      </c>
      <c r="G12" s="138"/>
    </row>
    <row r="13" spans="1:7" ht="4.5" hidden="1" customHeight="1" thickBot="1" x14ac:dyDescent="0.3">
      <c r="C13" s="1338">
        <f>+E5/F13</f>
        <v>5929.8441478826744</v>
      </c>
      <c r="D13" s="1339"/>
      <c r="E13" s="138"/>
      <c r="F13" s="524">
        <f>+'DATOS PARA DEPURAR'!C24</f>
        <v>42412</v>
      </c>
      <c r="G13" s="138"/>
    </row>
    <row r="14" spans="1:7" ht="4.5" hidden="1" customHeight="1" thickBot="1" x14ac:dyDescent="0.25">
      <c r="C14" s="138"/>
      <c r="D14" s="138"/>
      <c r="E14" s="138"/>
      <c r="F14" s="138"/>
      <c r="G14" s="138"/>
    </row>
    <row r="15" spans="1:7" ht="4.5" hidden="1" customHeight="1" x14ac:dyDescent="0.2">
      <c r="C15" s="525">
        <v>0</v>
      </c>
      <c r="D15" s="526">
        <v>600</v>
      </c>
      <c r="E15" s="138"/>
      <c r="F15" s="527" t="b">
        <f>IF(C13&lt;=600,0)</f>
        <v>0</v>
      </c>
      <c r="G15" s="138" t="s">
        <v>553</v>
      </c>
    </row>
    <row r="16" spans="1:7" ht="4.5" hidden="1" customHeight="1" x14ac:dyDescent="0.25">
      <c r="C16" s="534" t="s">
        <v>558</v>
      </c>
      <c r="D16" s="378">
        <v>1000</v>
      </c>
      <c r="E16" s="138"/>
      <c r="F16" s="530">
        <f>IF(C13&gt;600,(IF(C13&lt;=1000,ROUND((((+C13-600)*10%)*F13),-3),0)),FALSE)</f>
        <v>0</v>
      </c>
      <c r="G16" s="138" t="s">
        <v>554</v>
      </c>
    </row>
    <row r="17" spans="1:7" ht="4.5" hidden="1" customHeight="1" x14ac:dyDescent="0.25">
      <c r="C17" s="528" t="s">
        <v>559</v>
      </c>
      <c r="D17" s="378">
        <v>2000</v>
      </c>
      <c r="E17" s="138"/>
      <c r="F17" s="530">
        <f>IF(C13&gt;1000,(IF(C13&lt;=2000,ROUND((((+C13-1000)*20%+40)*F13),-3),0)),FALSE)</f>
        <v>0</v>
      </c>
      <c r="G17" s="138" t="s">
        <v>555</v>
      </c>
    </row>
    <row r="18" spans="1:7" ht="4.5" hidden="1" customHeight="1" x14ac:dyDescent="0.25">
      <c r="C18" s="528" t="s">
        <v>560</v>
      </c>
      <c r="D18" s="529">
        <v>3000</v>
      </c>
      <c r="E18" s="138"/>
      <c r="F18" s="530">
        <f>IF(C13&gt;2000,(IF(C13&lt;=3000,ROUND((((+C13-2000)*30%+240)*F13),-3),0)),FALSE)</f>
        <v>0</v>
      </c>
      <c r="G18" s="138" t="s">
        <v>556</v>
      </c>
    </row>
    <row r="19" spans="1:7" ht="4.5" hidden="1" customHeight="1" x14ac:dyDescent="0.25">
      <c r="C19" s="528" t="s">
        <v>561</v>
      </c>
      <c r="D19" s="529">
        <v>4000</v>
      </c>
      <c r="E19" s="138"/>
      <c r="F19" s="530">
        <f>IF(C13&gt;3000,IF(C13&lt;=4000,ROUND((((+C13-3000)*33%+540)*F13),-3),0))</f>
        <v>0</v>
      </c>
      <c r="G19" s="138" t="s">
        <v>562</v>
      </c>
    </row>
    <row r="20" spans="1:7" ht="4.5" hidden="1" customHeight="1" thickBot="1" x14ac:dyDescent="0.3">
      <c r="C20" s="531" t="s">
        <v>563</v>
      </c>
      <c r="D20" s="532"/>
      <c r="E20" s="138"/>
      <c r="F20" s="533">
        <f>IF(C13&gt;4000,ROUND((((+C13-4000)*35%)*F13)+(870*F13),-3),0)</f>
        <v>65545000</v>
      </c>
      <c r="G20" s="138" t="s">
        <v>564</v>
      </c>
    </row>
    <row r="21" spans="1:7" ht="4.5" hidden="1" customHeight="1" thickBot="1" x14ac:dyDescent="0.25">
      <c r="C21" s="138"/>
      <c r="D21" s="138"/>
      <c r="E21" s="138"/>
      <c r="F21" s="138"/>
      <c r="G21" s="138"/>
    </row>
    <row r="22" spans="1:7" ht="4.5" hidden="1" customHeight="1" x14ac:dyDescent="0.2">
      <c r="C22" s="1329" t="s">
        <v>172</v>
      </c>
      <c r="D22" s="1330"/>
      <c r="E22" s="138"/>
      <c r="F22" s="138"/>
      <c r="G22" s="138"/>
    </row>
    <row r="23" spans="1:7" ht="4.5" hidden="1" customHeight="1" thickBot="1" x14ac:dyDescent="0.3">
      <c r="C23" s="1331">
        <f>IF(F15=0,F15,IF(F16&gt;0,F16,IF(F17&gt;0,F17,IF(F18&gt;0,F18,IF(F19&gt;0,F19,IF(F20&gt;0,F20))))))</f>
        <v>65545000</v>
      </c>
      <c r="D23" s="1332"/>
      <c r="E23" s="138"/>
      <c r="F23" s="138"/>
      <c r="G23" s="138"/>
    </row>
    <row r="24" spans="1:7" ht="4.5" hidden="1" customHeight="1" thickBot="1" x14ac:dyDescent="0.25">
      <c r="A24" s="1335"/>
      <c r="B24" s="1336"/>
      <c r="C24" s="1336"/>
      <c r="D24" s="1336"/>
      <c r="E24" s="1337"/>
      <c r="F24" s="1337"/>
    </row>
    <row r="25" spans="1:7" ht="4.5" hidden="1" customHeight="1" x14ac:dyDescent="0.2">
      <c r="C25" s="521" t="s">
        <v>8</v>
      </c>
      <c r="D25" s="522"/>
      <c r="E25" s="138"/>
      <c r="F25" s="523" t="s">
        <v>10</v>
      </c>
      <c r="G25" s="138"/>
    </row>
    <row r="26" spans="1:7" ht="4.5" hidden="1" customHeight="1" thickBot="1" x14ac:dyDescent="0.3">
      <c r="C26" s="1353">
        <f>+E8/F26</f>
        <v>70.734697727058375</v>
      </c>
      <c r="D26" s="1339"/>
      <c r="E26" s="138"/>
      <c r="F26" s="524">
        <f>+F13</f>
        <v>42412</v>
      </c>
      <c r="G26" s="138"/>
    </row>
    <row r="27" spans="1:7" ht="4.5" hidden="1" customHeight="1" thickBot="1" x14ac:dyDescent="0.25">
      <c r="C27" s="138"/>
      <c r="D27" s="138"/>
      <c r="E27" s="138"/>
      <c r="F27" s="138"/>
      <c r="G27" s="138"/>
    </row>
    <row r="28" spans="1:7" ht="4.5" hidden="1" customHeight="1" x14ac:dyDescent="0.2">
      <c r="C28" s="525">
        <v>0</v>
      </c>
      <c r="D28" s="526">
        <v>600</v>
      </c>
      <c r="E28" s="138"/>
      <c r="F28" s="527">
        <f>IF(C26&lt;=600,0)</f>
        <v>0</v>
      </c>
      <c r="G28" s="138" t="s">
        <v>553</v>
      </c>
    </row>
    <row r="29" spans="1:7" ht="4.5" hidden="1" customHeight="1" x14ac:dyDescent="0.25">
      <c r="C29" s="534" t="s">
        <v>558</v>
      </c>
      <c r="D29" s="378">
        <v>1000</v>
      </c>
      <c r="E29" s="138"/>
      <c r="F29" s="530" t="b">
        <f>IF(C26&gt;600,(IF(C26&lt;=1000,ROUND((((+C26-600)*10%)*F26),-3),0)),FALSE)</f>
        <v>0</v>
      </c>
      <c r="G29" s="138" t="s">
        <v>554</v>
      </c>
    </row>
    <row r="30" spans="1:7" ht="4.5" hidden="1" customHeight="1" x14ac:dyDescent="0.25">
      <c r="C30" s="528" t="s">
        <v>559</v>
      </c>
      <c r="D30" s="378">
        <v>2000</v>
      </c>
      <c r="E30" s="138"/>
      <c r="F30" s="530" t="b">
        <f>IF(C26&gt;1000,(IF(C26&lt;=2000,ROUND((((+C26-1000)*20%+40)*F26),-3),0)),FALSE)</f>
        <v>0</v>
      </c>
      <c r="G30" s="138" t="s">
        <v>555</v>
      </c>
    </row>
    <row r="31" spans="1:7" ht="4.5" hidden="1" customHeight="1" x14ac:dyDescent="0.25">
      <c r="C31" s="528" t="s">
        <v>560</v>
      </c>
      <c r="D31" s="529">
        <v>3000</v>
      </c>
      <c r="E31" s="138"/>
      <c r="F31" s="530" t="b">
        <f>IF(C26&gt;2000,(IF(C26&lt;=3000,ROUND((((+C26-2000)*30%+240)*F26),-3),0)),FALSE)</f>
        <v>0</v>
      </c>
      <c r="G31" s="138" t="s">
        <v>556</v>
      </c>
    </row>
    <row r="32" spans="1:7" ht="4.5" hidden="1" customHeight="1" x14ac:dyDescent="0.25">
      <c r="C32" s="528" t="s">
        <v>561</v>
      </c>
      <c r="D32" s="529">
        <v>4000</v>
      </c>
      <c r="E32" s="138"/>
      <c r="F32" s="530" t="b">
        <f>IF(C26&gt;3000,IF(C26&lt;=4000,ROUND((((+C26-3000)*33%+540)*F26),-3),0))</f>
        <v>0</v>
      </c>
      <c r="G32" s="138" t="s">
        <v>562</v>
      </c>
    </row>
    <row r="33" spans="3:7" ht="4.5" hidden="1" customHeight="1" thickBot="1" x14ac:dyDescent="0.3">
      <c r="C33" s="531" t="s">
        <v>563</v>
      </c>
      <c r="D33" s="532"/>
      <c r="E33" s="138"/>
      <c r="F33" s="533">
        <f>IF(C26&gt;4000,ROUND((((+C26-4000)*35%)*F26)+(870*F26),-3),0)</f>
        <v>0</v>
      </c>
      <c r="G33" s="138" t="s">
        <v>564</v>
      </c>
    </row>
    <row r="34" spans="3:7" ht="4.5" hidden="1" customHeight="1" thickBot="1" x14ac:dyDescent="0.25">
      <c r="C34" s="138"/>
      <c r="D34" s="138"/>
      <c r="E34" s="138"/>
      <c r="F34" s="138"/>
      <c r="G34" s="138"/>
    </row>
    <row r="35" spans="3:7" ht="4.5" hidden="1" customHeight="1" x14ac:dyDescent="0.2">
      <c r="C35" s="1329" t="s">
        <v>172</v>
      </c>
      <c r="D35" s="1330"/>
      <c r="E35" s="138"/>
      <c r="F35" s="138"/>
      <c r="G35" s="138"/>
    </row>
    <row r="36" spans="3:7" ht="4.5" hidden="1" customHeight="1" thickBot="1" x14ac:dyDescent="0.3">
      <c r="C36" s="1331">
        <f>IF(F28=0,F28,IF(F29&gt;0,F29,IF(F30&gt;0,F30,IF(F31&gt;0,F31,IF(F32&gt;0,F32,IF(F33&gt;0,F33))))))</f>
        <v>0</v>
      </c>
      <c r="D36" s="1332"/>
      <c r="E36" s="138"/>
      <c r="F36" s="138"/>
      <c r="G36" s="138"/>
    </row>
    <row r="37" spans="3:7" ht="4.5" customHeight="1" x14ac:dyDescent="0.2"/>
    <row r="38" spans="3:7" ht="4.5" customHeight="1" x14ac:dyDescent="0.2"/>
  </sheetData>
  <sheetProtection algorithmName="SHA-512" hashValue="y4+b5ob4fCJFDgJbqwCjSjv0Ap9p3idMdJ19qr7ivXtrhRjuXQoIKQCV7nNvk9zhU0WbjXM5APIu5QaqI9vwDQ==" saltValue="MpLAmquX4+Tj4BKJ9PeYVA==" spinCount="100000" sheet="1" objects="1" scenarios="1"/>
  <mergeCells count="24">
    <mergeCell ref="C26:D26"/>
    <mergeCell ref="C35:D35"/>
    <mergeCell ref="C36:D36"/>
    <mergeCell ref="A7:F7"/>
    <mergeCell ref="A24:D24"/>
    <mergeCell ref="E24:F24"/>
    <mergeCell ref="A8:D8"/>
    <mergeCell ref="E8:F8"/>
    <mergeCell ref="A9:D9"/>
    <mergeCell ref="E9:F9"/>
    <mergeCell ref="C22:D22"/>
    <mergeCell ref="C23:D23"/>
    <mergeCell ref="A4:D4"/>
    <mergeCell ref="E4:F4"/>
    <mergeCell ref="A1:F1"/>
    <mergeCell ref="A2:B2"/>
    <mergeCell ref="E2:F2"/>
    <mergeCell ref="A3:D3"/>
    <mergeCell ref="E3:F3"/>
    <mergeCell ref="A5:D5"/>
    <mergeCell ref="E5:F5"/>
    <mergeCell ref="A6:D6"/>
    <mergeCell ref="E6:F6"/>
    <mergeCell ref="C13:D13"/>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66"/>
  </sheetPr>
  <dimension ref="A1:AZ191"/>
  <sheetViews>
    <sheetView showGridLines="0" view="pageBreakPreview" topLeftCell="A19" zoomScaleNormal="100" zoomScaleSheetLayoutView="100" workbookViewId="0">
      <selection activeCell="F12" sqref="F12"/>
    </sheetView>
  </sheetViews>
  <sheetFormatPr baseColWidth="10" defaultRowHeight="12.75" x14ac:dyDescent="0.2"/>
  <cols>
    <col min="1" max="1" width="2.85546875" style="184" customWidth="1"/>
    <col min="2" max="2" width="2.7109375" style="184" customWidth="1"/>
    <col min="3" max="3" width="4.42578125" style="184" customWidth="1"/>
    <col min="4" max="4" width="33.140625" style="184" customWidth="1"/>
    <col min="5" max="5" width="4" style="181" customWidth="1"/>
    <col min="6" max="6" width="17.42578125" style="184" customWidth="1"/>
    <col min="7" max="7" width="5.7109375" style="184" customWidth="1"/>
    <col min="8" max="8" width="4.42578125" style="184" customWidth="1"/>
    <col min="9" max="9" width="30.42578125" style="184" customWidth="1"/>
    <col min="10" max="10" width="4.28515625" style="181" customWidth="1"/>
    <col min="11" max="11" width="14.85546875" style="184" customWidth="1"/>
    <col min="12" max="12" width="12.28515625" style="184" hidden="1" customWidth="1"/>
    <col min="13" max="13" width="30.28515625" style="184" hidden="1" customWidth="1"/>
    <col min="14" max="14" width="11.28515625" style="184" hidden="1" customWidth="1"/>
    <col min="15" max="15" width="0.140625" style="184" hidden="1" customWidth="1"/>
    <col min="16" max="16" width="12.5703125" style="184" hidden="1" customWidth="1"/>
    <col min="17" max="17" width="63.7109375" style="184" hidden="1" customWidth="1"/>
    <col min="18" max="18" width="13.42578125" style="184" hidden="1" customWidth="1"/>
    <col min="19" max="19" width="0.140625" style="184" hidden="1" customWidth="1"/>
    <col min="20" max="20" width="12.28515625" style="184" hidden="1" customWidth="1"/>
    <col min="21" max="26" width="0.140625" style="184" hidden="1" customWidth="1"/>
    <col min="27" max="27" width="14.5703125" style="184" hidden="1" customWidth="1"/>
    <col min="28" max="28" width="17.7109375" style="184" hidden="1" customWidth="1"/>
    <col min="29" max="29" width="12.28515625" style="184" hidden="1" customWidth="1"/>
    <col min="30" max="30" width="11.28515625" style="184" hidden="1" customWidth="1"/>
    <col min="31" max="34" width="11.42578125" style="184" hidden="1" customWidth="1"/>
    <col min="35" max="35" width="5.140625" style="184" hidden="1" customWidth="1"/>
    <col min="36" max="36" width="11.42578125" style="184" hidden="1" customWidth="1"/>
    <col min="37" max="38" width="0" style="184" hidden="1" customWidth="1"/>
    <col min="39" max="48" width="11.42578125" style="184" hidden="1" customWidth="1"/>
    <col min="49" max="49" width="1.7109375" style="184" hidden="1" customWidth="1"/>
    <col min="50" max="52" width="11.42578125" style="184" hidden="1" customWidth="1"/>
    <col min="53" max="53" width="0" style="184" hidden="1" customWidth="1"/>
    <col min="54" max="16384" width="11.42578125" style="184"/>
  </cols>
  <sheetData>
    <row r="1" spans="1:30" ht="16.5" customHeight="1" x14ac:dyDescent="0.25">
      <c r="B1" s="1296" t="str">
        <f>+'DATOS PARA DEPURAR'!C7</f>
        <v>RIOJAS QUINTERO MAIRA ALEJANDRA</v>
      </c>
      <c r="C1" s="1296"/>
      <c r="D1" s="1296"/>
      <c r="E1" s="1296"/>
      <c r="F1" s="1296"/>
      <c r="G1" s="1296"/>
      <c r="H1" s="1354" t="s">
        <v>358</v>
      </c>
      <c r="I1" s="1354"/>
      <c r="J1" s="1354"/>
      <c r="K1" s="1354"/>
      <c r="Q1" s="570" t="s">
        <v>396</v>
      </c>
      <c r="R1" s="570"/>
      <c r="S1" s="570"/>
      <c r="T1" s="570"/>
      <c r="U1" s="570"/>
      <c r="V1" s="570"/>
      <c r="W1" s="570"/>
      <c r="X1" s="570"/>
      <c r="Y1" s="570"/>
      <c r="Z1" s="570"/>
      <c r="AA1" s="570"/>
      <c r="AB1" s="570"/>
      <c r="AC1" s="570"/>
      <c r="AD1" s="570"/>
    </row>
    <row r="2" spans="1:30" ht="15.75" customHeight="1" x14ac:dyDescent="0.2">
      <c r="B2" s="1297">
        <f>+'DATOS PARA DEPURAR'!E7</f>
        <v>1065263869</v>
      </c>
      <c r="C2" s="1297"/>
      <c r="D2" s="1297"/>
      <c r="E2" s="1297"/>
      <c r="F2" s="1297"/>
      <c r="G2" s="1297"/>
      <c r="H2" s="1354"/>
      <c r="I2" s="1354"/>
      <c r="J2" s="1354"/>
      <c r="K2" s="1354"/>
      <c r="Q2" s="570" t="s">
        <v>397</v>
      </c>
      <c r="R2" s="571">
        <f>+K35</f>
        <v>164923500</v>
      </c>
      <c r="S2" s="570"/>
      <c r="T2" s="572">
        <f>MIN(R2:R3)</f>
        <v>164923500</v>
      </c>
      <c r="U2" s="570"/>
      <c r="V2" s="570"/>
      <c r="W2" s="570"/>
      <c r="X2" s="570"/>
      <c r="Y2" s="570"/>
      <c r="Z2" s="570"/>
      <c r="AA2" s="570"/>
      <c r="AB2" s="571">
        <f>IF(K35&gt;(0),K35*5%*'DATOS PARA DEPURAR'!E11,0)</f>
        <v>0</v>
      </c>
      <c r="AC2" s="572"/>
      <c r="AD2" s="572">
        <f>MIN(AB2:AB3)</f>
        <v>0</v>
      </c>
    </row>
    <row r="3" spans="1:30" ht="9.75" customHeight="1" thickBot="1" x14ac:dyDescent="0.25">
      <c r="B3" s="1355"/>
      <c r="C3" s="1355"/>
      <c r="D3" s="1355"/>
      <c r="E3" s="1355"/>
      <c r="F3" s="1355"/>
      <c r="G3" s="1355"/>
      <c r="H3" s="1355"/>
      <c r="I3" s="1355"/>
      <c r="J3" s="1355"/>
      <c r="K3" s="1355"/>
      <c r="Q3" s="570" t="s">
        <v>24</v>
      </c>
      <c r="R3" s="573">
        <f>+K35</f>
        <v>164923500</v>
      </c>
      <c r="S3" s="570"/>
      <c r="T3" s="570"/>
      <c r="U3" s="570"/>
      <c r="V3" s="570"/>
      <c r="W3" s="570"/>
      <c r="X3" s="570"/>
      <c r="Y3" s="570"/>
      <c r="Z3" s="570"/>
      <c r="AA3" s="570"/>
      <c r="AB3" s="573">
        <f>+K35</f>
        <v>164923500</v>
      </c>
      <c r="AC3" s="570"/>
      <c r="AD3" s="572">
        <f>MIN(AB5:AB7)</f>
        <v>0</v>
      </c>
    </row>
    <row r="4" spans="1:30" ht="18.75" customHeight="1" thickBot="1" x14ac:dyDescent="0.25">
      <c r="A4" s="1356" t="s">
        <v>107</v>
      </c>
      <c r="B4" s="1360" t="s">
        <v>104</v>
      </c>
      <c r="C4" s="1361"/>
      <c r="D4" s="1362"/>
      <c r="E4" s="694">
        <v>28</v>
      </c>
      <c r="F4" s="695">
        <f>+'PATRIMONIO BRUTO'!F91</f>
        <v>4153418915.25</v>
      </c>
      <c r="G4" s="1368" t="s">
        <v>572</v>
      </c>
      <c r="H4" s="1369"/>
      <c r="I4" s="1369"/>
      <c r="J4" s="783">
        <f>+E44+1</f>
        <v>68</v>
      </c>
      <c r="K4" s="784">
        <f>IF(('DATOS PARA DEPURAR'!E22=1),0,D85)</f>
        <v>500000</v>
      </c>
      <c r="P4" s="567">
        <f>+F7+K5+F14+F26+K10</f>
        <v>1317340518</v>
      </c>
      <c r="Q4" s="570" t="s">
        <v>398</v>
      </c>
      <c r="R4" s="574">
        <f>IF((F7+K5+F14+F26+K10)&gt;0,(F7+K5+F14+F26+K10)*0.5%)</f>
        <v>6586702.5899999999</v>
      </c>
      <c r="S4" s="570"/>
      <c r="T4" s="572">
        <f>MIN(R4:R7)</f>
        <v>0</v>
      </c>
      <c r="U4" s="570"/>
      <c r="V4" s="570"/>
      <c r="W4" s="570"/>
      <c r="X4" s="570"/>
      <c r="Y4" s="570"/>
      <c r="Z4" s="570"/>
      <c r="AA4" s="570"/>
      <c r="AB4" s="571">
        <f>IF(K33=0,K6*0.5%*'DATOS PARA DEPURAR'!E11,0)</f>
        <v>0</v>
      </c>
      <c r="AC4" s="570">
        <f>MIN(N4:N6)</f>
        <v>0</v>
      </c>
      <c r="AD4" s="572">
        <f>IF(AB4&gt;AD3,AB4,AD3)</f>
        <v>0</v>
      </c>
    </row>
    <row r="5" spans="1:30" ht="24.75" customHeight="1" x14ac:dyDescent="0.2">
      <c r="A5" s="1357"/>
      <c r="B5" s="1363" t="s">
        <v>105</v>
      </c>
      <c r="C5" s="1287"/>
      <c r="D5" s="1364"/>
      <c r="E5" s="685">
        <f>+E4+1</f>
        <v>29</v>
      </c>
      <c r="F5" s="686">
        <f>+'PATRIMONIO BRUTO'!F135</f>
        <v>0</v>
      </c>
      <c r="G5" s="1436" t="s">
        <v>647</v>
      </c>
      <c r="H5" s="1359" t="s">
        <v>494</v>
      </c>
      <c r="I5" s="1359"/>
      <c r="J5" s="685">
        <f t="shared" ref="J5:J16" si="0">+J4+1</f>
        <v>69</v>
      </c>
      <c r="K5" s="682">
        <f>+'RENTA CEDULAR PENSION'!F4</f>
        <v>0</v>
      </c>
      <c r="Q5" s="570" t="s">
        <v>399</v>
      </c>
      <c r="R5" s="574">
        <f>IF((F7+K5+F14+F26+K10)&gt;0,(F7+K5+F14+F26+K10)*5%)</f>
        <v>65867025.900000006</v>
      </c>
      <c r="S5" s="570"/>
      <c r="T5" s="570"/>
      <c r="U5" s="570"/>
      <c r="V5" s="570"/>
      <c r="W5" s="570"/>
      <c r="X5" s="570"/>
      <c r="Y5" s="570"/>
      <c r="Z5" s="570"/>
      <c r="AA5" s="570"/>
      <c r="AB5" s="571">
        <f>IF(K33=0,K6*5%,0)</f>
        <v>0</v>
      </c>
      <c r="AC5" s="570"/>
      <c r="AD5" s="570"/>
    </row>
    <row r="6" spans="1:30" ht="19.5" customHeight="1" thickBot="1" x14ac:dyDescent="0.25">
      <c r="A6" s="1358"/>
      <c r="B6" s="1365" t="s">
        <v>106</v>
      </c>
      <c r="C6" s="1366"/>
      <c r="D6" s="1367"/>
      <c r="E6" s="698">
        <f t="shared" ref="E6:E13" si="1">+E5+1</f>
        <v>30</v>
      </c>
      <c r="F6" s="699">
        <f>IF((F4-F5)&gt;0,(F4-F5),0)</f>
        <v>4153418915.25</v>
      </c>
      <c r="G6" s="1437"/>
      <c r="H6" s="691" t="s">
        <v>474</v>
      </c>
      <c r="I6" s="691"/>
      <c r="J6" s="692">
        <f t="shared" si="0"/>
        <v>70</v>
      </c>
      <c r="K6" s="693">
        <f>+'RENTA CEDULAR PENSION'!F7</f>
        <v>0</v>
      </c>
      <c r="L6" s="184">
        <f>IF((K11)&gt;0,('DATOS PARA DEPURAR'!E225),0)</f>
        <v>0</v>
      </c>
      <c r="Q6" s="570" t="s">
        <v>400</v>
      </c>
      <c r="R6" s="570">
        <f>IF(K35=0,T6*2,0)</f>
        <v>0</v>
      </c>
      <c r="S6" s="570"/>
      <c r="T6" s="573">
        <f>IF((K36+K37+K38-K35-K39-K41)&gt;0,K36+K37+K38-K35-K39-K41,0)</f>
        <v>0</v>
      </c>
      <c r="U6" s="570"/>
      <c r="V6" s="570"/>
      <c r="W6" s="570"/>
      <c r="X6" s="570"/>
      <c r="Y6" s="570"/>
      <c r="Z6" s="570"/>
      <c r="AA6" s="570"/>
      <c r="AB6" s="571" t="b">
        <f>IF(K33=0,IF(K6&gt;0,AC6*2,0))</f>
        <v>0</v>
      </c>
      <c r="AC6" s="571">
        <f>-K33+K34+K35+K36-K37</f>
        <v>84843000</v>
      </c>
      <c r="AD6" s="571"/>
    </row>
    <row r="7" spans="1:30" ht="22.5" customHeight="1" x14ac:dyDescent="0.2">
      <c r="A7" s="1435" t="s">
        <v>662</v>
      </c>
      <c r="B7" s="1430" t="s">
        <v>490</v>
      </c>
      <c r="C7" s="1401" t="s">
        <v>472</v>
      </c>
      <c r="D7" s="1401"/>
      <c r="E7" s="681">
        <f>+E6+1</f>
        <v>31</v>
      </c>
      <c r="F7" s="682">
        <f>+'RENTA TRABAJO'!F4</f>
        <v>104803729</v>
      </c>
      <c r="G7" s="1437"/>
      <c r="H7" s="683" t="s">
        <v>681</v>
      </c>
      <c r="I7" s="684"/>
      <c r="J7" s="685">
        <f t="shared" si="0"/>
        <v>71</v>
      </c>
      <c r="K7" s="686">
        <f>+'RENTA CEDULAR PENSION'!F10</f>
        <v>0</v>
      </c>
      <c r="Q7" s="570" t="s">
        <v>401</v>
      </c>
      <c r="R7" s="574">
        <f>2500*'DATOS PARA DEPURAR'!C24</f>
        <v>106030000</v>
      </c>
      <c r="S7" s="570"/>
      <c r="T7" s="570"/>
      <c r="U7" s="570"/>
      <c r="V7" s="570"/>
      <c r="W7" s="570"/>
      <c r="X7" s="570"/>
      <c r="Y7" s="570"/>
      <c r="Z7" s="570"/>
      <c r="AA7" s="570"/>
      <c r="AB7" s="571" t="b">
        <f>IF(K33=0,IF(K6&gt;0,2500*'DATOS PARA DEPURAR'!C24,0))</f>
        <v>0</v>
      </c>
      <c r="AC7" s="571"/>
      <c r="AD7" s="571">
        <f>MIN(AB9:AB11)</f>
        <v>0</v>
      </c>
    </row>
    <row r="8" spans="1:30" ht="21" customHeight="1" x14ac:dyDescent="0.2">
      <c r="A8" s="1435"/>
      <c r="B8" s="1431"/>
      <c r="C8" s="1378" t="s">
        <v>644</v>
      </c>
      <c r="D8" s="1378"/>
      <c r="E8" s="692">
        <f t="shared" si="1"/>
        <v>32</v>
      </c>
      <c r="F8" s="693">
        <f>+'RENTA TRABAJO'!F25</f>
        <v>0</v>
      </c>
      <c r="G8" s="1437"/>
      <c r="H8" s="1370" t="s">
        <v>476</v>
      </c>
      <c r="I8" s="1371"/>
      <c r="J8" s="692">
        <f t="shared" si="0"/>
        <v>72</v>
      </c>
      <c r="K8" s="693">
        <f>+'RENTA CEDULAR PENSION'!F11</f>
        <v>0</v>
      </c>
      <c r="Q8" s="575" t="s">
        <v>381</v>
      </c>
      <c r="R8" s="576"/>
      <c r="S8" s="577"/>
      <c r="T8" s="577"/>
      <c r="U8" s="577"/>
      <c r="V8" s="577"/>
      <c r="W8" s="577"/>
      <c r="X8" s="577"/>
      <c r="Y8" s="577"/>
      <c r="Z8" s="577"/>
      <c r="AA8" s="577"/>
      <c r="AB8" s="578" t="b">
        <f>IF(K35=0,IF((P4)&lt;0,'DATOS PARA DEPURAR'!E20*1%*'DATOS PARA DEPURAR'!E11,0))</f>
        <v>0</v>
      </c>
      <c r="AC8" s="578"/>
      <c r="AD8" s="578" t="b">
        <f>IF(AB8&gt;AD7,AB8,AD7)</f>
        <v>0</v>
      </c>
    </row>
    <row r="9" spans="1:30" ht="20.25" customHeight="1" thickBot="1" x14ac:dyDescent="0.25">
      <c r="A9" s="1435"/>
      <c r="B9" s="1431"/>
      <c r="C9" s="1390" t="s">
        <v>645</v>
      </c>
      <c r="D9" s="1390"/>
      <c r="E9" s="685">
        <f>+E8+1</f>
        <v>33</v>
      </c>
      <c r="F9" s="709">
        <v>0</v>
      </c>
      <c r="G9" s="1438"/>
      <c r="H9" s="687" t="s">
        <v>682</v>
      </c>
      <c r="I9" s="688"/>
      <c r="J9" s="689">
        <f t="shared" si="0"/>
        <v>73</v>
      </c>
      <c r="K9" s="690">
        <f>+'RENTA CEDULAR PENSION'!F21</f>
        <v>0</v>
      </c>
      <c r="Q9" s="575" t="s">
        <v>399</v>
      </c>
      <c r="R9" s="577"/>
      <c r="S9" s="577"/>
      <c r="T9" s="577"/>
      <c r="U9" s="577"/>
      <c r="V9" s="577"/>
      <c r="W9" s="577"/>
      <c r="X9" s="577"/>
      <c r="Y9" s="577"/>
      <c r="Z9" s="577"/>
      <c r="AA9" s="577"/>
      <c r="AB9" s="578" t="b">
        <f>IF(K33=0,IF(P4=0,'DATOS PARA DEPURAR'!E20*10%,0))</f>
        <v>0</v>
      </c>
      <c r="AC9" s="578"/>
      <c r="AD9" s="578"/>
    </row>
    <row r="10" spans="1:30" ht="24" customHeight="1" x14ac:dyDescent="0.2">
      <c r="A10" s="1435"/>
      <c r="B10" s="1431"/>
      <c r="C10" s="1439" t="s">
        <v>646</v>
      </c>
      <c r="D10" s="1440"/>
      <c r="E10" s="692">
        <f>+E9+1</f>
        <v>34</v>
      </c>
      <c r="F10" s="693">
        <f>+'RENTA TRABAJO'!F31</f>
        <v>104803729</v>
      </c>
      <c r="G10" s="1383" t="s">
        <v>648</v>
      </c>
      <c r="H10" s="1377" t="s">
        <v>574</v>
      </c>
      <c r="I10" s="1377"/>
      <c r="J10" s="694">
        <f>+J9+1</f>
        <v>74</v>
      </c>
      <c r="K10" s="695">
        <f>+'RENTA CEDULAR DIVIDENDOS'!F4</f>
        <v>100000000</v>
      </c>
      <c r="L10" s="247"/>
      <c r="Q10" s="575" t="s">
        <v>400</v>
      </c>
      <c r="R10" s="577"/>
      <c r="S10" s="577"/>
      <c r="T10" s="577"/>
      <c r="U10" s="577"/>
      <c r="V10" s="577"/>
      <c r="W10" s="577"/>
      <c r="X10" s="577"/>
      <c r="Y10" s="577"/>
      <c r="Z10" s="577"/>
      <c r="AA10" s="577"/>
      <c r="AB10" s="578" t="b">
        <f>IF(K33=0,IF(P4=0,AC10*2,0))</f>
        <v>0</v>
      </c>
      <c r="AC10" s="578">
        <f>IF((K36+K37+K38-K35-K39-K41)&gt;0,K36+K37+K38-K35-K39-K41,0)</f>
        <v>0</v>
      </c>
      <c r="AD10" s="578"/>
    </row>
    <row r="11" spans="1:30" ht="19.5" customHeight="1" x14ac:dyDescent="0.2">
      <c r="A11" s="1435"/>
      <c r="B11" s="1431"/>
      <c r="C11" s="1374" t="s">
        <v>476</v>
      </c>
      <c r="D11" s="1374"/>
      <c r="E11" s="685">
        <f t="shared" si="1"/>
        <v>35</v>
      </c>
      <c r="F11" s="709">
        <f>+'RENTA TRABAJO'!F32</f>
        <v>41581597.625</v>
      </c>
      <c r="G11" s="1384"/>
      <c r="H11" s="696" t="s">
        <v>474</v>
      </c>
      <c r="I11" s="696"/>
      <c r="J11" s="685">
        <f t="shared" si="0"/>
        <v>75</v>
      </c>
      <c r="K11" s="686">
        <f>+'RENTA CEDULAR DIVIDENDOS'!F7</f>
        <v>0</v>
      </c>
      <c r="L11" s="247"/>
      <c r="M11" s="247" t="s">
        <v>318</v>
      </c>
      <c r="N11" s="247" t="s">
        <v>319</v>
      </c>
      <c r="Q11" s="575" t="s">
        <v>401</v>
      </c>
      <c r="R11" s="577"/>
      <c r="S11" s="577"/>
      <c r="T11" s="577"/>
      <c r="U11" s="577"/>
      <c r="V11" s="577"/>
      <c r="W11" s="577"/>
      <c r="X11" s="577"/>
      <c r="Y11" s="577"/>
      <c r="Z11" s="577"/>
      <c r="AA11" s="577"/>
      <c r="AB11" s="578" t="b">
        <f>IF(K33=0,IF(P4=0,2500*'DATOS PARA DEPURAR'!C24,0))</f>
        <v>0</v>
      </c>
      <c r="AC11" s="578"/>
      <c r="AD11" s="578"/>
    </row>
    <row r="12" spans="1:30" ht="22.5" customHeight="1" x14ac:dyDescent="0.2">
      <c r="A12" s="1435"/>
      <c r="B12" s="1431"/>
      <c r="C12" s="1387" t="s">
        <v>488</v>
      </c>
      <c r="D12" s="1387"/>
      <c r="E12" s="692">
        <f t="shared" si="1"/>
        <v>36</v>
      </c>
      <c r="F12" s="693">
        <f>+'RENTA TRABAJO'!F53</f>
        <v>41581597.625</v>
      </c>
      <c r="G12" s="1384"/>
      <c r="H12" s="697" t="s">
        <v>575</v>
      </c>
      <c r="I12" s="697"/>
      <c r="J12" s="692">
        <f t="shared" si="0"/>
        <v>76</v>
      </c>
      <c r="K12" s="693">
        <f>+'RENTA CEDULAR DIVIDENDOS'!F10</f>
        <v>100000000</v>
      </c>
      <c r="L12" s="247"/>
      <c r="M12" s="184">
        <f>IF(('DATOS PARA DEPURAR'!D62)="S",'DATOS PARA DEPURAR'!E62,0)</f>
        <v>0</v>
      </c>
      <c r="N12" s="184">
        <f>IF(('DATOS PARA DEPURAR'!D62)="N",'DATOS PARA DEPURAR'!E62,0)</f>
        <v>100000000</v>
      </c>
      <c r="Q12" s="577"/>
      <c r="R12" s="577"/>
      <c r="S12" s="577"/>
      <c r="T12" s="577"/>
      <c r="U12" s="577"/>
      <c r="V12" s="577"/>
      <c r="W12" s="577"/>
      <c r="X12" s="577"/>
      <c r="Y12" s="577"/>
      <c r="Z12" s="577"/>
      <c r="AA12" s="577"/>
      <c r="AB12" s="579" t="s">
        <v>409</v>
      </c>
      <c r="AC12" s="579">
        <f>10*'DATOS PARA DEPURAR'!E25</f>
        <v>470650</v>
      </c>
      <c r="AD12" s="580">
        <f>+AC12</f>
        <v>470650</v>
      </c>
    </row>
    <row r="13" spans="1:30" ht="23.25" customHeight="1" thickBot="1" x14ac:dyDescent="0.25">
      <c r="A13" s="1435"/>
      <c r="B13" s="1432"/>
      <c r="C13" s="1388" t="s">
        <v>489</v>
      </c>
      <c r="D13" s="1389"/>
      <c r="E13" s="689">
        <f t="shared" si="1"/>
        <v>37</v>
      </c>
      <c r="F13" s="710">
        <f>+'RENTA TRABAJO'!F57</f>
        <v>63222131.375</v>
      </c>
      <c r="G13" s="1384"/>
      <c r="H13" s="1390" t="s">
        <v>576</v>
      </c>
      <c r="I13" s="1390"/>
      <c r="J13" s="685">
        <f t="shared" si="0"/>
        <v>77</v>
      </c>
      <c r="K13" s="686">
        <f>+'RENTA CEDULAR DIVIDENDOS'!F11</f>
        <v>0</v>
      </c>
      <c r="L13" s="247"/>
      <c r="M13" s="184">
        <f>IF(('DATOS PARA DEPURAR'!D64)="S",'DATOS PARA DEPURAR'!E64,0)</f>
        <v>0</v>
      </c>
      <c r="N13" s="184">
        <f>IF(('DATOS PARA DEPURAR'!D64)="N",'DATOS PARA DEPURAR'!E64,0)</f>
        <v>100000000</v>
      </c>
      <c r="Q13" s="577"/>
      <c r="R13" s="577"/>
      <c r="S13" s="577"/>
      <c r="T13" s="577"/>
      <c r="U13" s="577"/>
      <c r="V13" s="577"/>
      <c r="W13" s="577"/>
      <c r="X13" s="577"/>
      <c r="Y13" s="577"/>
      <c r="Z13" s="577"/>
      <c r="AA13" s="577"/>
      <c r="AB13" s="577"/>
      <c r="AC13" s="577"/>
      <c r="AD13" s="578">
        <f>MAX(AD2:AD12)</f>
        <v>470650</v>
      </c>
    </row>
    <row r="14" spans="1:30" ht="21.75" customHeight="1" x14ac:dyDescent="0.2">
      <c r="A14" s="1435"/>
      <c r="B14" s="1398" t="s">
        <v>508</v>
      </c>
      <c r="C14" s="704" t="s">
        <v>502</v>
      </c>
      <c r="D14" s="705"/>
      <c r="E14" s="694">
        <f>+E13+1</f>
        <v>38</v>
      </c>
      <c r="F14" s="706">
        <f>+'RENTA GENERAL CAPITAL'!F4</f>
        <v>69080000</v>
      </c>
      <c r="G14" s="1385"/>
      <c r="H14" s="1378" t="s">
        <v>577</v>
      </c>
      <c r="I14" s="1378"/>
      <c r="J14" s="692">
        <f t="shared" si="0"/>
        <v>78</v>
      </c>
      <c r="K14" s="693">
        <f>+'RENTA CEDULAR DIVIDENDOS'!F12</f>
        <v>100000000</v>
      </c>
      <c r="L14" s="247">
        <f>IF(('DATOS PARA DEPURAR'!E240)&lt;=M17,('DATOS PARA DEPURAR'!E240),M17)</f>
        <v>0</v>
      </c>
      <c r="M14" s="247" t="s">
        <v>352</v>
      </c>
      <c r="Q14" s="577"/>
      <c r="R14" s="577"/>
      <c r="S14" s="577"/>
      <c r="T14" s="577"/>
      <c r="U14" s="577"/>
      <c r="V14" s="577"/>
      <c r="W14" s="577"/>
      <c r="X14" s="577"/>
      <c r="Y14" s="577"/>
      <c r="Z14" s="577"/>
      <c r="AA14" s="577"/>
      <c r="AB14" s="577"/>
      <c r="AC14" s="577"/>
      <c r="AD14" s="577">
        <f>IF('DATOS PARA DEPURAR'!C11="EXTEMPORANEA",'FORMULARIO 2019 RENTA CEDULA'!AD13,0)</f>
        <v>0</v>
      </c>
    </row>
    <row r="15" spans="1:30" ht="24" customHeight="1" x14ac:dyDescent="0.2">
      <c r="A15" s="1435"/>
      <c r="B15" s="1399"/>
      <c r="C15" s="677" t="s">
        <v>474</v>
      </c>
      <c r="D15" s="678"/>
      <c r="E15" s="685">
        <f>+E14+1</f>
        <v>39</v>
      </c>
      <c r="F15" s="707">
        <f>+'RENTA GENERAL CAPITAL'!F8</f>
        <v>46083267.999999993</v>
      </c>
      <c r="G15" s="1385"/>
      <c r="H15" s="1382" t="s">
        <v>578</v>
      </c>
      <c r="I15" s="1382"/>
      <c r="J15" s="685">
        <f t="shared" si="0"/>
        <v>79</v>
      </c>
      <c r="K15" s="686">
        <f>+'RENTA CEDULAR DIVIDENDOS'!F13</f>
        <v>0</v>
      </c>
      <c r="L15" s="247"/>
      <c r="M15" s="248">
        <f>2300*'DATOS PARA DEPURAR'!C24</f>
        <v>97547600</v>
      </c>
      <c r="N15" s="247" t="s">
        <v>353</v>
      </c>
      <c r="Q15" s="247" t="s">
        <v>415</v>
      </c>
      <c r="R15" s="275" t="s">
        <v>441</v>
      </c>
      <c r="T15" s="184">
        <f>IF(K34+K35+K36-K33-K37&gt;0,K34+K35+K36-K33-K37,0)</f>
        <v>84843000</v>
      </c>
      <c r="AA15" s="416" t="s">
        <v>440</v>
      </c>
    </row>
    <row r="16" spans="1:30" ht="17.25" customHeight="1" thickBot="1" x14ac:dyDescent="0.25">
      <c r="A16" s="1435"/>
      <c r="B16" s="1399"/>
      <c r="C16" s="702" t="s">
        <v>650</v>
      </c>
      <c r="D16" s="703"/>
      <c r="E16" s="692">
        <f>+E15+1</f>
        <v>40</v>
      </c>
      <c r="F16" s="708">
        <f>+'RENTA GENERAL CAPITAL'!F13</f>
        <v>1</v>
      </c>
      <c r="G16" s="1386"/>
      <c r="H16" s="1376" t="s">
        <v>649</v>
      </c>
      <c r="I16" s="1376"/>
      <c r="J16" s="698">
        <f t="shared" si="0"/>
        <v>80</v>
      </c>
      <c r="K16" s="699">
        <f>+'RENTA CEDULAR DIVIDENDOS'!F14</f>
        <v>0</v>
      </c>
      <c r="L16" s="247"/>
      <c r="M16" s="248">
        <f>+K6*60%</f>
        <v>0</v>
      </c>
      <c r="N16" s="247" t="s">
        <v>354</v>
      </c>
      <c r="R16" s="247">
        <f>IF(T15&gt;0,T15,0)</f>
        <v>84843000</v>
      </c>
      <c r="AA16" s="184">
        <f>IF(K38&gt;0,K38,0)</f>
        <v>18615000</v>
      </c>
    </row>
    <row r="17" spans="1:28" ht="18" customHeight="1" thickBot="1" x14ac:dyDescent="0.25">
      <c r="A17" s="1435"/>
      <c r="B17" s="1399"/>
      <c r="C17" s="551" t="s">
        <v>582</v>
      </c>
      <c r="D17" s="552"/>
      <c r="E17" s="552"/>
      <c r="F17" s="552"/>
      <c r="G17" s="700"/>
      <c r="H17" s="701"/>
      <c r="I17" s="551" t="s">
        <v>581</v>
      </c>
      <c r="J17" s="552"/>
      <c r="K17" s="553"/>
      <c r="L17" s="247"/>
      <c r="M17" s="251">
        <f>MIN(M15:M16)</f>
        <v>0</v>
      </c>
      <c r="Q17" s="275" t="s">
        <v>416</v>
      </c>
      <c r="R17" s="184">
        <f>IF((('DATOS PARA DEPURAR'!C14)*(-1)-R16)&gt;0,(('DATOS PARA DEPURAR'!C14)*(-1)-R16)*10%,0)</f>
        <v>0</v>
      </c>
      <c r="AA17" s="184">
        <f>IF((AA16-'DATOS PARA DEPURAR'!C14)&gt;0,(AA16-'DATOS PARA DEPURAR'!C14)*10%,0)</f>
        <v>1908000</v>
      </c>
    </row>
    <row r="18" spans="1:28" ht="23.25" customHeight="1" x14ac:dyDescent="0.2">
      <c r="A18" s="1435"/>
      <c r="B18" s="1399"/>
      <c r="C18" s="679" t="s">
        <v>683</v>
      </c>
      <c r="D18" s="679"/>
      <c r="E18" s="685">
        <f>+E16+1</f>
        <v>41</v>
      </c>
      <c r="F18" s="707">
        <f>+'RENTA GENERAL CAPITAL'!F30</f>
        <v>22996731.000000007</v>
      </c>
      <c r="G18" s="1433" t="s">
        <v>68</v>
      </c>
      <c r="H18" s="1373" t="s">
        <v>569</v>
      </c>
      <c r="I18" s="1373"/>
      <c r="J18" s="694">
        <f>+J16+1</f>
        <v>81</v>
      </c>
      <c r="K18" s="695">
        <f>+'DEPURACION POR IMAS EMPLEADO'!I37+'DEPURACION POR IMAS EMPLEADO'!J30+'DEPURACION POR IMAS EMPLEADO'!I39+IF(('DATOS PARA DEPURAR'!D97="s"),'DATOS PARA DEPURAR'!E97,0)</f>
        <v>1890000000</v>
      </c>
      <c r="L18" s="247"/>
      <c r="R18" s="299">
        <f>+AD12</f>
        <v>470650</v>
      </c>
      <c r="AA18" s="299">
        <f>+AD12</f>
        <v>470650</v>
      </c>
    </row>
    <row r="19" spans="1:28" ht="20.25" customHeight="1" x14ac:dyDescent="0.2">
      <c r="A19" s="1435"/>
      <c r="B19" s="1399"/>
      <c r="C19" s="702" t="s">
        <v>524</v>
      </c>
      <c r="D19" s="702"/>
      <c r="E19" s="692">
        <f t="shared" ref="E19:E38" si="2">+E18+1</f>
        <v>42</v>
      </c>
      <c r="F19" s="708">
        <f>+'RENTA GENERAL CAPITAL'!F32</f>
        <v>0</v>
      </c>
      <c r="G19" s="1433"/>
      <c r="H19" s="1374" t="s">
        <v>87</v>
      </c>
      <c r="I19" s="1374"/>
      <c r="J19" s="685">
        <f t="shared" ref="J19:J24" si="3">+J18+1</f>
        <v>82</v>
      </c>
      <c r="K19" s="686">
        <f>SUM('DEPURACION POR IMAS EMPLEADO'!I40:I41)+L6</f>
        <v>0</v>
      </c>
      <c r="L19" s="254"/>
      <c r="M19" s="323">
        <f>384*'DATOS PARA DEPURAR'!C24</f>
        <v>16286208</v>
      </c>
      <c r="R19" s="184">
        <f>MAX(R17:R18)</f>
        <v>470650</v>
      </c>
      <c r="AA19" s="363">
        <f>MAX(AA17:AA18)</f>
        <v>1908000</v>
      </c>
      <c r="AB19" s="184">
        <f>IF('DATOS PARA DEPURAR'!C13="S",'FORMULARIO 2019 RENTA CEDULA'!AB23,0)</f>
        <v>0</v>
      </c>
    </row>
    <row r="20" spans="1:28" ht="21.75" customHeight="1" x14ac:dyDescent="0.2">
      <c r="A20" s="1435"/>
      <c r="B20" s="1399"/>
      <c r="C20" s="1434" t="s">
        <v>476</v>
      </c>
      <c r="D20" s="1434"/>
      <c r="E20" s="685">
        <f t="shared" si="2"/>
        <v>43</v>
      </c>
      <c r="F20" s="707">
        <f>+'RENTA GENERAL CAPITAL'!F34</f>
        <v>0</v>
      </c>
      <c r="G20" s="1433"/>
      <c r="H20" s="1375" t="s">
        <v>88</v>
      </c>
      <c r="I20" s="1375"/>
      <c r="J20" s="692">
        <f t="shared" si="3"/>
        <v>83</v>
      </c>
      <c r="K20" s="693">
        <f>'DEPURACION POR IMAS EMPLEADO'!I42</f>
        <v>1089195000</v>
      </c>
      <c r="L20" s="254"/>
      <c r="M20" s="253">
        <f>IF('DATOS PARA DEPURAR'!E247="S",(F7+N20)*10%,0)</f>
        <v>0</v>
      </c>
      <c r="N20" s="184">
        <f>IF('DATOS PARA DEPURAR'!E106="S",SUM('DATOS PARA DEPURAR'!E52:E55),0)</f>
        <v>0</v>
      </c>
      <c r="Q20" s="275" t="s">
        <v>417</v>
      </c>
      <c r="R20" s="184">
        <f>IF('DATOS PARA DEPURAR'!E14="S",'FORMULARIO 2019 RENTA CEDULA'!R17*2,0)</f>
        <v>0</v>
      </c>
      <c r="AA20" s="184">
        <f>IF('DATOS PARA DEPURAR'!E14="S",'FORMULARIO 2019 RENTA CEDULA'!AA17*2,0)</f>
        <v>0</v>
      </c>
    </row>
    <row r="21" spans="1:28" ht="13.5" customHeight="1" thickBot="1" x14ac:dyDescent="0.25">
      <c r="A21" s="1435"/>
      <c r="B21" s="1399"/>
      <c r="C21" s="1416" t="s">
        <v>488</v>
      </c>
      <c r="D21" s="1416"/>
      <c r="E21" s="692">
        <f t="shared" si="2"/>
        <v>44</v>
      </c>
      <c r="F21" s="708">
        <f>+'RENTA GENERAL CAPITAL'!F46</f>
        <v>0</v>
      </c>
      <c r="G21" s="1433"/>
      <c r="H21" s="1372" t="s">
        <v>89</v>
      </c>
      <c r="I21" s="1372"/>
      <c r="J21" s="689">
        <f t="shared" si="3"/>
        <v>84</v>
      </c>
      <c r="K21" s="690">
        <f>+K18-K19-K20</f>
        <v>800805000</v>
      </c>
      <c r="L21" s="254"/>
      <c r="M21" s="324">
        <f>MIN(M19:M20)</f>
        <v>0</v>
      </c>
      <c r="R21" s="299">
        <f>+AD12</f>
        <v>470650</v>
      </c>
      <c r="AA21" s="377">
        <f>+AD12</f>
        <v>470650</v>
      </c>
    </row>
    <row r="22" spans="1:28" ht="21" customHeight="1" x14ac:dyDescent="0.2">
      <c r="A22" s="1435"/>
      <c r="B22" s="1399"/>
      <c r="C22" s="1328" t="s">
        <v>684</v>
      </c>
      <c r="D22" s="1328"/>
      <c r="E22" s="685">
        <f t="shared" si="2"/>
        <v>45</v>
      </c>
      <c r="F22" s="707">
        <f>+'RENTA GENERAL CAPITAL'!F50</f>
        <v>22996731.000000007</v>
      </c>
      <c r="G22" s="1394" t="s">
        <v>165</v>
      </c>
      <c r="H22" s="1379" t="s">
        <v>665</v>
      </c>
      <c r="I22" s="729" t="s">
        <v>663</v>
      </c>
      <c r="J22" s="724">
        <f t="shared" si="3"/>
        <v>85</v>
      </c>
      <c r="K22" s="727">
        <f>IF((F44&gt;(K4+K9)),'Num. 2 ART 241 E.T. 2019'!E5,0)</f>
        <v>84843000</v>
      </c>
      <c r="L22" s="371">
        <f>+M31</f>
        <v>51442000</v>
      </c>
      <c r="M22" s="256" t="s">
        <v>8</v>
      </c>
      <c r="N22" s="257"/>
      <c r="P22" s="258" t="s">
        <v>10</v>
      </c>
      <c r="R22" s="184">
        <f>MAX(R20:R21)</f>
        <v>470650</v>
      </c>
      <c r="AA22" s="184">
        <f>MAX(AA20:AA21)</f>
        <v>470650</v>
      </c>
    </row>
    <row r="23" spans="1:28" ht="24" customHeight="1" thickBot="1" x14ac:dyDescent="0.3">
      <c r="A23" s="1435"/>
      <c r="B23" s="1399"/>
      <c r="C23" s="1424" t="s">
        <v>685</v>
      </c>
      <c r="D23" s="1424"/>
      <c r="E23" s="692">
        <f t="shared" si="2"/>
        <v>46</v>
      </c>
      <c r="F23" s="708">
        <f>+'RENTA GENERAL CAPITAL'!F51</f>
        <v>0</v>
      </c>
      <c r="G23" s="1320"/>
      <c r="H23" s="1379"/>
      <c r="I23" s="721" t="s">
        <v>664</v>
      </c>
      <c r="J23" s="722">
        <f t="shared" si="3"/>
        <v>86</v>
      </c>
      <c r="K23" s="726">
        <f>IF((K4+K9)&gt;F44,('Num. 2 ART 241 E.T. 2019'!E8),0)</f>
        <v>0</v>
      </c>
      <c r="L23" s="254">
        <f>_xlfn.CEILING.PRECISE(I75,1000)</f>
        <v>2801000</v>
      </c>
      <c r="M23" s="1292">
        <f>+F37/P23</f>
        <v>5387.6218758841833</v>
      </c>
      <c r="N23" s="1293"/>
      <c r="P23" s="259">
        <f>+'DATOS PARA DEPURAR'!C24</f>
        <v>42412</v>
      </c>
      <c r="T23" s="184">
        <f>IF(R20&gt;0,R22,R19)</f>
        <v>470650</v>
      </c>
      <c r="AB23" s="184">
        <f>IF(AA20&gt;0,AA22,AA19)</f>
        <v>1908000</v>
      </c>
    </row>
    <row r="24" spans="1:28" ht="24.75" customHeight="1" thickBot="1" x14ac:dyDescent="0.25">
      <c r="A24" s="1435"/>
      <c r="B24" s="1399"/>
      <c r="C24" s="1428" t="s">
        <v>656</v>
      </c>
      <c r="D24" s="1428"/>
      <c r="E24" s="685">
        <f t="shared" si="2"/>
        <v>47</v>
      </c>
      <c r="F24" s="707">
        <f>+'RENTA GENERAL CAPITAL'!F52</f>
        <v>0</v>
      </c>
      <c r="G24" s="1320"/>
      <c r="H24" s="1379"/>
      <c r="I24" s="723" t="s">
        <v>586</v>
      </c>
      <c r="J24" s="724">
        <f t="shared" si="3"/>
        <v>87</v>
      </c>
      <c r="K24" s="727"/>
      <c r="Q24" s="247" t="s">
        <v>428</v>
      </c>
      <c r="AA24" s="184">
        <f>IF(T15&gt;0,T23,AB23)</f>
        <v>470650</v>
      </c>
    </row>
    <row r="25" spans="1:28" ht="27.75" customHeight="1" thickBot="1" x14ac:dyDescent="0.25">
      <c r="A25" s="1435"/>
      <c r="B25" s="1399"/>
      <c r="C25" s="1429" t="s">
        <v>687</v>
      </c>
      <c r="D25" s="1429"/>
      <c r="E25" s="692">
        <f t="shared" si="2"/>
        <v>48</v>
      </c>
      <c r="F25" s="708">
        <f>+'RENTA GENERAL CAPITAL'!F53</f>
        <v>22996731.000000007</v>
      </c>
      <c r="G25" s="1320"/>
      <c r="H25" s="1379"/>
      <c r="I25" s="725" t="s">
        <v>588</v>
      </c>
      <c r="J25" s="722">
        <f t="shared" ref="J25:J31" si="4">+J24+1</f>
        <v>88</v>
      </c>
      <c r="K25" s="728"/>
      <c r="M25" s="262">
        <v>0</v>
      </c>
      <c r="N25" s="263">
        <v>1090</v>
      </c>
      <c r="P25" s="264" t="b">
        <f>IF(M23&lt;=1090,0)</f>
        <v>0</v>
      </c>
      <c r="Q25" s="184">
        <f>+'DATOS PARA DEPURAR'!E17</f>
        <v>44301</v>
      </c>
      <c r="AB25" s="184">
        <f>+AA24/0.1</f>
        <v>4706500</v>
      </c>
    </row>
    <row r="26" spans="1:28" ht="23.25" customHeight="1" x14ac:dyDescent="0.25">
      <c r="A26" s="1435"/>
      <c r="B26" s="1398" t="s">
        <v>568</v>
      </c>
      <c r="C26" s="711" t="s">
        <v>534</v>
      </c>
      <c r="D26" s="712"/>
      <c r="E26" s="681">
        <f t="shared" si="2"/>
        <v>49</v>
      </c>
      <c r="F26" s="682">
        <f>+'RENTA GENERAL NO LABORAL'!F4</f>
        <v>1043456789</v>
      </c>
      <c r="G26" s="1320"/>
      <c r="H26" s="1379"/>
      <c r="I26" s="723" t="s">
        <v>587</v>
      </c>
      <c r="J26" s="724">
        <f t="shared" si="4"/>
        <v>89</v>
      </c>
      <c r="K26" s="727"/>
      <c r="M26" s="265" t="s">
        <v>169</v>
      </c>
      <c r="N26" s="266">
        <v>1700</v>
      </c>
      <c r="P26" s="267">
        <f>IF(M23&gt;1090,(IF(M23&lt;=1700,ROUND((((+M23-1090)*19%)*P23),-3),0)),FALSE)</f>
        <v>0</v>
      </c>
      <c r="Q26" s="184">
        <f>+'DATOS PARA DEPURAR'!C17</f>
        <v>45568</v>
      </c>
      <c r="AB26" s="298">
        <f>+AB25*Q28*5%</f>
        <v>-9883650</v>
      </c>
    </row>
    <row r="27" spans="1:28" ht="22.5" customHeight="1" thickBot="1" x14ac:dyDescent="0.3">
      <c r="A27" s="1435"/>
      <c r="B27" s="1399"/>
      <c r="C27" s="713" t="s">
        <v>547</v>
      </c>
      <c r="D27" s="713"/>
      <c r="E27" s="692">
        <f t="shared" si="2"/>
        <v>50</v>
      </c>
      <c r="F27" s="693">
        <f>+'RENTA GENERAL NO LABORAL'!F24</f>
        <v>0</v>
      </c>
      <c r="G27" s="1320"/>
      <c r="H27" s="1379"/>
      <c r="I27" s="731" t="s">
        <v>666</v>
      </c>
      <c r="J27" s="722">
        <f>+J26+1</f>
        <v>90</v>
      </c>
      <c r="K27" s="726">
        <f>SUM(K22:K26)</f>
        <v>84843000</v>
      </c>
      <c r="M27" s="265" t="s">
        <v>170</v>
      </c>
      <c r="N27" s="266">
        <v>4100</v>
      </c>
      <c r="P27" s="267">
        <f>IF(M23&gt;1700,IF(M23&lt;=4100,ROUND((((+M23-1700)*28%+116)*P23),-3),0))</f>
        <v>0</v>
      </c>
      <c r="Q27" s="184">
        <f>+Q25-Q26</f>
        <v>-1267</v>
      </c>
      <c r="AB27" s="390">
        <f>IF(AB26&gt;AB25,AB25,AB26)</f>
        <v>-9883650</v>
      </c>
    </row>
    <row r="28" spans="1:28" ht="25.5" customHeight="1" thickBot="1" x14ac:dyDescent="0.3">
      <c r="A28" s="1435"/>
      <c r="B28" s="1399"/>
      <c r="C28" s="714" t="s">
        <v>474</v>
      </c>
      <c r="D28" s="715"/>
      <c r="E28" s="685">
        <f t="shared" si="2"/>
        <v>51</v>
      </c>
      <c r="F28" s="686">
        <f>+'RENTA GENERAL NO LABORAL'!F26</f>
        <v>9236000</v>
      </c>
      <c r="G28" s="1320"/>
      <c r="H28" s="1425" t="s">
        <v>138</v>
      </c>
      <c r="I28" s="732" t="s">
        <v>590</v>
      </c>
      <c r="J28" s="733">
        <f>+J27+1</f>
        <v>91</v>
      </c>
      <c r="K28" s="734">
        <f>IF(F173&lt;F178,(F168+F169+F170),IF(F173&gt;F178,(I168+I169+I170),0))</f>
        <v>0</v>
      </c>
      <c r="L28" s="184">
        <f>SUM(L24:L27)</f>
        <v>0</v>
      </c>
      <c r="M28" s="270" t="s">
        <v>171</v>
      </c>
      <c r="N28" s="271"/>
      <c r="P28" s="272">
        <f>IF(M23&gt;4100,ROUND((((+M23-4100)*33%)*P23)+(788*P23),-3),0)</f>
        <v>51442000</v>
      </c>
      <c r="Q28" s="184">
        <f>_xlfn.CEILING.PRECISE(Q27/30,1)</f>
        <v>-42</v>
      </c>
    </row>
    <row r="29" spans="1:28" ht="18.75" customHeight="1" thickBot="1" x14ac:dyDescent="0.25">
      <c r="A29" s="1435"/>
      <c r="B29" s="1399"/>
      <c r="C29" s="713" t="s">
        <v>506</v>
      </c>
      <c r="D29" s="713"/>
      <c r="E29" s="692">
        <f t="shared" si="2"/>
        <v>52</v>
      </c>
      <c r="F29" s="693">
        <f>+'RENTA GENERAL NO LABORAL'!F36</f>
        <v>748888890</v>
      </c>
      <c r="G29" s="1320"/>
      <c r="H29" s="1426"/>
      <c r="I29" s="735" t="s">
        <v>125</v>
      </c>
      <c r="J29" s="722">
        <f t="shared" si="4"/>
        <v>92</v>
      </c>
      <c r="K29" s="736">
        <f>IF(F173&lt;F178,(F172),IF(F173&gt;F178,(I172),0))</f>
        <v>0</v>
      </c>
      <c r="L29" s="184">
        <f>IF(L22&gt;L23,L22-L28,IF(L23&gt;L22,L23-L28,0))</f>
        <v>51442000</v>
      </c>
      <c r="Q29" s="247" t="s">
        <v>430</v>
      </c>
      <c r="R29" s="184">
        <f>+AD14</f>
        <v>0</v>
      </c>
    </row>
    <row r="30" spans="1:28" ht="17.25" customHeight="1" x14ac:dyDescent="0.2">
      <c r="A30" s="1435"/>
      <c r="B30" s="1399"/>
      <c r="C30" s="714" t="s">
        <v>544</v>
      </c>
      <c r="D30" s="715"/>
      <c r="E30" s="685">
        <f t="shared" si="2"/>
        <v>53</v>
      </c>
      <c r="F30" s="686">
        <f>+'RENTA GENERAL NO LABORAL'!F64</f>
        <v>285331899</v>
      </c>
      <c r="G30" s="1320"/>
      <c r="H30" s="1426"/>
      <c r="I30" s="737" t="s">
        <v>163</v>
      </c>
      <c r="J30" s="738">
        <f t="shared" si="4"/>
        <v>93</v>
      </c>
      <c r="K30" s="739">
        <f>IF(F173&lt;F178,(F171),IF(F173&gt;F178,(I171),0))</f>
        <v>0</v>
      </c>
      <c r="M30" s="1268" t="s">
        <v>172</v>
      </c>
      <c r="N30" s="1269"/>
      <c r="Q30" s="247" t="s">
        <v>415</v>
      </c>
      <c r="R30" s="184">
        <f>IF('DATOS PARA DEPURAR'!C13="S",'FORMULARIO 2019 RENTA CEDULA'!AA24,0)</f>
        <v>0</v>
      </c>
    </row>
    <row r="31" spans="1:28" ht="18" customHeight="1" thickBot="1" x14ac:dyDescent="0.3">
      <c r="A31" s="1435"/>
      <c r="B31" s="1399"/>
      <c r="C31" s="775" t="s">
        <v>539</v>
      </c>
      <c r="D31" s="713"/>
      <c r="E31" s="692">
        <f t="shared" si="2"/>
        <v>54</v>
      </c>
      <c r="F31" s="693">
        <f>+'RENTA GENERAL NO LABORAL'!F66</f>
        <v>0</v>
      </c>
      <c r="G31" s="1320"/>
      <c r="H31" s="1427"/>
      <c r="I31" s="751" t="s">
        <v>164</v>
      </c>
      <c r="J31" s="752">
        <f t="shared" si="4"/>
        <v>94</v>
      </c>
      <c r="K31" s="753">
        <f>SUM(K28:K30)</f>
        <v>0</v>
      </c>
      <c r="M31" s="1270">
        <f>IF(P25=0,P25,IF(P26&gt;0,P26,IF(P27&gt;0,P27,IF(P28&gt;0,P28))))</f>
        <v>51442000</v>
      </c>
      <c r="N31" s="1271"/>
      <c r="Q31" s="416" t="s">
        <v>431</v>
      </c>
      <c r="R31" s="299">
        <f>IF('DATOS PARA DEPURAR'!C15="S",AB27,0)</f>
        <v>0</v>
      </c>
      <c r="AA31" s="184">
        <f>+'DATOS PARA DEPURAR'!E15</f>
        <v>0</v>
      </c>
    </row>
    <row r="32" spans="1:28" ht="23.25" customHeight="1" x14ac:dyDescent="0.2">
      <c r="A32" s="1435"/>
      <c r="B32" s="1399"/>
      <c r="C32" s="1380" t="s">
        <v>651</v>
      </c>
      <c r="D32" s="1381"/>
      <c r="E32" s="685">
        <f t="shared" si="2"/>
        <v>55</v>
      </c>
      <c r="F32" s="686">
        <f>+'RENTA GENERAL NO LABORAL'!F68</f>
        <v>124000000</v>
      </c>
      <c r="G32" s="1320"/>
      <c r="H32" s="1410" t="s">
        <v>166</v>
      </c>
      <c r="I32" s="1410"/>
      <c r="J32" s="738">
        <f t="shared" ref="J32:J43" si="5">+J31+1</f>
        <v>95</v>
      </c>
      <c r="K32" s="750">
        <f>IF((K27&gt;K31),K27-K31,0)</f>
        <v>84843000</v>
      </c>
      <c r="R32" s="184">
        <f>IF((R29&lt;=0),R30+R31,IF(R30&lt;=0,R29,IF(SUM(R29:R30)&lt;=0,0,0)))</f>
        <v>0</v>
      </c>
      <c r="AA32" s="184">
        <f>IF(AA24&gt;0,AA31,0)</f>
        <v>0</v>
      </c>
    </row>
    <row r="33" spans="1:17" ht="24" customHeight="1" thickBot="1" x14ac:dyDescent="0.25">
      <c r="A33" s="1435"/>
      <c r="B33" s="1399"/>
      <c r="C33" s="1396" t="s">
        <v>652</v>
      </c>
      <c r="D33" s="1397"/>
      <c r="E33" s="692">
        <f t="shared" si="2"/>
        <v>56</v>
      </c>
      <c r="F33" s="693">
        <f>+'RENTA GENERAL NO LABORAL'!F81</f>
        <v>56832080</v>
      </c>
      <c r="G33" s="1320"/>
      <c r="H33" s="1411" t="s">
        <v>100</v>
      </c>
      <c r="I33" s="1411"/>
      <c r="J33" s="722">
        <f t="shared" si="5"/>
        <v>96</v>
      </c>
      <c r="K33" s="740">
        <f>SUM('DEPURACION POR IMAS EMPLEADO'!K30:K31)</f>
        <v>80080500</v>
      </c>
    </row>
    <row r="34" spans="1:17" ht="19.5" customHeight="1" x14ac:dyDescent="0.2">
      <c r="A34" s="1435"/>
      <c r="B34" s="1399"/>
      <c r="C34" s="1412" t="s">
        <v>525</v>
      </c>
      <c r="D34" s="1413"/>
      <c r="E34" s="685">
        <f t="shared" si="2"/>
        <v>57</v>
      </c>
      <c r="F34" s="686">
        <f>+'RENTA GENERAL NO LABORAL'!F85</f>
        <v>228499819</v>
      </c>
      <c r="G34" s="1320"/>
      <c r="H34" s="1415" t="s">
        <v>167</v>
      </c>
      <c r="I34" s="1415"/>
      <c r="J34" s="724">
        <f t="shared" si="5"/>
        <v>97</v>
      </c>
      <c r="K34" s="739">
        <f>+'DATOS PARA DEPURAR'!E338</f>
        <v>0</v>
      </c>
      <c r="M34" s="306" t="s">
        <v>182</v>
      </c>
      <c r="N34" s="307"/>
      <c r="O34" s="307"/>
      <c r="P34" s="307"/>
      <c r="Q34" s="308"/>
    </row>
    <row r="35" spans="1:17" ht="18.75" customHeight="1" x14ac:dyDescent="0.2">
      <c r="A35" s="1435"/>
      <c r="B35" s="1399"/>
      <c r="C35" s="1414" t="s">
        <v>526</v>
      </c>
      <c r="D35" s="1414"/>
      <c r="E35" s="692">
        <f t="shared" si="2"/>
        <v>58</v>
      </c>
      <c r="F35" s="693">
        <f>+'RENTA GENERAL NO LABORAL'!F86</f>
        <v>0</v>
      </c>
      <c r="G35" s="1320"/>
      <c r="H35" s="741" t="s">
        <v>102</v>
      </c>
      <c r="I35" s="741"/>
      <c r="J35" s="722">
        <f t="shared" si="5"/>
        <v>98</v>
      </c>
      <c r="K35" s="736">
        <f>+K32+K33-K34</f>
        <v>164923500</v>
      </c>
      <c r="L35" s="184">
        <f>IF((M35)&gt;0,M35,0)</f>
        <v>0</v>
      </c>
      <c r="M35" s="309">
        <f>IF((N35*25%)&lt;=(2880*'DATOS PARA DEPURAR'!C24),(N35*25%),(2880*'DATOS PARA DEPURAR'!C24))</f>
        <v>-7592622.875</v>
      </c>
      <c r="N35" s="304">
        <f>F7-'DATOS PARA DEPURAR'!E44+M36-SUM('DATOS PARA DEPURAR'!E293:E298)-'DATOS PARA DEPURAR'!E240-'DATOS PARA DEPURAR'!E241-'DATOS PARA DEPURAR'!E242-'DATOS PARA DEPURAR'!E243-'DATOS PARA DEPURAR'!E245-'DATOS PARA DEPURAR'!E249-'DATOS PARA DEPURAR'!E258-'DATOS PARA DEPURAR'!E257-'DATOS PARA DEPURAR'!E251-'FORMULARIO 2019 RENTA CEDULA'!F19-'DATOS PARA DEPURAR'!E286</f>
        <v>-30370491.5</v>
      </c>
      <c r="O35" s="177"/>
      <c r="P35" s="177"/>
      <c r="Q35" s="310"/>
    </row>
    <row r="36" spans="1:17" ht="22.5" customHeight="1" x14ac:dyDescent="0.2">
      <c r="A36" s="1435"/>
      <c r="B36" s="1399"/>
      <c r="C36" s="1419" t="s">
        <v>657</v>
      </c>
      <c r="D36" s="1420"/>
      <c r="E36" s="685">
        <f t="shared" si="2"/>
        <v>59</v>
      </c>
      <c r="F36" s="686">
        <f>+'RENTA GENERAL NO LABORAL'!F87</f>
        <v>0</v>
      </c>
      <c r="G36" s="1320"/>
      <c r="H36" s="754" t="s">
        <v>678</v>
      </c>
      <c r="I36" s="742"/>
      <c r="J36" s="724">
        <f t="shared" si="5"/>
        <v>99</v>
      </c>
      <c r="K36" s="739">
        <f>IF('DATOS PARA DEPURAR'!E21&gt;0,'DATOS PARA DEPURAR'!E21,0)</f>
        <v>0</v>
      </c>
      <c r="M36" s="311">
        <f>IF(('DATOS PARA DEPURAR'!E106)="S",('DATOS PARA DEPURAR'!E52+'DATOS PARA DEPURAR'!E54),0)</f>
        <v>0</v>
      </c>
      <c r="N36" s="177">
        <f>50531/0.25</f>
        <v>202124</v>
      </c>
      <c r="O36" s="177"/>
      <c r="P36" s="1391" t="s">
        <v>595</v>
      </c>
      <c r="Q36" s="1392"/>
    </row>
    <row r="37" spans="1:17" ht="23.25" customHeight="1" thickBot="1" x14ac:dyDescent="0.25">
      <c r="A37" s="1435"/>
      <c r="B37" s="1400"/>
      <c r="C37" s="1421" t="s">
        <v>543</v>
      </c>
      <c r="D37" s="1421"/>
      <c r="E37" s="698">
        <f t="shared" si="2"/>
        <v>60</v>
      </c>
      <c r="F37" s="699">
        <f>+'RENTA GENERAL NO LABORAL'!F88</f>
        <v>228499819</v>
      </c>
      <c r="G37" s="1320"/>
      <c r="H37" s="1422" t="s">
        <v>677</v>
      </c>
      <c r="I37" s="1423"/>
      <c r="J37" s="722">
        <f t="shared" si="5"/>
        <v>100</v>
      </c>
      <c r="K37" s="736">
        <f>IF('DATOS PARA DEPURAR'!C22&gt;0,'DATOS PARA DEPURAR'!C22,0)</f>
        <v>0</v>
      </c>
      <c r="M37" s="311">
        <f>IF('DATOS PARA DEPURAR'!D62="N",'DATOS PARA DEPURAR'!E175,0)</f>
        <v>50000000</v>
      </c>
      <c r="N37" s="177">
        <f>+N36/2</f>
        <v>101062</v>
      </c>
      <c r="O37" s="177"/>
      <c r="P37" s="304">
        <f>IF((K32)&gt;0,K32,0)</f>
        <v>84843000</v>
      </c>
      <c r="Q37" s="310"/>
    </row>
    <row r="38" spans="1:17" ht="18" customHeight="1" x14ac:dyDescent="0.2">
      <c r="A38" s="1435"/>
      <c r="B38" s="1401" t="s">
        <v>653</v>
      </c>
      <c r="C38" s="1401"/>
      <c r="D38" s="1401"/>
      <c r="E38" s="681">
        <f t="shared" si="2"/>
        <v>61</v>
      </c>
      <c r="F38" s="717">
        <f>+F10+F18+F19+F30+F31-F24-F36</f>
        <v>413132359</v>
      </c>
      <c r="G38" s="1320"/>
      <c r="H38" s="743" t="s">
        <v>676</v>
      </c>
      <c r="I38" s="743"/>
      <c r="J38" s="724">
        <f t="shared" si="5"/>
        <v>101</v>
      </c>
      <c r="K38" s="739">
        <f>+'DATOS PARA DEPURAR'!E339</f>
        <v>18615000</v>
      </c>
      <c r="L38" s="184">
        <f>+R32</f>
        <v>0</v>
      </c>
      <c r="M38" s="311">
        <f>IF('DATOS PARA DEPURAR'!D64="N",'DATOS PARA DEPURAR'!E176,0)</f>
        <v>50000000</v>
      </c>
      <c r="N38" s="177"/>
      <c r="O38" s="177"/>
      <c r="P38" s="304">
        <f>IF(((P37)*('DEPURACION POR IMAS EMPLEADO'!K44)-('DATOS PARA DEPURAR'!E332))&gt;0,(P37)*('DEPURACION POR IMAS EMPLEADO'!K44)-('DATOS PARA DEPURAR'!E332),0)</f>
        <v>45017250</v>
      </c>
      <c r="Q38" s="310"/>
    </row>
    <row r="39" spans="1:17" ht="23.25" customHeight="1" x14ac:dyDescent="0.2">
      <c r="A39" s="1435"/>
      <c r="B39" s="1402" t="s">
        <v>654</v>
      </c>
      <c r="C39" s="1402"/>
      <c r="D39" s="1402"/>
      <c r="E39" s="692">
        <f t="shared" ref="E39:E44" si="6">+E38+1</f>
        <v>62</v>
      </c>
      <c r="F39" s="718">
        <f>+F12+F21+F33</f>
        <v>98413677.625</v>
      </c>
      <c r="G39" s="1320"/>
      <c r="H39" s="741" t="s">
        <v>199</v>
      </c>
      <c r="I39" s="741"/>
      <c r="J39" s="744">
        <f t="shared" si="5"/>
        <v>102</v>
      </c>
      <c r="K39" s="736">
        <f>+Q43</f>
        <v>13201125.375</v>
      </c>
      <c r="M39" s="311"/>
      <c r="N39" s="177"/>
      <c r="O39" s="177"/>
      <c r="P39" s="177"/>
      <c r="Q39" s="312">
        <f>+P38</f>
        <v>45017250</v>
      </c>
    </row>
    <row r="40" spans="1:17" ht="21" customHeight="1" x14ac:dyDescent="0.2">
      <c r="A40" s="1435"/>
      <c r="B40" s="1403" t="s">
        <v>655</v>
      </c>
      <c r="C40" s="1403"/>
      <c r="D40" s="1403"/>
      <c r="E40" s="685">
        <f t="shared" si="6"/>
        <v>63</v>
      </c>
      <c r="F40" s="720">
        <f>+F38-F39</f>
        <v>314718681.375</v>
      </c>
      <c r="G40" s="1320"/>
      <c r="H40" s="1404" t="s">
        <v>673</v>
      </c>
      <c r="I40" s="1405"/>
      <c r="J40" s="745">
        <f t="shared" si="5"/>
        <v>103</v>
      </c>
      <c r="K40" s="739">
        <f>IF((K35+K39-K36-K37-K38)&gt;0,K35+K39-K36-K37-K38,0)</f>
        <v>159509625.375</v>
      </c>
      <c r="M40" s="311">
        <v>1</v>
      </c>
      <c r="N40" s="177"/>
      <c r="O40" s="177"/>
      <c r="P40" s="304">
        <f>IF((P42)&gt;0,(P42+P37)/(2),0)</f>
        <v>42421500.5</v>
      </c>
      <c r="Q40" s="310">
        <f>IF((P40*'DEPURACION POR IMAS EMPLEADO'!K44)-('DATOS PARA DEPURAR'!E332)&gt;0,(P40*'DEPURACION POR IMAS EMPLEADO'!K44)-('DATOS PARA DEPURAR'!E332),0)</f>
        <v>13201125.375</v>
      </c>
    </row>
    <row r="41" spans="1:17" ht="20.25" customHeight="1" x14ac:dyDescent="0.2">
      <c r="A41" s="1435"/>
      <c r="B41" s="1402" t="s">
        <v>658</v>
      </c>
      <c r="C41" s="1402"/>
      <c r="D41" s="1402"/>
      <c r="E41" s="692">
        <f t="shared" si="6"/>
        <v>64</v>
      </c>
      <c r="F41" s="716"/>
      <c r="G41" s="1320"/>
      <c r="H41" s="746" t="s">
        <v>174</v>
      </c>
      <c r="I41" s="746"/>
      <c r="J41" s="744">
        <f t="shared" si="5"/>
        <v>104</v>
      </c>
      <c r="K41" s="736">
        <f>+L38</f>
        <v>0</v>
      </c>
      <c r="M41" s="311"/>
      <c r="N41" s="177"/>
      <c r="O41" s="177"/>
      <c r="P41" s="304"/>
      <c r="Q41" s="310"/>
    </row>
    <row r="42" spans="1:17" ht="22.5" customHeight="1" x14ac:dyDescent="0.2">
      <c r="A42" s="1435"/>
      <c r="B42" s="1374" t="s">
        <v>659</v>
      </c>
      <c r="C42" s="1374"/>
      <c r="D42" s="1374"/>
      <c r="E42" s="685">
        <f t="shared" si="6"/>
        <v>65</v>
      </c>
      <c r="F42" s="774">
        <f>+'DATOS PARA DEPURAR'!E322</f>
        <v>0</v>
      </c>
      <c r="G42" s="1320"/>
      <c r="H42" s="1406" t="s">
        <v>674</v>
      </c>
      <c r="I42" s="1407"/>
      <c r="J42" s="745">
        <f t="shared" si="5"/>
        <v>105</v>
      </c>
      <c r="K42" s="747">
        <f>IF((K35+K39-K36-K37-K38+K41)&gt;0,K35+K39-K36-K37-K38+K41,0)</f>
        <v>159509625.375</v>
      </c>
      <c r="M42" s="311">
        <v>2</v>
      </c>
      <c r="N42" s="177"/>
      <c r="O42" s="177"/>
      <c r="P42" s="304">
        <f>+'DATOS PARA DEPURAR'!C21</f>
        <v>1</v>
      </c>
      <c r="Q42" s="312">
        <f>MIN(Q39:Q40)</f>
        <v>13201125.375</v>
      </c>
    </row>
    <row r="43" spans="1:17" ht="18.75" customHeight="1" thickBot="1" x14ac:dyDescent="0.25">
      <c r="A43" s="1435"/>
      <c r="B43" s="1414" t="s">
        <v>660</v>
      </c>
      <c r="C43" s="1414"/>
      <c r="D43" s="1414"/>
      <c r="E43" s="692">
        <f t="shared" si="6"/>
        <v>66</v>
      </c>
      <c r="F43" s="693">
        <f>+'DATOS PARA DEPURAR'!E323</f>
        <v>0</v>
      </c>
      <c r="G43" s="1320"/>
      <c r="H43" s="1408" t="s">
        <v>675</v>
      </c>
      <c r="I43" s="1409"/>
      <c r="J43" s="748">
        <f t="shared" si="5"/>
        <v>106</v>
      </c>
      <c r="K43" s="749">
        <f>IF((K36+K37+K38-K35-K39-K41)&gt;0,K36+K37+K38-K35-K39-K41,0)</f>
        <v>0</v>
      </c>
      <c r="M43" s="311">
        <v>3</v>
      </c>
      <c r="N43" s="317">
        <f>+'DATOS PARA DEPURAR'!C25/'DATOS PARA DEPURAR'!C24</f>
        <v>82.25238140149014</v>
      </c>
      <c r="O43" s="177"/>
      <c r="P43" s="177">
        <f>LOOKUP(N43,M44:N50,P44:P50)</f>
        <v>1</v>
      </c>
      <c r="Q43" s="310">
        <f>IF((Q42)&gt;0,Q42,Q39)</f>
        <v>13201125.375</v>
      </c>
    </row>
    <row r="44" spans="1:17" ht="13.5" thickBot="1" x14ac:dyDescent="0.25">
      <c r="A44" s="1435"/>
      <c r="B44" s="1393" t="s">
        <v>661</v>
      </c>
      <c r="C44" s="1393"/>
      <c r="D44" s="1393"/>
      <c r="E44" s="689">
        <f t="shared" si="6"/>
        <v>67</v>
      </c>
      <c r="F44" s="719">
        <f>+F40+F43-F41-F42</f>
        <v>314718681.375</v>
      </c>
      <c r="G44" s="1320"/>
      <c r="H44" s="730"/>
      <c r="I44" s="730"/>
      <c r="J44" s="277"/>
      <c r="K44" s="555"/>
      <c r="M44" s="311">
        <v>0</v>
      </c>
      <c r="N44" s="177">
        <f>350-0.01</f>
        <v>349.99</v>
      </c>
      <c r="O44" s="177"/>
      <c r="P44" s="305">
        <v>1</v>
      </c>
      <c r="Q44" s="310">
        <f>IF(N43&lt;=N44,P43,0)</f>
        <v>1</v>
      </c>
    </row>
    <row r="45" spans="1:17" hidden="1" x14ac:dyDescent="0.2">
      <c r="G45" s="1320"/>
      <c r="H45" s="1418"/>
      <c r="I45" s="1418"/>
      <c r="K45" s="242"/>
      <c r="M45" s="311">
        <v>350</v>
      </c>
      <c r="N45" s="177">
        <f>410-0.01</f>
        <v>409.99</v>
      </c>
      <c r="O45" s="177"/>
      <c r="P45" s="305">
        <v>0.9</v>
      </c>
      <c r="Q45" s="310"/>
    </row>
    <row r="46" spans="1:17" hidden="1" x14ac:dyDescent="0.2">
      <c r="D46" s="247" t="s">
        <v>155</v>
      </c>
      <c r="F46" s="184">
        <f>IF(F27&lt;F28,F28+F36-F35,IF(F28&lt;F27,F27-F35+F36,0))</f>
        <v>9236000</v>
      </c>
      <c r="G46" s="1320"/>
      <c r="H46"/>
      <c r="I46" s="261"/>
      <c r="J46" s="244"/>
      <c r="K46" s="245"/>
      <c r="M46" s="311">
        <v>410</v>
      </c>
      <c r="N46" s="177">
        <f>470-0.01</f>
        <v>469.99</v>
      </c>
      <c r="O46" s="177"/>
      <c r="P46" s="305">
        <v>0.8</v>
      </c>
      <c r="Q46" s="310"/>
    </row>
    <row r="47" spans="1:17" hidden="1" x14ac:dyDescent="0.2">
      <c r="G47" s="1320"/>
      <c r="H47"/>
      <c r="I47" s="535"/>
      <c r="K47" s="242"/>
      <c r="M47" s="311">
        <v>470</v>
      </c>
      <c r="N47" s="177">
        <f>530-0.01</f>
        <v>529.99</v>
      </c>
      <c r="O47" s="177"/>
      <c r="P47" s="305">
        <v>0.6</v>
      </c>
      <c r="Q47" s="310"/>
    </row>
    <row r="48" spans="1:17" hidden="1" x14ac:dyDescent="0.2">
      <c r="G48" s="1320"/>
      <c r="H48" s="1328"/>
      <c r="I48" s="1328"/>
      <c r="K48" s="242"/>
      <c r="M48" s="311">
        <v>530</v>
      </c>
      <c r="N48" s="177">
        <f>590-0.01</f>
        <v>589.99</v>
      </c>
      <c r="O48" s="177"/>
      <c r="P48" s="305">
        <v>0.4</v>
      </c>
      <c r="Q48" s="310"/>
    </row>
    <row r="49" spans="4:17" ht="15" hidden="1" x14ac:dyDescent="0.25">
      <c r="D49" s="285" t="s">
        <v>34</v>
      </c>
      <c r="E49" s="286"/>
      <c r="F49" s="287" t="s">
        <v>75</v>
      </c>
      <c r="G49" s="1320"/>
      <c r="H49" s="1294"/>
      <c r="I49" s="1294"/>
      <c r="J49" s="244"/>
      <c r="K49" s="245"/>
      <c r="M49" s="311">
        <v>590</v>
      </c>
      <c r="N49" s="177">
        <f>650-0.01</f>
        <v>649.99</v>
      </c>
      <c r="O49" s="177"/>
      <c r="P49" s="305">
        <v>0.2</v>
      </c>
      <c r="Q49" s="310"/>
    </row>
    <row r="50" spans="4:17" ht="13.5" hidden="1" thickBot="1" x14ac:dyDescent="0.25">
      <c r="D50" s="289" t="s">
        <v>18</v>
      </c>
      <c r="E50" s="289"/>
      <c r="F50" s="290">
        <f>+K15/'DATOS PARA DEPURAR'!$C$24</f>
        <v>0</v>
      </c>
      <c r="G50" s="1320"/>
      <c r="H50" s="1417"/>
      <c r="I50" s="1417"/>
      <c r="K50" s="242"/>
      <c r="M50" s="313">
        <v>650</v>
      </c>
      <c r="N50" s="314">
        <v>10000</v>
      </c>
      <c r="O50" s="314"/>
      <c r="P50" s="315">
        <v>0.1</v>
      </c>
      <c r="Q50" s="316"/>
    </row>
    <row r="51" spans="4:17" hidden="1" x14ac:dyDescent="0.2">
      <c r="D51" s="289" t="s">
        <v>77</v>
      </c>
      <c r="E51" s="289"/>
      <c r="F51" s="290">
        <f>+K24/'DATOS PARA DEPURAR'!$C$24</f>
        <v>0</v>
      </c>
      <c r="G51" s="1320"/>
    </row>
    <row r="52" spans="4:17" ht="15" hidden="1" x14ac:dyDescent="0.25">
      <c r="D52" s="289" t="s">
        <v>78</v>
      </c>
      <c r="E52" s="289"/>
      <c r="F52" s="171">
        <f>+F55</f>
        <v>66.02</v>
      </c>
      <c r="G52" s="1395"/>
      <c r="L52" s="294">
        <v>1547.99</v>
      </c>
      <c r="M52" s="295">
        <v>0</v>
      </c>
    </row>
    <row r="53" spans="4:17" ht="15" hidden="1" x14ac:dyDescent="0.25">
      <c r="D53" s="292"/>
      <c r="E53" s="292"/>
      <c r="F53" s="181"/>
      <c r="G53" s="676"/>
      <c r="L53" s="296">
        <f>+K78-0.01</f>
        <v>1587.99</v>
      </c>
      <c r="M53" s="295">
        <v>1.05</v>
      </c>
    </row>
    <row r="54" spans="4:17" ht="15" hidden="1" x14ac:dyDescent="0.25">
      <c r="L54" s="296">
        <f t="shared" ref="L54:L117" si="7">+K79-0.01</f>
        <v>1628.99</v>
      </c>
      <c r="M54" s="295">
        <v>1.08</v>
      </c>
    </row>
    <row r="55" spans="4:17" ht="15" hidden="1" x14ac:dyDescent="0.25">
      <c r="F55" s="184">
        <f>IF(F51&lt;=13642.99,I78,IF(F51&gt;13642.99,(F51*27%)-1622,0))</f>
        <v>66.02</v>
      </c>
      <c r="L55" s="296">
        <f t="shared" si="7"/>
        <v>1669.99</v>
      </c>
      <c r="M55" s="295">
        <v>1.1100000000000001</v>
      </c>
    </row>
    <row r="56" spans="4:17" ht="15" hidden="1" x14ac:dyDescent="0.25">
      <c r="D56" s="297">
        <f>+F51-1622</f>
        <v>-1622</v>
      </c>
      <c r="L56" s="296">
        <f t="shared" si="7"/>
        <v>1709.99</v>
      </c>
      <c r="M56" s="295">
        <v>1.1399999999999999</v>
      </c>
    </row>
    <row r="57" spans="4:17" ht="15" hidden="1" x14ac:dyDescent="0.25">
      <c r="D57" s="184">
        <f>+D56*0.27</f>
        <v>-437.94000000000005</v>
      </c>
      <c r="L57" s="296">
        <f t="shared" si="7"/>
        <v>1750.99</v>
      </c>
      <c r="M57" s="295">
        <v>1.1599999999999999</v>
      </c>
    </row>
    <row r="58" spans="4:17" ht="15" hidden="1" x14ac:dyDescent="0.25">
      <c r="D58" s="184">
        <f>D57*26841</f>
        <v>-11754747.540000001</v>
      </c>
      <c r="G58" s="287"/>
      <c r="L58" s="296">
        <f t="shared" si="7"/>
        <v>1791.99</v>
      </c>
      <c r="M58" s="295">
        <v>2.38</v>
      </c>
    </row>
    <row r="59" spans="4:17" ht="15" hidden="1" x14ac:dyDescent="0.25">
      <c r="G59" s="290"/>
      <c r="L59" s="296">
        <f t="shared" si="7"/>
        <v>1832.99</v>
      </c>
      <c r="M59" s="295">
        <v>2.4300000000000002</v>
      </c>
    </row>
    <row r="60" spans="4:17" ht="15" hidden="1" x14ac:dyDescent="0.25">
      <c r="G60" s="290"/>
      <c r="L60" s="296">
        <f t="shared" si="7"/>
        <v>1872.99</v>
      </c>
      <c r="M60" s="295">
        <v>2.4900000000000002</v>
      </c>
    </row>
    <row r="61" spans="4:17" ht="15" hidden="1" x14ac:dyDescent="0.25">
      <c r="D61" s="184" t="s">
        <v>320</v>
      </c>
      <c r="G61" s="171"/>
      <c r="L61" s="296">
        <f t="shared" si="7"/>
        <v>1913.99</v>
      </c>
      <c r="M61" s="295">
        <v>4.76</v>
      </c>
    </row>
    <row r="62" spans="4:17" ht="15" hidden="1" x14ac:dyDescent="0.25">
      <c r="D62" s="298">
        <f>3800*'DATOS PARA DEPURAR'!C24</f>
        <v>161165600</v>
      </c>
      <c r="G62" s="181"/>
      <c r="L62" s="296">
        <f t="shared" si="7"/>
        <v>1954.99</v>
      </c>
      <c r="M62" s="295">
        <v>4.8600000000000003</v>
      </c>
    </row>
    <row r="63" spans="4:17" ht="15" hidden="1" x14ac:dyDescent="0.25">
      <c r="D63" s="298">
        <f>(SUM('DATOS PARA DEPURAR'!E52:E55)+('DATOS PARA DEPURAR'!E29))*0.3</f>
        <v>117825600</v>
      </c>
      <c r="L63" s="296">
        <f t="shared" si="7"/>
        <v>1995.99</v>
      </c>
      <c r="M63" s="295">
        <v>4.96</v>
      </c>
    </row>
    <row r="64" spans="4:17" ht="15" hidden="1" x14ac:dyDescent="0.25">
      <c r="D64" s="299">
        <f>MIN(D62:D63)</f>
        <v>117825600</v>
      </c>
      <c r="L64" s="296">
        <f t="shared" si="7"/>
        <v>2035.99</v>
      </c>
      <c r="M64" s="295">
        <v>8.43</v>
      </c>
    </row>
    <row r="65" spans="4:13" ht="15" hidden="1" x14ac:dyDescent="0.25">
      <c r="L65" s="296">
        <f t="shared" si="7"/>
        <v>2117.9899999999998</v>
      </c>
      <c r="M65" s="295">
        <v>8.7100000000000009</v>
      </c>
    </row>
    <row r="66" spans="4:13" ht="15" hidden="1" x14ac:dyDescent="0.25">
      <c r="D66" s="247" t="s">
        <v>321</v>
      </c>
      <c r="L66" s="296">
        <f t="shared" si="7"/>
        <v>2198.9899999999998</v>
      </c>
      <c r="M66" s="295">
        <v>13.74</v>
      </c>
    </row>
    <row r="67" spans="4:13" ht="15" hidden="1" x14ac:dyDescent="0.25">
      <c r="D67" s="298">
        <f>IF(SUM('DATOS PARA DEPURAR'!D286:D291)&lt;=('DATOS PARA DEPURAR'!E286),('DATOS PARA DEPURAR'!D291),IF(SUM('DATOS PARA DEPURAR'!D286:D291)&gt;('DATOS PARA DEPURAR'!E286),('DATOS PARA DEPURAR'!E286-'DATOS PARA DEPURAR'!D286-'DATOS PARA DEPURAR'!D288),0))</f>
        <v>0</v>
      </c>
      <c r="H67" s="676"/>
      <c r="I67" s="676"/>
      <c r="J67" s="676"/>
      <c r="K67" s="676"/>
      <c r="L67" s="296">
        <f t="shared" si="7"/>
        <v>2280.9899999999998</v>
      </c>
      <c r="M67" s="295">
        <v>14.26</v>
      </c>
    </row>
    <row r="68" spans="4:13" ht="15" hidden="1" x14ac:dyDescent="0.25">
      <c r="D68" s="247" t="s">
        <v>322</v>
      </c>
      <c r="L68" s="296">
        <f t="shared" si="7"/>
        <v>2361.9899999999998</v>
      </c>
      <c r="M68" s="295">
        <v>19.809999999999999</v>
      </c>
    </row>
    <row r="69" spans="4:13" ht="15" hidden="1" x14ac:dyDescent="0.25">
      <c r="D69" s="248">
        <f>IF(SUM('DATOS PARA DEPURAR'!D286:D288)&lt;=('DATOS PARA DEPURAR'!E286+'DATOS PARA DEPURAR'!D287),'DATOS PARA DEPURAR'!D288,'DATOS PARA DEPURAR'!E286-'DATOS PARA DEPURAR'!D286-'DATOS PARA DEPURAR'!D287)</f>
        <v>0</v>
      </c>
      <c r="K69" s="181"/>
      <c r="L69" s="296">
        <f t="shared" si="7"/>
        <v>2442.9899999999998</v>
      </c>
      <c r="M69" s="295">
        <v>25.7</v>
      </c>
    </row>
    <row r="70" spans="4:13" ht="15" hidden="1" x14ac:dyDescent="0.25">
      <c r="D70" s="248">
        <f>+'DATOS PARA DEPURAR'!D288</f>
        <v>0</v>
      </c>
      <c r="L70" s="296">
        <f t="shared" si="7"/>
        <v>2524.9899999999998</v>
      </c>
      <c r="M70" s="295">
        <v>26.57</v>
      </c>
    </row>
    <row r="71" spans="4:13" ht="15" hidden="1" x14ac:dyDescent="0.25">
      <c r="D71" s="251">
        <f>MIN(D69:D70)</f>
        <v>0</v>
      </c>
      <c r="F71" s="247" t="s">
        <v>323</v>
      </c>
      <c r="L71" s="296">
        <f t="shared" si="7"/>
        <v>2605.9899999999998</v>
      </c>
      <c r="M71" s="295">
        <v>35.56</v>
      </c>
    </row>
    <row r="72" spans="4:13" ht="15" hidden="1" x14ac:dyDescent="0.25">
      <c r="I72" s="288" t="s">
        <v>76</v>
      </c>
      <c r="L72" s="296">
        <f t="shared" si="7"/>
        <v>2687.99</v>
      </c>
      <c r="M72" s="295">
        <v>45.05</v>
      </c>
    </row>
    <row r="73" spans="4:13" ht="15" hidden="1" x14ac:dyDescent="0.25">
      <c r="D73" s="248">
        <f>IF(('DATOS PARA DEPURAR'!D291&lt;=0),('FORMULARIO 2019 RENTA CEDULA'!D71),0)</f>
        <v>0</v>
      </c>
      <c r="I73" s="291">
        <f>+F50*'DATOS PARA DEPURAR'!$C$24</f>
        <v>0</v>
      </c>
      <c r="L73" s="296">
        <f t="shared" si="7"/>
        <v>2768.99</v>
      </c>
      <c r="M73" s="295">
        <v>46.43</v>
      </c>
    </row>
    <row r="74" spans="4:13" ht="15" hidden="1" x14ac:dyDescent="0.25">
      <c r="D74" s="298">
        <f>IF(SUM('DATOS PARA DEPURAR'!D286:D291)&gt;('DATOS PARA DEPURAR'!E286),('FORMULARIO 2019 RENTA CEDULA'!D71),('DATOS PARA DEPURAR'!D288))</f>
        <v>0</v>
      </c>
      <c r="I74" s="291">
        <f>+F51*'DATOS PARA DEPURAR'!$C$24</f>
        <v>0</v>
      </c>
      <c r="L74" s="296">
        <f t="shared" si="7"/>
        <v>2850.99</v>
      </c>
      <c r="M74" s="295">
        <v>55.58</v>
      </c>
    </row>
    <row r="75" spans="4:13" ht="15" hidden="1" x14ac:dyDescent="0.25">
      <c r="D75" s="251">
        <f>IF(D73&gt;D74,(MIN(D73:D74)),D74)</f>
        <v>0</v>
      </c>
      <c r="I75" s="291">
        <f>+F52*'DATOS PARA DEPURAR'!$C$24</f>
        <v>2800040.2399999998</v>
      </c>
      <c r="L75" s="296">
        <f t="shared" si="7"/>
        <v>2931.99</v>
      </c>
      <c r="M75" s="295">
        <v>60.7</v>
      </c>
    </row>
    <row r="76" spans="4:13" ht="15" hidden="1" x14ac:dyDescent="0.25">
      <c r="I76" s="291">
        <f>+F53*'DATOS PARA DEPURAR'!$C$24</f>
        <v>0</v>
      </c>
      <c r="K76" s="293">
        <v>0</v>
      </c>
      <c r="L76" s="296">
        <f t="shared" si="7"/>
        <v>3013.99</v>
      </c>
      <c r="M76" s="295">
        <v>66.02</v>
      </c>
    </row>
    <row r="77" spans="4:13" ht="15.75" hidden="1" x14ac:dyDescent="0.25">
      <c r="D77" s="300" t="s">
        <v>344</v>
      </c>
      <c r="K77" s="293">
        <v>1548</v>
      </c>
      <c r="L77" s="296">
        <f t="shared" si="7"/>
        <v>3094.99</v>
      </c>
      <c r="M77" s="295">
        <v>71.540000000000006</v>
      </c>
    </row>
    <row r="78" spans="4:13" ht="15" hidden="1" x14ac:dyDescent="0.25">
      <c r="D78" s="247" t="s">
        <v>345</v>
      </c>
      <c r="F78" s="298">
        <f>IF(('PATRIMONIO BRUTO'!D28)="S",('PATRIMONIO BRUTO'!E28),0)</f>
        <v>3288899</v>
      </c>
      <c r="I78" s="184">
        <f>LOOKUP(F51,K52:L136,M52:M136)</f>
        <v>66.02</v>
      </c>
      <c r="K78" s="293">
        <v>1588</v>
      </c>
      <c r="L78" s="296">
        <f t="shared" si="7"/>
        <v>3176.99</v>
      </c>
      <c r="M78" s="295">
        <v>77.239999999999995</v>
      </c>
    </row>
    <row r="79" spans="4:13" ht="15" hidden="1" x14ac:dyDescent="0.25">
      <c r="D79" s="247" t="s">
        <v>346</v>
      </c>
      <c r="F79" s="298">
        <f>IF(('PATRIMONIO BRUTO'!D30)="S",('PATRIMONIO BRUTO'!E30),0)</f>
        <v>23444444</v>
      </c>
      <c r="K79" s="293">
        <v>1629</v>
      </c>
      <c r="L79" s="296">
        <f t="shared" si="7"/>
        <v>3257.99</v>
      </c>
      <c r="M79" s="295">
        <v>83.14</v>
      </c>
    </row>
    <row r="80" spans="4:13" ht="15" hidden="1" x14ac:dyDescent="0.25">
      <c r="D80" s="247" t="s">
        <v>292</v>
      </c>
      <c r="F80" s="184">
        <f>IF(('PATRIMONIO BRUTO'!E51)&gt;0,('PATRIMONIO BRUTO'!E51),0)</f>
        <v>0</v>
      </c>
      <c r="K80" s="293">
        <v>1670</v>
      </c>
      <c r="L80" s="296">
        <f t="shared" si="7"/>
        <v>3338.99</v>
      </c>
      <c r="M80" s="295">
        <v>89.23</v>
      </c>
    </row>
    <row r="81" spans="4:13" ht="15" hidden="1" x14ac:dyDescent="0.25">
      <c r="D81" s="275" t="s">
        <v>294</v>
      </c>
      <c r="F81" s="184">
        <f>IF(('PATRIMONIO BRUTO'!E60)&gt;0,('PATRIMONIO BRUTO'!E60),0)</f>
        <v>0</v>
      </c>
      <c r="K81" s="293">
        <v>1710</v>
      </c>
      <c r="L81" s="296">
        <f t="shared" si="7"/>
        <v>3420.99</v>
      </c>
      <c r="M81" s="295">
        <v>95.51</v>
      </c>
    </row>
    <row r="82" spans="4:13" ht="15" hidden="1" x14ac:dyDescent="0.25">
      <c r="D82" s="275" t="s">
        <v>294</v>
      </c>
      <c r="F82" s="184">
        <f>IF(('PATRIMONIO BRUTO'!E61)&gt;0,('PATRIMONIO BRUTO'!E61),0)</f>
        <v>0</v>
      </c>
      <c r="K82" s="293">
        <v>1751</v>
      </c>
      <c r="L82" s="296">
        <f t="shared" si="7"/>
        <v>3501.99</v>
      </c>
      <c r="M82" s="295">
        <v>101.98</v>
      </c>
    </row>
    <row r="83" spans="4:13" ht="15" hidden="1" x14ac:dyDescent="0.25">
      <c r="D83" s="275" t="s">
        <v>335</v>
      </c>
      <c r="F83" s="184">
        <f>IF(('PATRIMONIO BRUTO'!E86)&gt;0,('PATRIMONIO BRUTO'!E86),0)</f>
        <v>0</v>
      </c>
      <c r="K83" s="293">
        <v>1792</v>
      </c>
      <c r="L83" s="296">
        <f t="shared" si="7"/>
        <v>3583.99</v>
      </c>
      <c r="M83" s="295">
        <v>108.64</v>
      </c>
    </row>
    <row r="84" spans="4:13" ht="15" hidden="1" x14ac:dyDescent="0.25">
      <c r="K84" s="293">
        <v>1833</v>
      </c>
      <c r="L84" s="296">
        <f t="shared" si="7"/>
        <v>3664.99</v>
      </c>
      <c r="M84" s="295">
        <v>115.49</v>
      </c>
    </row>
    <row r="85" spans="4:13" ht="15.75" hidden="1" x14ac:dyDescent="0.25">
      <c r="D85" s="301">
        <f>IF((I108-I107)&gt;0,(I108-I107)*0.5%,0)</f>
        <v>500000</v>
      </c>
      <c r="K85" s="293">
        <v>1873</v>
      </c>
      <c r="L85" s="296">
        <f t="shared" si="7"/>
        <v>3746.99</v>
      </c>
      <c r="M85" s="295">
        <v>122.54</v>
      </c>
    </row>
    <row r="86" spans="4:13" ht="15" hidden="1" x14ac:dyDescent="0.25">
      <c r="K86" s="293">
        <v>1914</v>
      </c>
      <c r="L86" s="296">
        <f t="shared" si="7"/>
        <v>3827.99</v>
      </c>
      <c r="M86" s="295">
        <v>129.76</v>
      </c>
    </row>
    <row r="87" spans="4:13" ht="15" hidden="1" x14ac:dyDescent="0.25">
      <c r="K87" s="293">
        <v>1955</v>
      </c>
      <c r="L87" s="296">
        <f t="shared" si="7"/>
        <v>3909.99</v>
      </c>
      <c r="M87" s="295">
        <v>137.18</v>
      </c>
    </row>
    <row r="88" spans="4:13" ht="15" hidden="1" x14ac:dyDescent="0.25">
      <c r="D88" s="269" t="s">
        <v>349</v>
      </c>
      <c r="K88" s="293">
        <v>1996</v>
      </c>
      <c r="L88" s="296">
        <f t="shared" si="7"/>
        <v>3990.99</v>
      </c>
      <c r="M88" s="295">
        <v>144.78</v>
      </c>
    </row>
    <row r="89" spans="4:13" ht="15" hidden="1" x14ac:dyDescent="0.25">
      <c r="D89" s="247" t="s">
        <v>344</v>
      </c>
      <c r="F89" s="184">
        <f>+'DATOS PARA DEPURAR'!C23</f>
        <v>0</v>
      </c>
      <c r="K89" s="293">
        <v>2036</v>
      </c>
      <c r="L89" s="296">
        <f t="shared" si="7"/>
        <v>4071.99</v>
      </c>
      <c r="M89" s="295">
        <v>152.58000000000001</v>
      </c>
    </row>
    <row r="90" spans="4:13" ht="16.5" hidden="1" x14ac:dyDescent="0.25">
      <c r="D90" s="302" t="s">
        <v>351</v>
      </c>
      <c r="K90" s="293">
        <v>2118</v>
      </c>
      <c r="L90" s="296">
        <f t="shared" si="7"/>
        <v>4275.99</v>
      </c>
      <c r="M90" s="295">
        <v>168.71</v>
      </c>
    </row>
    <row r="91" spans="4:13" ht="15" hidden="1" x14ac:dyDescent="0.25">
      <c r="K91" s="293">
        <v>2199</v>
      </c>
      <c r="L91" s="296">
        <f t="shared" si="7"/>
        <v>4479.99</v>
      </c>
      <c r="M91" s="295">
        <v>189.92</v>
      </c>
    </row>
    <row r="92" spans="4:13" ht="15" hidden="1" x14ac:dyDescent="0.25">
      <c r="K92" s="293">
        <v>2281</v>
      </c>
      <c r="L92" s="296">
        <f t="shared" si="7"/>
        <v>4682.99</v>
      </c>
      <c r="M92" s="295">
        <v>212.27</v>
      </c>
    </row>
    <row r="93" spans="4:13" ht="15" hidden="1" x14ac:dyDescent="0.25">
      <c r="K93" s="293">
        <v>2362</v>
      </c>
      <c r="L93" s="296">
        <f t="shared" si="7"/>
        <v>4886.99</v>
      </c>
      <c r="M93" s="295">
        <v>235.75</v>
      </c>
    </row>
    <row r="94" spans="4:13" ht="15" hidden="1" x14ac:dyDescent="0.25">
      <c r="K94" s="293">
        <v>2443</v>
      </c>
      <c r="L94" s="296">
        <f t="shared" si="7"/>
        <v>5090.99</v>
      </c>
      <c r="M94" s="295">
        <v>260.33999999999997</v>
      </c>
    </row>
    <row r="95" spans="4:13" ht="15" hidden="1" x14ac:dyDescent="0.25">
      <c r="K95" s="293">
        <v>2525</v>
      </c>
      <c r="L95" s="296">
        <f t="shared" si="7"/>
        <v>5293.99</v>
      </c>
      <c r="M95" s="295">
        <v>286.02999999999997</v>
      </c>
    </row>
    <row r="96" spans="4:13" ht="15" hidden="1" x14ac:dyDescent="0.25">
      <c r="K96" s="293">
        <v>2606</v>
      </c>
      <c r="L96" s="296">
        <f t="shared" si="7"/>
        <v>5497.99</v>
      </c>
      <c r="M96" s="295">
        <v>312.81</v>
      </c>
    </row>
    <row r="97" spans="4:13" ht="15" hidden="1" x14ac:dyDescent="0.25">
      <c r="K97" s="293">
        <v>2688</v>
      </c>
      <c r="L97" s="296">
        <f t="shared" si="7"/>
        <v>5700.99</v>
      </c>
      <c r="M97" s="295">
        <v>340.66</v>
      </c>
    </row>
    <row r="98" spans="4:13" ht="15" hidden="1" x14ac:dyDescent="0.25">
      <c r="D98" s="2">
        <f>+K41</f>
        <v>0</v>
      </c>
      <c r="E98">
        <f>+F98*-1</f>
        <v>465000</v>
      </c>
      <c r="F98">
        <f>IF('DATOS PARA DEPURAR'!C14&lt;=0,'DATOS PARA DEPURAR'!C14,0)</f>
        <v>-465000</v>
      </c>
      <c r="I98" s="370">
        <f>IF(('DATOS PARA DEPURAR'!E22)=2,('DATOS PARA DEPURAR'!C20/'DATOS PARA DEPURAR'!E20),IF(('DATOS PARA DEPURAR'!E22)=3,('DATOS PARA DEPURAR'!C20/'DATOS PARA DEPURAR'!E20),0))</f>
        <v>0</v>
      </c>
      <c r="K98" s="293">
        <v>2769</v>
      </c>
      <c r="L98" s="296">
        <f t="shared" si="7"/>
        <v>5904.99</v>
      </c>
      <c r="M98" s="295">
        <v>369.57</v>
      </c>
    </row>
    <row r="99" spans="4:13" ht="15" hidden="1" x14ac:dyDescent="0.25">
      <c r="D99" s="2">
        <f>IF((K33+K37-K34-K35-K36)&gt;0,K33+K37-K34-K35-K36,0)</f>
        <v>0</v>
      </c>
      <c r="E99" s="362">
        <f>IF('DATOS PARA DEPURAR'!C14&gt;0,'DATOS PARA DEPURAR'!C14,0)</f>
        <v>0</v>
      </c>
      <c r="F99"/>
      <c r="I99" s="370">
        <f>IF(I98&gt;0,I98,0)</f>
        <v>0</v>
      </c>
      <c r="K99" s="293">
        <v>2851</v>
      </c>
      <c r="L99" s="296">
        <f t="shared" si="7"/>
        <v>6108.99</v>
      </c>
      <c r="M99" s="295">
        <v>399.52</v>
      </c>
    </row>
    <row r="100" spans="4:13" ht="15" hidden="1" x14ac:dyDescent="0.25">
      <c r="D100" s="1279" t="s">
        <v>445</v>
      </c>
      <c r="E100" s="1241"/>
      <c r="F100"/>
      <c r="K100" s="293">
        <v>2932</v>
      </c>
      <c r="L100" s="296">
        <f t="shared" si="7"/>
        <v>6311.99</v>
      </c>
      <c r="M100" s="295">
        <v>430.49</v>
      </c>
    </row>
    <row r="101" spans="4:13" ht="15" hidden="1" x14ac:dyDescent="0.25">
      <c r="D101" s="37" t="s">
        <v>446</v>
      </c>
      <c r="E101"/>
      <c r="F101"/>
      <c r="I101" s="298">
        <f>IF(($I$99)&gt;0,$I$99*F78,0)</f>
        <v>0</v>
      </c>
      <c r="K101" s="293">
        <v>3014</v>
      </c>
      <c r="L101" s="296">
        <f t="shared" si="7"/>
        <v>6515.99</v>
      </c>
      <c r="M101" s="295">
        <v>462.46</v>
      </c>
    </row>
    <row r="102" spans="4:13" ht="15" hidden="1" x14ac:dyDescent="0.25">
      <c r="D102" t="str">
        <f>IF(D98&gt;E98,D100,D101)</f>
        <v>YAOP</v>
      </c>
      <c r="E102"/>
      <c r="F102"/>
      <c r="I102" s="298">
        <f>IF(($I$99)&gt;0,$I$99*F79,0)</f>
        <v>0</v>
      </c>
      <c r="K102" s="293">
        <v>3095</v>
      </c>
      <c r="L102" s="296">
        <f t="shared" si="7"/>
        <v>6719.99</v>
      </c>
      <c r="M102" s="295">
        <v>495.43</v>
      </c>
    </row>
    <row r="103" spans="4:13" ht="15" hidden="1" x14ac:dyDescent="0.25">
      <c r="D103" t="str">
        <f>IF(D99&gt;E99,D100,D101)</f>
        <v>YAOP</v>
      </c>
      <c r="E103"/>
      <c r="F103" t="str">
        <f>IF(D98&gt;=0,IF(E99&gt;=0,D104,IF(D98&gt;=0,IF(E98&gt;=0,D102,IF(D99&gt;=0,IF(E99&gt;=0,D103,0))))))</f>
        <v>ESTA DECLARACION DEBE REALIZARSE SEGÚN ART 589 E.T.</v>
      </c>
      <c r="I103" s="184">
        <f>IF((F80)&lt;=((8000)*('DATOS PARA DEPURAR'!C24)),F80,(8000*'DATOS PARA DEPURAR'!C24))</f>
        <v>0</v>
      </c>
      <c r="K103" s="293">
        <v>3177</v>
      </c>
      <c r="L103" s="296">
        <f t="shared" si="7"/>
        <v>6922.99</v>
      </c>
      <c r="M103" s="295">
        <v>529.36</v>
      </c>
    </row>
    <row r="104" spans="4:13" ht="15" hidden="1" x14ac:dyDescent="0.25">
      <c r="D104" t="str">
        <f>IF(D98&gt;=0,IF(E99&gt;=0,D100,D101))</f>
        <v>ESTA DECLARACION DEBE REALIZARSE SEGÚN ART 589 E.T.</v>
      </c>
      <c r="E104"/>
      <c r="F104"/>
      <c r="I104" s="184">
        <f>IF(SUM(F81:F83)&lt;=(19000*'DATOS PARA DEPURAR'!C24),(SUM(F81:F83)),(19000*'DATOS PARA DEPURAR'!C24))</f>
        <v>0</v>
      </c>
      <c r="K104" s="293">
        <v>3258</v>
      </c>
      <c r="L104" s="296">
        <f t="shared" si="7"/>
        <v>7126.99</v>
      </c>
      <c r="M104" s="295">
        <v>564.23</v>
      </c>
    </row>
    <row r="105" spans="4:13" ht="15" hidden="1" x14ac:dyDescent="0.25">
      <c r="K105" s="293">
        <v>3339</v>
      </c>
      <c r="L105" s="296">
        <f t="shared" si="7"/>
        <v>7329.99</v>
      </c>
      <c r="M105" s="295">
        <v>600.04</v>
      </c>
    </row>
    <row r="106" spans="4:13" ht="15" hidden="1" x14ac:dyDescent="0.25">
      <c r="K106" s="293">
        <v>3421</v>
      </c>
      <c r="L106" s="296">
        <f t="shared" si="7"/>
        <v>7533.99</v>
      </c>
      <c r="M106" s="295">
        <v>636.75</v>
      </c>
    </row>
    <row r="107" spans="4:13" ht="15" hidden="1" x14ac:dyDescent="0.25">
      <c r="D107" s="184" t="str">
        <f>IF('DATOS PARA DEPURAR'!C13="S",F103,D101)</f>
        <v>YAOP</v>
      </c>
      <c r="G107" s="47"/>
      <c r="I107" s="298">
        <f>SUM(I101:I106)</f>
        <v>0</v>
      </c>
      <c r="K107" s="293">
        <v>3502</v>
      </c>
      <c r="L107" s="296">
        <f t="shared" si="7"/>
        <v>7737.99</v>
      </c>
      <c r="M107" s="295">
        <v>674.35</v>
      </c>
    </row>
    <row r="108" spans="4:13" ht="15" hidden="1" x14ac:dyDescent="0.25">
      <c r="G108" s="47"/>
      <c r="I108" s="248">
        <f>+'DATOS PARA DEPURAR'!E20</f>
        <v>100000000</v>
      </c>
      <c r="K108" s="293">
        <v>3584</v>
      </c>
      <c r="L108" s="296">
        <f t="shared" si="7"/>
        <v>7940.99</v>
      </c>
      <c r="M108" s="295">
        <v>712.8</v>
      </c>
    </row>
    <row r="109" spans="4:13" ht="15" hidden="1" x14ac:dyDescent="0.25">
      <c r="G109" s="47"/>
      <c r="K109" s="293">
        <v>3665</v>
      </c>
      <c r="L109" s="296">
        <f t="shared" si="7"/>
        <v>8144.99</v>
      </c>
      <c r="M109" s="295">
        <v>752.1</v>
      </c>
    </row>
    <row r="110" spans="4:13" ht="15" hidden="1" x14ac:dyDescent="0.25">
      <c r="D110" s="247" t="s">
        <v>458</v>
      </c>
      <c r="G110" s="47"/>
      <c r="K110" s="293">
        <v>3747</v>
      </c>
      <c r="L110" s="296">
        <f t="shared" si="7"/>
        <v>8348.99</v>
      </c>
      <c r="M110" s="295">
        <v>792.22</v>
      </c>
    </row>
    <row r="111" spans="4:13" ht="15" hidden="1" x14ac:dyDescent="0.25">
      <c r="G111" s="47"/>
      <c r="K111" s="293">
        <v>3828</v>
      </c>
      <c r="L111" s="296">
        <f t="shared" si="7"/>
        <v>8551.99</v>
      </c>
      <c r="M111" s="295">
        <v>833.12</v>
      </c>
    </row>
    <row r="112" spans="4:13" ht="15" hidden="1" x14ac:dyDescent="0.25">
      <c r="D112" s="256" t="s">
        <v>8</v>
      </c>
      <c r="E112" s="257"/>
      <c r="G112" s="47"/>
      <c r="I112" s="184">
        <f>IF((F24)&gt;=F89,F89,F24)</f>
        <v>0</v>
      </c>
      <c r="K112" s="293">
        <v>3910</v>
      </c>
      <c r="L112" s="296">
        <f t="shared" si="7"/>
        <v>8755.99</v>
      </c>
      <c r="M112" s="295">
        <v>874.79</v>
      </c>
    </row>
    <row r="113" spans="4:13" ht="15.75" hidden="1" thickBot="1" x14ac:dyDescent="0.3">
      <c r="D113" s="1266">
        <f>+F28/I136</f>
        <v>217.76855606903706</v>
      </c>
      <c r="E113" s="1267"/>
      <c r="G113" s="47"/>
      <c r="K113" s="293">
        <v>3991</v>
      </c>
      <c r="L113" s="296">
        <f t="shared" si="7"/>
        <v>8958.99</v>
      </c>
      <c r="M113" s="295">
        <v>917.21</v>
      </c>
    </row>
    <row r="114" spans="4:13" ht="15" hidden="1" x14ac:dyDescent="0.25">
      <c r="E114" s="184"/>
      <c r="K114" s="293">
        <v>4072</v>
      </c>
      <c r="L114" s="296">
        <f t="shared" si="7"/>
        <v>9162.99</v>
      </c>
      <c r="M114" s="295">
        <v>960.34</v>
      </c>
    </row>
    <row r="115" spans="4:13" ht="15" hidden="1" x14ac:dyDescent="0.25">
      <c r="D115" s="262">
        <v>0</v>
      </c>
      <c r="F115" s="263">
        <v>1090</v>
      </c>
      <c r="K115" s="293">
        <v>4276</v>
      </c>
      <c r="L115" s="296">
        <f t="shared" si="7"/>
        <v>9366.99</v>
      </c>
      <c r="M115" s="303">
        <v>1004.16</v>
      </c>
    </row>
    <row r="116" spans="4:13" ht="15" hidden="1" x14ac:dyDescent="0.25">
      <c r="D116" s="265" t="s">
        <v>169</v>
      </c>
      <c r="F116" s="266">
        <v>1700</v>
      </c>
      <c r="K116" s="293">
        <v>4480</v>
      </c>
      <c r="L116" s="296">
        <f t="shared" si="7"/>
        <v>9569.99</v>
      </c>
      <c r="M116" s="303">
        <v>1048.6400000000001</v>
      </c>
    </row>
    <row r="117" spans="4:13" ht="15" hidden="1" x14ac:dyDescent="0.25">
      <c r="D117" s="265" t="s">
        <v>170</v>
      </c>
      <c r="F117" s="266">
        <v>4100</v>
      </c>
      <c r="K117" s="293">
        <v>4683</v>
      </c>
      <c r="L117" s="296">
        <f t="shared" si="7"/>
        <v>9773.99</v>
      </c>
      <c r="M117" s="303">
        <v>1093.75</v>
      </c>
    </row>
    <row r="118" spans="4:13" ht="15.75" hidden="1" thickBot="1" x14ac:dyDescent="0.3">
      <c r="D118" s="270" t="s">
        <v>171</v>
      </c>
      <c r="F118" s="271"/>
      <c r="K118" s="293">
        <v>4887</v>
      </c>
      <c r="L118" s="296">
        <f t="shared" ref="L118:L135" si="8">+K143-0.01</f>
        <v>9977.99</v>
      </c>
      <c r="M118" s="303">
        <v>1139.48</v>
      </c>
    </row>
    <row r="119" spans="4:13" ht="15" hidden="1" x14ac:dyDescent="0.25">
      <c r="E119" s="184"/>
      <c r="K119" s="293">
        <v>5091</v>
      </c>
      <c r="L119" s="296">
        <f t="shared" si="8"/>
        <v>10180.99</v>
      </c>
      <c r="M119" s="303">
        <v>1185.78</v>
      </c>
    </row>
    <row r="120" spans="4:13" ht="15" hidden="1" x14ac:dyDescent="0.25">
      <c r="D120" s="1268" t="s">
        <v>172</v>
      </c>
      <c r="E120" s="1269"/>
      <c r="K120" s="293">
        <v>5294</v>
      </c>
      <c r="L120" s="296">
        <f t="shared" si="8"/>
        <v>10384.99</v>
      </c>
      <c r="M120" s="303">
        <v>1232.6199999999999</v>
      </c>
    </row>
    <row r="121" spans="4:13" ht="15.75" hidden="1" thickBot="1" x14ac:dyDescent="0.3">
      <c r="D121" s="1270">
        <f>IF(I138=0,I138,IF(I139&gt;0,I139,IF(I140&gt;0,I140,IF(I141&gt;0,I141))))</f>
        <v>0</v>
      </c>
      <c r="E121" s="1271"/>
      <c r="K121" s="293">
        <v>5498</v>
      </c>
      <c r="L121" s="296">
        <f t="shared" si="8"/>
        <v>10587.99</v>
      </c>
      <c r="M121" s="303">
        <v>1279.99</v>
      </c>
    </row>
    <row r="122" spans="4:13" ht="15" hidden="1" x14ac:dyDescent="0.25">
      <c r="K122" s="293">
        <v>5701</v>
      </c>
      <c r="L122" s="296">
        <f t="shared" si="8"/>
        <v>10791.99</v>
      </c>
      <c r="M122" s="303">
        <v>1327.85</v>
      </c>
    </row>
    <row r="123" spans="4:13" ht="15" hidden="1" x14ac:dyDescent="0.25">
      <c r="K123" s="293">
        <v>5905</v>
      </c>
      <c r="L123" s="296">
        <f t="shared" si="8"/>
        <v>10995.99</v>
      </c>
      <c r="M123" s="303">
        <v>1376.16</v>
      </c>
    </row>
    <row r="124" spans="4:13" ht="15" hidden="1" x14ac:dyDescent="0.25">
      <c r="D124" s="247" t="s">
        <v>459</v>
      </c>
      <c r="K124" s="293">
        <v>6109</v>
      </c>
      <c r="L124" s="296">
        <f t="shared" si="8"/>
        <v>11198.99</v>
      </c>
      <c r="M124" s="303">
        <v>1424.9</v>
      </c>
    </row>
    <row r="125" spans="4:13" ht="15" hidden="1" x14ac:dyDescent="0.25">
      <c r="D125" s="298">
        <f>MAX(J25:K26)</f>
        <v>89</v>
      </c>
      <c r="K125" s="293">
        <v>6312</v>
      </c>
      <c r="L125" s="296">
        <f t="shared" si="8"/>
        <v>11402.99</v>
      </c>
      <c r="M125" s="303">
        <v>1474.04</v>
      </c>
    </row>
    <row r="126" spans="4:13" ht="15" hidden="1" x14ac:dyDescent="0.25">
      <c r="D126" s="247" t="s">
        <v>460</v>
      </c>
      <c r="K126" s="293">
        <v>6516</v>
      </c>
      <c r="L126" s="296">
        <f t="shared" si="8"/>
        <v>11606.99</v>
      </c>
      <c r="M126" s="303">
        <v>1523.54</v>
      </c>
    </row>
    <row r="127" spans="4:13" ht="15" hidden="1" x14ac:dyDescent="0.25">
      <c r="D127" s="299">
        <f>+D121</f>
        <v>0</v>
      </c>
      <c r="K127" s="293">
        <v>6720</v>
      </c>
      <c r="L127" s="296">
        <f t="shared" si="8"/>
        <v>11809.99</v>
      </c>
      <c r="M127" s="303">
        <v>1573.37</v>
      </c>
    </row>
    <row r="128" spans="4:13" ht="15" hidden="1" x14ac:dyDescent="0.25">
      <c r="K128" s="293">
        <v>6923</v>
      </c>
      <c r="L128" s="296">
        <f t="shared" si="8"/>
        <v>12013.99</v>
      </c>
      <c r="M128" s="303">
        <v>1623.49</v>
      </c>
    </row>
    <row r="129" spans="4:13" ht="22.5" hidden="1" x14ac:dyDescent="0.25">
      <c r="D129" s="260" t="s">
        <v>160</v>
      </c>
      <c r="F129" s="251">
        <f>+'DATOS PARA DEPURAR'!E343</f>
        <v>0</v>
      </c>
      <c r="K129" s="293">
        <v>7127</v>
      </c>
      <c r="L129" s="296">
        <f t="shared" si="8"/>
        <v>12216.99</v>
      </c>
      <c r="M129" s="303">
        <v>1673.89</v>
      </c>
    </row>
    <row r="130" spans="4:13" ht="22.5" hidden="1" x14ac:dyDescent="0.25">
      <c r="D130" s="260" t="s">
        <v>161</v>
      </c>
      <c r="F130" s="251">
        <f>+'DATOS PARA DEPURAR'!E344</f>
        <v>0</v>
      </c>
      <c r="K130" s="293">
        <v>7330</v>
      </c>
      <c r="L130" s="296">
        <f t="shared" si="8"/>
        <v>12420.99</v>
      </c>
      <c r="M130" s="303">
        <v>1724.51</v>
      </c>
    </row>
    <row r="131" spans="4:13" ht="22.5" hidden="1" x14ac:dyDescent="0.25">
      <c r="D131" s="260" t="s">
        <v>162</v>
      </c>
      <c r="F131" s="251">
        <f>+'DATOS PARA DEPURAR'!E345</f>
        <v>0</v>
      </c>
      <c r="K131" s="293">
        <v>7534</v>
      </c>
      <c r="L131" s="296">
        <f t="shared" si="8"/>
        <v>12624.99</v>
      </c>
      <c r="M131" s="303">
        <v>1775.33</v>
      </c>
    </row>
    <row r="132" spans="4:13" ht="15" hidden="1" x14ac:dyDescent="0.25">
      <c r="D132" s="253" t="s">
        <v>163</v>
      </c>
      <c r="F132" s="251">
        <f>+'DATOS PARA DEPURAR'!E349</f>
        <v>0</v>
      </c>
      <c r="K132" s="293">
        <v>7738</v>
      </c>
      <c r="L132" s="296">
        <f t="shared" si="8"/>
        <v>12827.99</v>
      </c>
      <c r="M132" s="303">
        <v>1826.31</v>
      </c>
    </row>
    <row r="133" spans="4:13" ht="15" hidden="1" x14ac:dyDescent="0.25">
      <c r="D133" s="247" t="s">
        <v>461</v>
      </c>
      <c r="F133" s="298">
        <f>IF(I156&gt;0,D125-I156,0)</f>
        <v>0</v>
      </c>
      <c r="K133" s="293">
        <v>7941</v>
      </c>
      <c r="L133" s="296">
        <f t="shared" si="8"/>
        <v>13031.99</v>
      </c>
      <c r="M133" s="303">
        <v>1877.42</v>
      </c>
    </row>
    <row r="134" spans="4:13" ht="15" hidden="1" x14ac:dyDescent="0.25">
      <c r="D134" s="247" t="s">
        <v>462</v>
      </c>
      <c r="F134" s="248">
        <f>IF(D127&gt;0,D127*0.75,0)</f>
        <v>0</v>
      </c>
      <c r="K134" s="293">
        <v>8145</v>
      </c>
      <c r="L134" s="296">
        <f t="shared" si="8"/>
        <v>13235.99</v>
      </c>
      <c r="M134" s="303">
        <v>1928.63</v>
      </c>
    </row>
    <row r="135" spans="4:13" ht="15" hidden="1" x14ac:dyDescent="0.25">
      <c r="I135" s="258" t="s">
        <v>10</v>
      </c>
      <c r="K135" s="293">
        <v>8349</v>
      </c>
      <c r="L135" s="296">
        <f t="shared" si="8"/>
        <v>13438.99</v>
      </c>
      <c r="M135" s="303">
        <v>1979.89</v>
      </c>
    </row>
    <row r="136" spans="4:13" ht="15" hidden="1" x14ac:dyDescent="0.25">
      <c r="D136" s="247" t="s">
        <v>463</v>
      </c>
      <c r="F136" s="298">
        <f>IF(F133&lt;F134,0,F133)</f>
        <v>0</v>
      </c>
      <c r="I136" s="259">
        <f>+'DATOS PARA DEPURAR'!C24</f>
        <v>42412</v>
      </c>
      <c r="K136" s="293">
        <v>8552</v>
      </c>
      <c r="L136" s="296">
        <f>13643-0.01</f>
        <v>13642.99</v>
      </c>
      <c r="M136" s="303">
        <v>2031.18</v>
      </c>
    </row>
    <row r="137" spans="4:13" ht="15" hidden="1" x14ac:dyDescent="0.25">
      <c r="K137" s="293">
        <v>8756</v>
      </c>
      <c r="L137" s="294"/>
      <c r="M137" s="295" t="s">
        <v>81</v>
      </c>
    </row>
    <row r="138" spans="4:13" ht="22.5" hidden="1" x14ac:dyDescent="0.2">
      <c r="D138" s="260" t="s">
        <v>160</v>
      </c>
      <c r="F138" s="184">
        <f>IF(F136&gt;0,I152,0)</f>
        <v>0</v>
      </c>
      <c r="I138" s="264">
        <f>IF(D113&lt;=1090,0)</f>
        <v>0</v>
      </c>
      <c r="K138" s="293">
        <v>8959</v>
      </c>
    </row>
    <row r="139" spans="4:13" ht="22.5" hidden="1" x14ac:dyDescent="0.25">
      <c r="D139" s="260" t="s">
        <v>161</v>
      </c>
      <c r="F139" s="184">
        <f>IF(F136&gt;0,I153,0)</f>
        <v>0</v>
      </c>
      <c r="I139" s="267" t="b">
        <f>IF(D113&gt;1090,(IF(D113&lt;=1700,ROUND((((+D113-1090)*19%)*I136),-3),0)),FALSE)</f>
        <v>0</v>
      </c>
      <c r="K139" s="293">
        <v>9163</v>
      </c>
    </row>
    <row r="140" spans="4:13" ht="22.5" hidden="1" x14ac:dyDescent="0.25">
      <c r="D140" s="260" t="s">
        <v>162</v>
      </c>
      <c r="F140" s="184">
        <f>IF(F136&gt;0,I154,0)</f>
        <v>0</v>
      </c>
      <c r="I140" s="267" t="b">
        <f>IF(D113&gt;1700,IF(D113&lt;=4100,ROUND((((+D113-1700)*28%+116)*I136),-3),0))</f>
        <v>0</v>
      </c>
      <c r="K140" s="293">
        <v>9367</v>
      </c>
    </row>
    <row r="141" spans="4:13" ht="15.75" hidden="1" thickBot="1" x14ac:dyDescent="0.3">
      <c r="D141" s="253" t="s">
        <v>163</v>
      </c>
      <c r="F141" s="184">
        <f>IF(F136&gt;0,I155,0)</f>
        <v>0</v>
      </c>
      <c r="I141" s="272">
        <f>IF(D113&gt;4100,ROUND((((+D113-4100)*33%)*I136)+(788*I136),-3),0)</f>
        <v>0</v>
      </c>
      <c r="K141" s="293">
        <v>9570</v>
      </c>
    </row>
    <row r="142" spans="4:13" hidden="1" x14ac:dyDescent="0.2">
      <c r="K142" s="293">
        <v>9774</v>
      </c>
    </row>
    <row r="143" spans="4:13" hidden="1" x14ac:dyDescent="0.2">
      <c r="D143" s="247" t="s">
        <v>464</v>
      </c>
      <c r="K143" s="293">
        <v>9978</v>
      </c>
    </row>
    <row r="144" spans="4:13" hidden="1" x14ac:dyDescent="0.2">
      <c r="D144" s="247" t="s">
        <v>398</v>
      </c>
      <c r="F144" s="184">
        <f>IF('DATOS PARA DEPURAR'!E106="S",'DATOS PARA DEPURAR'!E57,0)</f>
        <v>0</v>
      </c>
      <c r="K144" s="293">
        <v>10181</v>
      </c>
    </row>
    <row r="145" spans="4:13" hidden="1" x14ac:dyDescent="0.2">
      <c r="D145" s="247" t="s">
        <v>465</v>
      </c>
      <c r="K145" s="293">
        <v>10385</v>
      </c>
    </row>
    <row r="146" spans="4:13" hidden="1" x14ac:dyDescent="0.2">
      <c r="D146" s="247" t="s">
        <v>196</v>
      </c>
      <c r="F146" s="184">
        <f>IF(F144&gt;0,'DATOS PARA DEPURAR'!E207+SUM('DATOS PARA DEPURAR'!E226:E242)+'DATOS PARA DEPURAR'!E249+'DATOS PARA DEPURAR'!E258,0)</f>
        <v>0</v>
      </c>
      <c r="K146" s="293">
        <v>10588</v>
      </c>
    </row>
    <row r="147" spans="4:13" hidden="1" x14ac:dyDescent="0.2">
      <c r="D147" s="247" t="s">
        <v>466</v>
      </c>
      <c r="F147" s="247">
        <f>IF(F144&gt;0,'DATOS PARA DEPURAR'!E286-'DATOS PARA DEPURAR'!D286,0)</f>
        <v>0</v>
      </c>
      <c r="K147" s="293">
        <v>10792</v>
      </c>
    </row>
    <row r="148" spans="4:13" hidden="1" x14ac:dyDescent="0.2">
      <c r="D148" s="247" t="s">
        <v>467</v>
      </c>
      <c r="F148" s="184">
        <f>+F144-F146-F147</f>
        <v>0</v>
      </c>
      <c r="K148" s="293">
        <v>10996</v>
      </c>
    </row>
    <row r="149" spans="4:13" hidden="1" x14ac:dyDescent="0.2">
      <c r="D149" s="247" t="s">
        <v>466</v>
      </c>
      <c r="F149" s="184">
        <f>+F148*0.25</f>
        <v>0</v>
      </c>
      <c r="K149" s="293">
        <v>11199</v>
      </c>
    </row>
    <row r="150" spans="4:13" hidden="1" x14ac:dyDescent="0.2">
      <c r="K150" s="293">
        <v>11403</v>
      </c>
      <c r="L150" s="470"/>
      <c r="M150" s="470"/>
    </row>
    <row r="151" spans="4:13" hidden="1" x14ac:dyDescent="0.2">
      <c r="K151" s="293">
        <v>11607</v>
      </c>
      <c r="L151" s="470"/>
      <c r="M151" s="470"/>
    </row>
    <row r="152" spans="4:13" hidden="1" x14ac:dyDescent="0.2">
      <c r="I152" s="184">
        <f>IF(F129&gt;0,(IF((D125-SUM(F129))&gt;0,F129,D125)),0)</f>
        <v>0</v>
      </c>
      <c r="K152" s="293">
        <v>11810</v>
      </c>
      <c r="L152" s="470"/>
      <c r="M152" s="470"/>
    </row>
    <row r="153" spans="4:13" hidden="1" x14ac:dyDescent="0.2">
      <c r="I153" s="184">
        <f>IF(F130&gt;0,(IF((D125-SUM(F130))&gt;0,F130,D125)),0)</f>
        <v>0</v>
      </c>
      <c r="K153" s="293">
        <v>12014</v>
      </c>
      <c r="L153" s="473" t="s">
        <v>10</v>
      </c>
      <c r="M153" s="470"/>
    </row>
    <row r="154" spans="4:13" hidden="1" x14ac:dyDescent="0.2">
      <c r="I154" s="184">
        <f>IF(F131&gt;0,(IF((D125-SUM(F131))&gt;0,F131,D125)),0)</f>
        <v>0</v>
      </c>
      <c r="K154" s="293">
        <v>12217</v>
      </c>
      <c r="L154" s="474">
        <f>+'DATOS PARA DEPURAR'!C24</f>
        <v>42412</v>
      </c>
      <c r="M154" s="470"/>
    </row>
    <row r="155" spans="4:13" hidden="1" x14ac:dyDescent="0.2">
      <c r="I155" s="184">
        <f>IF(F132&gt;0,(IF((D125-SUM(F132))&gt;0,F132,D125)),0)</f>
        <v>0</v>
      </c>
      <c r="K155" s="293">
        <v>12421</v>
      </c>
      <c r="L155" s="470"/>
      <c r="M155" s="470"/>
    </row>
    <row r="156" spans="4:13" hidden="1" x14ac:dyDescent="0.2">
      <c r="I156" s="251">
        <f>MAX(I152:I155)</f>
        <v>0</v>
      </c>
      <c r="K156" s="293">
        <v>12625</v>
      </c>
      <c r="L156" s="477">
        <f>IF(I178&lt;=1090,0)</f>
        <v>0</v>
      </c>
      <c r="M156" s="470"/>
    </row>
    <row r="157" spans="4:13" ht="15" hidden="1" x14ac:dyDescent="0.25">
      <c r="K157" s="293">
        <v>12828</v>
      </c>
      <c r="L157" s="480" t="b">
        <f>IF(I178&gt;1090,(IF(I178&lt;=1700,ROUND((((+I178-1090)*19%)*L154),-3),0)),FALSE)</f>
        <v>0</v>
      </c>
      <c r="M157" s="470"/>
    </row>
    <row r="158" spans="4:13" ht="15" hidden="1" x14ac:dyDescent="0.25">
      <c r="K158" s="293">
        <v>13032</v>
      </c>
      <c r="L158" s="480" t="b">
        <f>IF(I178&gt;1700,IF(I178&lt;=4100,ROUND((((+I178-1700)*28%+116)*L154),-3),0))</f>
        <v>0</v>
      </c>
      <c r="M158" s="470"/>
    </row>
    <row r="159" spans="4:13" ht="15.75" hidden="1" thickBot="1" x14ac:dyDescent="0.3">
      <c r="K159" s="293">
        <v>13236</v>
      </c>
      <c r="L159" s="483">
        <f>IF(I178&gt;4100,ROUND((((+I178-4100)*33%)*L154)+(788*L154),-3),0)</f>
        <v>0</v>
      </c>
      <c r="M159" s="470"/>
    </row>
    <row r="160" spans="4:13" hidden="1" x14ac:dyDescent="0.2">
      <c r="K160" s="293">
        <v>13439</v>
      </c>
      <c r="L160" s="485"/>
      <c r="M160" s="470"/>
    </row>
    <row r="161" spans="4:13" hidden="1" x14ac:dyDescent="0.2">
      <c r="K161" s="295" t="s">
        <v>80</v>
      </c>
      <c r="L161" s="485"/>
      <c r="M161" s="470"/>
    </row>
    <row r="162" spans="4:13" hidden="1" x14ac:dyDescent="0.2">
      <c r="L162" s="1310" t="s">
        <v>172</v>
      </c>
      <c r="M162" s="1311"/>
    </row>
    <row r="163" spans="4:13" ht="13.5" hidden="1" thickBot="1" x14ac:dyDescent="0.25">
      <c r="D163" s="470" t="s">
        <v>468</v>
      </c>
      <c r="L163" s="1312">
        <f>IF(L156=0,L156,IF(L157&gt;0,L157,IF(L158&gt;0,L158,IF(L159&gt;0,L159))))</f>
        <v>0</v>
      </c>
      <c r="M163" s="1313"/>
    </row>
    <row r="164" spans="4:13" hidden="1" x14ac:dyDescent="0.2">
      <c r="L164" s="470"/>
      <c r="M164" s="470"/>
    </row>
    <row r="165" spans="4:13" hidden="1" x14ac:dyDescent="0.2">
      <c r="D165" s="778" t="s">
        <v>692</v>
      </c>
      <c r="F165" s="299">
        <f>K32</f>
        <v>84843000</v>
      </c>
      <c r="L165" s="470"/>
      <c r="M165" s="470"/>
    </row>
    <row r="166" spans="4:13" hidden="1" x14ac:dyDescent="0.2">
      <c r="L166" s="470"/>
      <c r="M166" s="470"/>
    </row>
    <row r="167" spans="4:13" hidden="1" x14ac:dyDescent="0.2">
      <c r="D167" s="778" t="s">
        <v>693</v>
      </c>
      <c r="F167" s="780" t="s">
        <v>35</v>
      </c>
      <c r="G167" s="778" t="s">
        <v>698</v>
      </c>
      <c r="H167" s="778"/>
      <c r="L167" s="470"/>
      <c r="M167" s="470"/>
    </row>
    <row r="168" spans="4:13" hidden="1" x14ac:dyDescent="0.2">
      <c r="D168" s="184" t="str">
        <f>+'DATOS PARA DEPURAR'!B343</f>
        <v>Por impuestos pagados en el exterior de los literales a) a c) del art. 254 E.T.</v>
      </c>
      <c r="F168" s="184">
        <f>+'DATOS PARA DEPURAR'!E343</f>
        <v>0</v>
      </c>
      <c r="G168" s="781" t="e">
        <f>+F168/$F$173</f>
        <v>#DIV/0!</v>
      </c>
      <c r="I168" s="251" t="e">
        <f>+G168*$F$178</f>
        <v>#DIV/0!</v>
      </c>
    </row>
    <row r="169" spans="4:13" hidden="1" x14ac:dyDescent="0.2">
      <c r="D169" s="184" t="str">
        <f>+'DATOS PARA DEPURAR'!B344</f>
        <v>Por impuestos pagados en el exterior del literal d) del art. 254 E.T.</v>
      </c>
      <c r="F169" s="184">
        <f>+'DATOS PARA DEPURAR'!E344</f>
        <v>0</v>
      </c>
      <c r="G169" s="781" t="e">
        <f t="shared" ref="G169:G172" si="9">+F169/$F$173</f>
        <v>#DIV/0!</v>
      </c>
      <c r="I169" s="251" t="e">
        <f t="shared" ref="I169:I171" si="10">+G169*$F$178</f>
        <v>#DIV/0!</v>
      </c>
    </row>
    <row r="170" spans="4:13" hidden="1" x14ac:dyDescent="0.2">
      <c r="D170" s="184" t="str">
        <f>+'DATOS PARA DEPURAR'!B345</f>
        <v>Por impuestos pagados en el exterior, distintos a los registrados anteriormente</v>
      </c>
      <c r="F170" s="184">
        <f>+'DATOS PARA DEPURAR'!E345</f>
        <v>0</v>
      </c>
      <c r="G170" s="781" t="e">
        <f t="shared" si="9"/>
        <v>#DIV/0!</v>
      </c>
      <c r="I170" s="251" t="e">
        <f t="shared" si="10"/>
        <v>#DIV/0!</v>
      </c>
    </row>
    <row r="171" spans="4:13" hidden="1" x14ac:dyDescent="0.2">
      <c r="D171" s="184" t="str">
        <f>+'DATOS PARA DEPURAR'!B348</f>
        <v>Otros</v>
      </c>
      <c r="F171" s="184">
        <f>+'DATOS PARA DEPURAR'!E348</f>
        <v>0</v>
      </c>
      <c r="G171" s="781" t="e">
        <f t="shared" si="9"/>
        <v>#DIV/0!</v>
      </c>
      <c r="I171" s="251" t="e">
        <f t="shared" si="10"/>
        <v>#DIV/0!</v>
      </c>
    </row>
    <row r="172" spans="4:13" hidden="1" x14ac:dyDescent="0.2">
      <c r="D172" s="184" t="str">
        <f>+'DATOS PARA DEPURAR'!B349</f>
        <v>Las donaciones efectuadas a entidades sin ánimo de lucro que hayan sido calificadas en el régimen especial del impuesto sobre la renta y complementarios y a las entidades no contribuyentes de que tratan los artículos 22 y 23 del Estatuto Tributario</v>
      </c>
      <c r="F172" s="184">
        <f>+'DATOS PARA DEPURAR'!E349</f>
        <v>0</v>
      </c>
      <c r="G172" s="781" t="e">
        <f t="shared" si="9"/>
        <v>#DIV/0!</v>
      </c>
      <c r="I172" s="251" t="e">
        <f>+G172*$F$178</f>
        <v>#DIV/0!</v>
      </c>
    </row>
    <row r="173" spans="4:13" hidden="1" x14ac:dyDescent="0.2">
      <c r="D173" s="778" t="s">
        <v>694</v>
      </c>
      <c r="F173" s="298">
        <f>SUM(F168:F172)</f>
        <v>0</v>
      </c>
    </row>
    <row r="174" spans="4:13" ht="25.5" hidden="1" x14ac:dyDescent="0.2">
      <c r="D174" s="779" t="s">
        <v>695</v>
      </c>
      <c r="F174" s="299">
        <f>+F165-F173</f>
        <v>84843000</v>
      </c>
      <c r="J174" s="470"/>
      <c r="K174" s="470"/>
    </row>
    <row r="175" spans="4:13" hidden="1" x14ac:dyDescent="0.2">
      <c r="I175" s="470"/>
      <c r="J175" s="470"/>
      <c r="K175" s="470"/>
    </row>
    <row r="176" spans="4:13" hidden="1" x14ac:dyDescent="0.2">
      <c r="D176" s="778" t="s">
        <v>696</v>
      </c>
      <c r="F176" s="251">
        <f>+K23</f>
        <v>0</v>
      </c>
      <c r="I176" s="470"/>
      <c r="J176" s="470"/>
      <c r="K176" s="470"/>
    </row>
    <row r="177" spans="4:11" hidden="1" x14ac:dyDescent="0.2">
      <c r="I177" s="471" t="s">
        <v>8</v>
      </c>
      <c r="J177" s="472"/>
      <c r="K177" s="470"/>
    </row>
    <row r="178" spans="4:11" ht="13.5" hidden="1" thickBot="1" x14ac:dyDescent="0.25">
      <c r="D178" s="778" t="s">
        <v>697</v>
      </c>
      <c r="F178" s="251">
        <f>F176*75%</f>
        <v>0</v>
      </c>
      <c r="I178" s="1308">
        <f>+'FORMULARIO 2019 RENTA CEDULA'!F28/L154</f>
        <v>217.76855606903706</v>
      </c>
      <c r="J178" s="1309"/>
      <c r="K178" s="470"/>
    </row>
    <row r="179" spans="4:11" hidden="1" x14ac:dyDescent="0.2">
      <c r="I179" s="470"/>
      <c r="J179" s="470"/>
      <c r="K179" s="470"/>
    </row>
    <row r="180" spans="4:11" hidden="1" x14ac:dyDescent="0.2">
      <c r="I180" s="475">
        <v>0</v>
      </c>
      <c r="J180" s="476">
        <v>1090</v>
      </c>
      <c r="K180" s="470"/>
    </row>
    <row r="181" spans="4:11" hidden="1" x14ac:dyDescent="0.2">
      <c r="I181" s="478" t="s">
        <v>169</v>
      </c>
      <c r="J181" s="479">
        <v>1700</v>
      </c>
      <c r="K181" s="470"/>
    </row>
    <row r="182" spans="4:11" hidden="1" x14ac:dyDescent="0.2">
      <c r="I182" s="478" t="s">
        <v>170</v>
      </c>
      <c r="J182" s="479">
        <v>4100</v>
      </c>
      <c r="K182" s="470"/>
    </row>
    <row r="183" spans="4:11" ht="13.5" hidden="1" thickBot="1" x14ac:dyDescent="0.25">
      <c r="I183" s="481" t="s">
        <v>171</v>
      </c>
      <c r="J183" s="482"/>
      <c r="K183" s="470"/>
    </row>
    <row r="184" spans="4:11" hidden="1" x14ac:dyDescent="0.2">
      <c r="I184" s="484"/>
      <c r="J184" s="470"/>
      <c r="K184" s="470"/>
    </row>
    <row r="185" spans="4:11" hidden="1" x14ac:dyDescent="0.2">
      <c r="I185" s="484"/>
      <c r="J185" s="470"/>
      <c r="K185" s="470"/>
    </row>
    <row r="186" spans="4:11" hidden="1" x14ac:dyDescent="0.2">
      <c r="I186" s="470"/>
      <c r="J186" s="470"/>
      <c r="K186" s="470"/>
    </row>
    <row r="187" spans="4:11" hidden="1" x14ac:dyDescent="0.2">
      <c r="I187" s="470"/>
      <c r="J187" s="470"/>
      <c r="K187" s="470"/>
    </row>
    <row r="188" spans="4:11" hidden="1" x14ac:dyDescent="0.2">
      <c r="I188" s="470"/>
      <c r="J188" s="470"/>
      <c r="K188" s="470"/>
    </row>
    <row r="189" spans="4:11" hidden="1" x14ac:dyDescent="0.2">
      <c r="I189" s="470" t="s">
        <v>399</v>
      </c>
      <c r="K189" s="470">
        <f>IF('DATOS PARA DEPURAR'!E350&lt;'FORMULARIO 2019 RENTA CEDULA'!K25,'DATOS PARA DEPURAR'!E350,'FORMULARIO 2019 RENTA CEDULA'!K25)</f>
        <v>0</v>
      </c>
    </row>
    <row r="190" spans="4:11" hidden="1" x14ac:dyDescent="0.2">
      <c r="I190" s="470" t="s">
        <v>400</v>
      </c>
      <c r="K190" s="470">
        <f>IF(L163&gt;0,L163*0.75,0)</f>
        <v>0</v>
      </c>
    </row>
    <row r="191" spans="4:11" hidden="1" x14ac:dyDescent="0.2">
      <c r="I191" s="470" t="s">
        <v>401</v>
      </c>
      <c r="K191" s="470">
        <f>IF(K189&lt;K190,K189,0)</f>
        <v>0</v>
      </c>
    </row>
  </sheetData>
  <mergeCells count="78">
    <mergeCell ref="B7:B13"/>
    <mergeCell ref="G18:G21"/>
    <mergeCell ref="B14:B25"/>
    <mergeCell ref="C20:D20"/>
    <mergeCell ref="A7:A44"/>
    <mergeCell ref="C9:D9"/>
    <mergeCell ref="G5:G9"/>
    <mergeCell ref="C7:D7"/>
    <mergeCell ref="C8:D8"/>
    <mergeCell ref="C10:D10"/>
    <mergeCell ref="C11:D11"/>
    <mergeCell ref="D120:E120"/>
    <mergeCell ref="D121:E121"/>
    <mergeCell ref="I178:J178"/>
    <mergeCell ref="L162:M162"/>
    <mergeCell ref="L163:M163"/>
    <mergeCell ref="H34:I34"/>
    <mergeCell ref="H48:I48"/>
    <mergeCell ref="C21:D21"/>
    <mergeCell ref="H49:I49"/>
    <mergeCell ref="H50:I50"/>
    <mergeCell ref="H45:I45"/>
    <mergeCell ref="C36:D36"/>
    <mergeCell ref="C37:D37"/>
    <mergeCell ref="H37:I37"/>
    <mergeCell ref="C23:D23"/>
    <mergeCell ref="H28:H31"/>
    <mergeCell ref="C24:D24"/>
    <mergeCell ref="C25:D25"/>
    <mergeCell ref="D100:E100"/>
    <mergeCell ref="C34:D34"/>
    <mergeCell ref="C35:D35"/>
    <mergeCell ref="D113:E113"/>
    <mergeCell ref="B42:D42"/>
    <mergeCell ref="B43:D43"/>
    <mergeCell ref="P36:Q36"/>
    <mergeCell ref="B44:D44"/>
    <mergeCell ref="G22:G52"/>
    <mergeCell ref="C33:D33"/>
    <mergeCell ref="B26:B37"/>
    <mergeCell ref="B38:D38"/>
    <mergeCell ref="B39:D39"/>
    <mergeCell ref="B40:D40"/>
    <mergeCell ref="B41:D41"/>
    <mergeCell ref="H40:I40"/>
    <mergeCell ref="H42:I42"/>
    <mergeCell ref="H43:I43"/>
    <mergeCell ref="M30:N30"/>
    <mergeCell ref="H32:I32"/>
    <mergeCell ref="M31:N31"/>
    <mergeCell ref="H33:I33"/>
    <mergeCell ref="M23:N23"/>
    <mergeCell ref="H22:H27"/>
    <mergeCell ref="C22:D22"/>
    <mergeCell ref="C32:D32"/>
    <mergeCell ref="H15:I15"/>
    <mergeCell ref="G10:G16"/>
    <mergeCell ref="C12:D12"/>
    <mergeCell ref="C13:D13"/>
    <mergeCell ref="H13:I13"/>
    <mergeCell ref="H8:I8"/>
    <mergeCell ref="H21:I21"/>
    <mergeCell ref="H18:I18"/>
    <mergeCell ref="H19:I19"/>
    <mergeCell ref="H20:I20"/>
    <mergeCell ref="H16:I16"/>
    <mergeCell ref="H10:I10"/>
    <mergeCell ref="H14:I14"/>
    <mergeCell ref="B1:G1"/>
    <mergeCell ref="H1:K2"/>
    <mergeCell ref="B2:G2"/>
    <mergeCell ref="B3:K3"/>
    <mergeCell ref="A4:A6"/>
    <mergeCell ref="H5:I5"/>
    <mergeCell ref="B4:D4"/>
    <mergeCell ref="B5:D5"/>
    <mergeCell ref="B6:D6"/>
    <mergeCell ref="G4:I4"/>
  </mergeCells>
  <pageMargins left="3.937007874015748E-2" right="3.937007874015748E-2" top="0.19685039370078741" bottom="0.15748031496062992" header="0.31496062992125984" footer="0.31496062992125984"/>
  <pageSetup scale="83" orientation="portrait" vertic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275C-7BC7-418B-866A-1FFB4BCC61F3}">
  <sheetPr>
    <tabColor rgb="FFFF0000"/>
  </sheetPr>
  <dimension ref="A1:J16"/>
  <sheetViews>
    <sheetView showGridLines="0" view="pageBreakPreview" zoomScale="115" zoomScaleNormal="100" zoomScaleSheetLayoutView="115" workbookViewId="0"/>
  </sheetViews>
  <sheetFormatPr baseColWidth="10" defaultRowHeight="12.75" x14ac:dyDescent="0.2"/>
  <cols>
    <col min="1" max="1" width="9" customWidth="1"/>
    <col min="3" max="3" width="10.85546875" customWidth="1"/>
    <col min="4" max="4" width="8" customWidth="1"/>
    <col min="5" max="5" width="9.5703125" customWidth="1"/>
    <col min="6" max="6" width="18.42578125" customWidth="1"/>
    <col min="7" max="7" width="7" customWidth="1"/>
    <col min="8" max="8" width="21.5703125" customWidth="1"/>
    <col min="9" max="9" width="18" customWidth="1"/>
    <col min="10" max="10" width="0.140625" hidden="1" customWidth="1"/>
  </cols>
  <sheetData>
    <row r="1" spans="1:10" ht="20.25" customHeight="1" x14ac:dyDescent="0.2">
      <c r="A1" s="342" t="s">
        <v>889</v>
      </c>
    </row>
    <row r="2" spans="1:10" ht="21" customHeight="1" thickBot="1" x14ac:dyDescent="0.25"/>
    <row r="3" spans="1:10" ht="24.75" customHeight="1" x14ac:dyDescent="0.2">
      <c r="A3" s="997">
        <v>304</v>
      </c>
      <c r="B3" s="998" t="s">
        <v>890</v>
      </c>
      <c r="C3" s="999">
        <v>8.7500000000000008E-3</v>
      </c>
      <c r="D3" s="1000">
        <f>+A3+1</f>
        <v>305</v>
      </c>
      <c r="E3" s="1000" t="s">
        <v>891</v>
      </c>
      <c r="F3" s="1010">
        <v>100000000</v>
      </c>
      <c r="G3" s="1000">
        <f>+D3+1</f>
        <v>306</v>
      </c>
      <c r="H3" s="998" t="s">
        <v>892</v>
      </c>
      <c r="I3" s="1001">
        <f>IF(F3&gt;0,F3*C3,0)</f>
        <v>875000.00000000012</v>
      </c>
      <c r="J3" s="993">
        <v>0</v>
      </c>
    </row>
    <row r="4" spans="1:10" ht="24.75" customHeight="1" x14ac:dyDescent="0.2">
      <c r="A4" s="1002">
        <f>+G3+1</f>
        <v>307</v>
      </c>
      <c r="B4" s="994" t="s">
        <v>893</v>
      </c>
      <c r="C4" s="995"/>
      <c r="D4" s="996">
        <f t="shared" ref="D4:D6" si="0">+A4+1</f>
        <v>308</v>
      </c>
      <c r="E4" s="996" t="s">
        <v>898</v>
      </c>
      <c r="F4" s="1011"/>
      <c r="G4" s="996">
        <f t="shared" ref="G4:G12" si="1">+D4+1</f>
        <v>309</v>
      </c>
      <c r="H4" s="994" t="s">
        <v>903</v>
      </c>
      <c r="I4" s="1003">
        <f t="shared" ref="I4:I12" si="2">IF(F4&gt;0,F4*C4,0)</f>
        <v>0</v>
      </c>
      <c r="J4" s="993">
        <v>0.05</v>
      </c>
    </row>
    <row r="5" spans="1:10" ht="24.75" customHeight="1" x14ac:dyDescent="0.2">
      <c r="A5" s="1002">
        <f t="shared" ref="A5:A6" si="3">+G4+1</f>
        <v>310</v>
      </c>
      <c r="B5" s="994" t="s">
        <v>894</v>
      </c>
      <c r="C5" s="995"/>
      <c r="D5" s="996">
        <f t="shared" si="0"/>
        <v>311</v>
      </c>
      <c r="E5" s="996" t="s">
        <v>899</v>
      </c>
      <c r="F5" s="1011"/>
      <c r="G5" s="996">
        <f t="shared" si="1"/>
        <v>312</v>
      </c>
      <c r="H5" s="994" t="s">
        <v>904</v>
      </c>
      <c r="I5" s="1003">
        <f t="shared" si="2"/>
        <v>0</v>
      </c>
      <c r="J5" s="993">
        <v>0.09</v>
      </c>
    </row>
    <row r="6" spans="1:10" ht="24.75" customHeight="1" x14ac:dyDescent="0.2">
      <c r="A6" s="1002">
        <f t="shared" si="3"/>
        <v>313</v>
      </c>
      <c r="B6" s="994" t="s">
        <v>895</v>
      </c>
      <c r="C6" s="995"/>
      <c r="D6" s="996">
        <f t="shared" si="0"/>
        <v>314</v>
      </c>
      <c r="E6" s="996" t="s">
        <v>900</v>
      </c>
      <c r="F6" s="1011"/>
      <c r="G6" s="996">
        <f t="shared" si="1"/>
        <v>315</v>
      </c>
      <c r="H6" s="994" t="s">
        <v>905</v>
      </c>
      <c r="I6" s="1003">
        <f t="shared" si="2"/>
        <v>0</v>
      </c>
      <c r="J6" s="993">
        <v>0.15</v>
      </c>
    </row>
    <row r="7" spans="1:10" ht="24.75" customHeight="1" x14ac:dyDescent="0.2">
      <c r="A7" s="1002">
        <v>319</v>
      </c>
      <c r="B7" s="994" t="s">
        <v>896</v>
      </c>
      <c r="C7" s="995"/>
      <c r="D7" s="996">
        <v>318</v>
      </c>
      <c r="E7" s="996" t="s">
        <v>901</v>
      </c>
      <c r="F7" s="1011"/>
      <c r="G7" s="996">
        <v>317</v>
      </c>
      <c r="H7" s="994" t="s">
        <v>906</v>
      </c>
      <c r="I7" s="1003">
        <f t="shared" si="2"/>
        <v>0</v>
      </c>
      <c r="J7" s="993">
        <v>0.27</v>
      </c>
    </row>
    <row r="8" spans="1:10" ht="24.75" customHeight="1" x14ac:dyDescent="0.2">
      <c r="A8" s="1002">
        <v>322</v>
      </c>
      <c r="B8" s="994" t="s">
        <v>897</v>
      </c>
      <c r="C8" s="995"/>
      <c r="D8" s="996">
        <v>321</v>
      </c>
      <c r="E8" s="996" t="s">
        <v>902</v>
      </c>
      <c r="F8" s="1011"/>
      <c r="G8" s="996">
        <v>320</v>
      </c>
      <c r="H8" s="994" t="s">
        <v>907</v>
      </c>
      <c r="I8" s="1003">
        <f t="shared" si="2"/>
        <v>0</v>
      </c>
      <c r="J8" s="993">
        <v>0.33</v>
      </c>
    </row>
    <row r="9" spans="1:10" ht="24.75" customHeight="1" x14ac:dyDescent="0.2">
      <c r="A9" s="1002">
        <v>325</v>
      </c>
      <c r="B9" s="994" t="s">
        <v>916</v>
      </c>
      <c r="C9" s="995"/>
      <c r="D9" s="996">
        <v>324</v>
      </c>
      <c r="E9" s="996" t="s">
        <v>912</v>
      </c>
      <c r="F9" s="1011"/>
      <c r="G9" s="996">
        <v>323</v>
      </c>
      <c r="H9" s="994" t="s">
        <v>908</v>
      </c>
      <c r="I9" s="1003">
        <f t="shared" si="2"/>
        <v>0</v>
      </c>
      <c r="J9" s="993">
        <v>0.35</v>
      </c>
    </row>
    <row r="10" spans="1:10" ht="24.75" customHeight="1" x14ac:dyDescent="0.2">
      <c r="A10" s="1002">
        <v>328</v>
      </c>
      <c r="B10" s="994" t="s">
        <v>917</v>
      </c>
      <c r="C10" s="995"/>
      <c r="D10" s="996">
        <v>327</v>
      </c>
      <c r="E10" s="996" t="s">
        <v>913</v>
      </c>
      <c r="F10" s="1011"/>
      <c r="G10" s="996">
        <v>326</v>
      </c>
      <c r="H10" s="994" t="s">
        <v>909</v>
      </c>
      <c r="I10" s="1003">
        <f t="shared" si="2"/>
        <v>0</v>
      </c>
      <c r="J10" s="993">
        <v>0.38</v>
      </c>
    </row>
    <row r="11" spans="1:10" ht="24.75" customHeight="1" x14ac:dyDescent="0.2">
      <c r="A11" s="1002">
        <v>331</v>
      </c>
      <c r="B11" s="994" t="s">
        <v>918</v>
      </c>
      <c r="C11" s="995"/>
      <c r="D11" s="996">
        <v>330</v>
      </c>
      <c r="E11" s="996" t="s">
        <v>914</v>
      </c>
      <c r="F11" s="1011"/>
      <c r="G11" s="996">
        <v>329</v>
      </c>
      <c r="H11" s="994" t="s">
        <v>910</v>
      </c>
      <c r="I11" s="1003">
        <f t="shared" si="2"/>
        <v>0</v>
      </c>
      <c r="J11" s="993">
        <v>0.4</v>
      </c>
    </row>
    <row r="12" spans="1:10" ht="24.75" customHeight="1" thickBot="1" x14ac:dyDescent="0.25">
      <c r="A12" s="1004">
        <v>334</v>
      </c>
      <c r="B12" s="1005" t="s">
        <v>919</v>
      </c>
      <c r="C12" s="1006"/>
      <c r="D12" s="1007">
        <v>333</v>
      </c>
      <c r="E12" s="1007" t="s">
        <v>915</v>
      </c>
      <c r="F12" s="1012"/>
      <c r="G12" s="1007">
        <f t="shared" si="1"/>
        <v>334</v>
      </c>
      <c r="H12" s="1005" t="s">
        <v>911</v>
      </c>
      <c r="I12" s="1008">
        <f t="shared" si="2"/>
        <v>0</v>
      </c>
      <c r="J12" s="993">
        <v>0.45</v>
      </c>
    </row>
    <row r="13" spans="1:10" ht="16.5" customHeight="1" x14ac:dyDescent="0.2">
      <c r="A13" s="80"/>
      <c r="H13" s="992"/>
      <c r="J13" s="993">
        <v>0.5</v>
      </c>
    </row>
    <row r="14" spans="1:10" x14ac:dyDescent="0.2">
      <c r="J14" s="993">
        <v>8.7500000000000008E-3</v>
      </c>
    </row>
    <row r="15" spans="1:10" x14ac:dyDescent="0.2">
      <c r="J15" s="993">
        <v>0.17499999999999999</v>
      </c>
    </row>
    <row r="16" spans="1:10" x14ac:dyDescent="0.2">
      <c r="J16" s="993">
        <v>0.26250000000000001</v>
      </c>
    </row>
  </sheetData>
  <phoneticPr fontId="9" type="noConversion"/>
  <dataValidations count="1">
    <dataValidation type="list" allowBlank="1" showInputMessage="1" showErrorMessage="1" sqref="C3:C12" xr:uid="{44CE8225-0E57-4F6C-A742-A0F429083BC6}">
      <formula1>$J$3:$J$16</formula1>
    </dataValidation>
  </dataValidations>
  <pageMargins left="0.7" right="0.7" top="0.75" bottom="0.75" header="0.3" footer="0.3"/>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66"/>
  </sheetPr>
  <dimension ref="A1:BJ403"/>
  <sheetViews>
    <sheetView showGridLines="0" tabSelected="1" view="pageBreakPreview" zoomScaleNormal="100" zoomScaleSheetLayoutView="100" workbookViewId="0">
      <selection activeCell="AA15" sqref="AA15"/>
    </sheetView>
  </sheetViews>
  <sheetFormatPr baseColWidth="10" defaultRowHeight="12.75" x14ac:dyDescent="0.2"/>
  <cols>
    <col min="1" max="1" width="2.85546875" style="184" customWidth="1"/>
    <col min="2" max="2" width="3.5703125" style="184" customWidth="1"/>
    <col min="3" max="3" width="10.7109375" style="184" customWidth="1"/>
    <col min="4" max="4" width="3.85546875" style="184" customWidth="1"/>
    <col min="5" max="5" width="17.140625" style="184" customWidth="1"/>
    <col min="6" max="6" width="4" style="181" customWidth="1"/>
    <col min="7" max="7" width="14.5703125" style="184" customWidth="1"/>
    <col min="8" max="8" width="11" style="184" customWidth="1"/>
    <col min="9" max="9" width="4.42578125" style="184" customWidth="1"/>
    <col min="10" max="10" width="12.85546875" style="184" customWidth="1"/>
    <col min="11" max="11" width="4.85546875" style="184" customWidth="1"/>
    <col min="12" max="12" width="5.5703125" style="184" customWidth="1"/>
    <col min="13" max="13" width="4.42578125" style="184" customWidth="1"/>
    <col min="14" max="14" width="4.5703125" style="184" customWidth="1"/>
    <col min="15" max="15" width="5.85546875" style="184" customWidth="1"/>
    <col min="16" max="16" width="5.28515625" style="184" customWidth="1"/>
    <col min="17" max="17" width="16.5703125" style="184" customWidth="1"/>
    <col min="18" max="20" width="4.7109375" style="181" customWidth="1"/>
    <col min="21" max="21" width="19.140625" style="184" customWidth="1"/>
    <col min="22" max="22" width="19.28515625" style="184" hidden="1" customWidth="1"/>
    <col min="23" max="23" width="18" style="184" hidden="1" customWidth="1"/>
    <col min="24" max="24" width="12.28515625" style="184" bestFit="1" customWidth="1"/>
    <col min="25" max="25" width="7" style="184" customWidth="1"/>
    <col min="26" max="26" width="13.85546875" style="184" bestFit="1" customWidth="1"/>
    <col min="27" max="27" width="63.7109375" style="184" bestFit="1" customWidth="1"/>
    <col min="28" max="28" width="13.42578125" style="184" bestFit="1" customWidth="1"/>
    <col min="29" max="29" width="5.5703125" style="184" customWidth="1"/>
    <col min="30" max="30" width="13.28515625" style="184" bestFit="1" customWidth="1"/>
    <col min="31" max="36" width="0.140625" style="184" hidden="1" customWidth="1"/>
    <col min="37" max="37" width="14.5703125" style="184" bestFit="1" customWidth="1"/>
    <col min="38" max="38" width="17.7109375" style="184" bestFit="1" customWidth="1"/>
    <col min="39" max="39" width="13.28515625" style="184" bestFit="1" customWidth="1"/>
    <col min="40" max="40" width="14.5703125" style="184" customWidth="1"/>
    <col min="41" max="44" width="11.42578125" style="184" hidden="1" customWidth="1"/>
    <col min="45" max="45" width="5.140625" style="184" hidden="1" customWidth="1"/>
    <col min="46" max="46" width="11.42578125" style="184" hidden="1" customWidth="1"/>
    <col min="47" max="48" width="0" style="184" hidden="1" customWidth="1"/>
    <col min="49" max="58" width="11.42578125" style="184" hidden="1" customWidth="1"/>
    <col min="59" max="59" width="1.7109375" style="184" hidden="1" customWidth="1"/>
    <col min="60" max="62" width="11.42578125" style="184" hidden="1" customWidth="1"/>
    <col min="63" max="63" width="0" style="184" hidden="1" customWidth="1"/>
    <col min="64" max="16384" width="11.42578125" style="184"/>
  </cols>
  <sheetData>
    <row r="1" spans="1:22" ht="16.5" customHeight="1" x14ac:dyDescent="0.25">
      <c r="A1" s="876"/>
      <c r="B1" s="1588" t="str">
        <f>+'DATOS PARA DEPURAR'!C7</f>
        <v>RIOJAS QUINTERO MAIRA ALEJANDRA</v>
      </c>
      <c r="C1" s="1588"/>
      <c r="D1" s="1588"/>
      <c r="E1" s="1588"/>
      <c r="F1" s="1588"/>
      <c r="G1" s="1588"/>
      <c r="H1" s="1588"/>
      <c r="I1" s="1589" t="s">
        <v>358</v>
      </c>
      <c r="J1" s="1590"/>
      <c r="K1" s="1590"/>
      <c r="L1" s="1590"/>
      <c r="M1" s="1590"/>
      <c r="N1" s="1590"/>
      <c r="O1" s="1590"/>
      <c r="P1" s="1590"/>
      <c r="Q1" s="1590"/>
      <c r="R1" s="1590"/>
      <c r="S1" s="1590"/>
      <c r="T1" s="1590"/>
      <c r="U1" s="1591"/>
    </row>
    <row r="2" spans="1:22" ht="15.75" customHeight="1" thickBot="1" x14ac:dyDescent="0.25">
      <c r="A2" s="1014"/>
      <c r="B2" s="1594">
        <f>+'DATOS PARA DEPURAR'!E7</f>
        <v>1065263869</v>
      </c>
      <c r="C2" s="1594"/>
      <c r="D2" s="1594"/>
      <c r="E2" s="1594"/>
      <c r="F2" s="1594"/>
      <c r="G2" s="1594"/>
      <c r="H2" s="1594"/>
      <c r="I2" s="1592"/>
      <c r="J2" s="1354"/>
      <c r="K2" s="1354"/>
      <c r="L2" s="1354"/>
      <c r="M2" s="1354"/>
      <c r="N2" s="1354"/>
      <c r="O2" s="1354"/>
      <c r="P2" s="1354"/>
      <c r="Q2" s="1354"/>
      <c r="R2" s="1354"/>
      <c r="S2" s="1354"/>
      <c r="T2" s="1354"/>
      <c r="U2" s="1593"/>
    </row>
    <row r="3" spans="1:22" ht="26.25" customHeight="1" thickBot="1" x14ac:dyDescent="0.3">
      <c r="A3" s="1481" t="s">
        <v>920</v>
      </c>
      <c r="B3" s="1482"/>
      <c r="C3" s="1482"/>
      <c r="D3" s="1482"/>
      <c r="E3" s="1482"/>
      <c r="F3" s="1482"/>
      <c r="G3" s="1482"/>
      <c r="H3" s="1482"/>
      <c r="I3" s="1482"/>
      <c r="J3" s="1482"/>
      <c r="K3" s="1483"/>
      <c r="L3" s="1013">
        <v>28</v>
      </c>
      <c r="M3" s="1452" t="s">
        <v>810</v>
      </c>
      <c r="N3" s="1452"/>
      <c r="O3" s="1452"/>
      <c r="P3" s="1452"/>
      <c r="Q3" s="1452"/>
      <c r="R3" s="1451">
        <f>+'DATOS PARA DEPURAR'!E256</f>
        <v>2000000</v>
      </c>
      <c r="S3" s="1451"/>
      <c r="T3" s="1451"/>
      <c r="U3" s="1451"/>
    </row>
    <row r="4" spans="1:22" ht="25.5" customHeight="1" thickBot="1" x14ac:dyDescent="0.25">
      <c r="A4" s="1515" t="s">
        <v>703</v>
      </c>
      <c r="B4" s="1516"/>
      <c r="C4" s="1516"/>
      <c r="D4" s="1517"/>
      <c r="E4" s="943" t="s">
        <v>104</v>
      </c>
      <c r="F4" s="942">
        <v>29</v>
      </c>
      <c r="G4" s="944">
        <f>+'PATRIMONIO BRUTO'!F91</f>
        <v>4153418915.25</v>
      </c>
      <c r="H4" s="945" t="s">
        <v>105</v>
      </c>
      <c r="I4" s="942">
        <f>+F4+1</f>
        <v>30</v>
      </c>
      <c r="J4" s="1598">
        <f>+'PATRIMONIO BRUTO'!F135</f>
        <v>0</v>
      </c>
      <c r="K4" s="1599"/>
      <c r="L4" s="1600"/>
      <c r="M4" s="1673" t="s">
        <v>106</v>
      </c>
      <c r="N4" s="1674"/>
      <c r="O4" s="1674"/>
      <c r="P4" s="1674"/>
      <c r="Q4" s="1675"/>
      <c r="R4" s="942">
        <f>+I4+1</f>
        <v>31</v>
      </c>
      <c r="S4" s="1720">
        <f>IF((G4-J4)&gt;0,(G4-J4),0)</f>
        <v>4153418915.25</v>
      </c>
      <c r="T4" s="1721"/>
      <c r="U4" s="1722"/>
    </row>
    <row r="5" spans="1:22" ht="36.75" customHeight="1" thickBot="1" x14ac:dyDescent="0.25">
      <c r="A5" s="1491" t="s">
        <v>662</v>
      </c>
      <c r="B5" s="1528" t="s">
        <v>709</v>
      </c>
      <c r="C5" s="1529"/>
      <c r="D5" s="1529"/>
      <c r="E5" s="1530"/>
      <c r="F5" s="1611" t="s">
        <v>710</v>
      </c>
      <c r="G5" s="1612"/>
      <c r="H5" s="1612"/>
      <c r="I5" s="1595" t="s">
        <v>809</v>
      </c>
      <c r="J5" s="1596"/>
      <c r="K5" s="1596"/>
      <c r="L5" s="1597"/>
      <c r="M5" s="1611" t="s">
        <v>712</v>
      </c>
      <c r="N5" s="1612"/>
      <c r="O5" s="1612"/>
      <c r="P5" s="1612"/>
      <c r="Q5" s="1612"/>
      <c r="R5" s="1611" t="s">
        <v>711</v>
      </c>
      <c r="S5" s="1612"/>
      <c r="T5" s="1612"/>
      <c r="U5" s="1729"/>
    </row>
    <row r="6" spans="1:22" ht="21" customHeight="1" x14ac:dyDescent="0.2">
      <c r="A6" s="1492"/>
      <c r="B6" s="1676" t="s">
        <v>704</v>
      </c>
      <c r="C6" s="1676"/>
      <c r="D6" s="1677"/>
      <c r="E6" s="1677"/>
      <c r="F6" s="819">
        <f>+R4+1</f>
        <v>32</v>
      </c>
      <c r="G6" s="1522">
        <f>+'RENTA TRABAJO'!F4</f>
        <v>104803729</v>
      </c>
      <c r="H6" s="1522"/>
      <c r="I6" s="819">
        <f>+F22+1</f>
        <v>43</v>
      </c>
      <c r="J6" s="1557">
        <f>+'RENTA INGRESOS SIN RELACION LAB'!F4</f>
        <v>310000000</v>
      </c>
      <c r="K6" s="1558"/>
      <c r="L6" s="1601"/>
      <c r="M6" s="819">
        <f>+I22+1</f>
        <v>58</v>
      </c>
      <c r="N6" s="1687">
        <f>+'RENTA GENERAL CAPITAL'!F4</f>
        <v>69080000</v>
      </c>
      <c r="O6" s="1688"/>
      <c r="P6" s="1688"/>
      <c r="Q6" s="1689"/>
      <c r="R6" s="819">
        <f>+M22+1</f>
        <v>74</v>
      </c>
      <c r="S6" s="1557">
        <f>+'RENTA GENERAL NO LABORAL'!F4</f>
        <v>1043456789</v>
      </c>
      <c r="T6" s="1558"/>
      <c r="U6" s="1559"/>
      <c r="V6" s="889">
        <f>+G6+J6+N6+S6</f>
        <v>1527340518</v>
      </c>
    </row>
    <row r="7" spans="1:22" ht="21" customHeight="1" x14ac:dyDescent="0.2">
      <c r="A7" s="1492"/>
      <c r="B7" s="1678" t="s">
        <v>547</v>
      </c>
      <c r="C7" s="1678"/>
      <c r="D7" s="1679"/>
      <c r="E7" s="1679"/>
      <c r="F7" s="820"/>
      <c r="G7" s="866"/>
      <c r="H7" s="866"/>
      <c r="I7" s="820"/>
      <c r="J7" s="866"/>
      <c r="K7" s="866"/>
      <c r="L7" s="866"/>
      <c r="M7" s="820"/>
      <c r="N7" s="1690"/>
      <c r="O7" s="1691"/>
      <c r="P7" s="1691"/>
      <c r="Q7" s="1692"/>
      <c r="R7" s="823">
        <f t="shared" ref="R7:R22" si="0">+R6+1</f>
        <v>75</v>
      </c>
      <c r="S7" s="1508">
        <f>+'RENTA GENERAL NO LABORAL'!F24</f>
        <v>0</v>
      </c>
      <c r="T7" s="1535"/>
      <c r="U7" s="1560"/>
    </row>
    <row r="8" spans="1:22" ht="21" customHeight="1" x14ac:dyDescent="0.2">
      <c r="A8" s="1492"/>
      <c r="B8" s="1680" t="s">
        <v>705</v>
      </c>
      <c r="C8" s="1680"/>
      <c r="D8" s="1681"/>
      <c r="E8" s="1681"/>
      <c r="F8" s="821">
        <f>+F6+1</f>
        <v>33</v>
      </c>
      <c r="G8" s="1522">
        <f>+'RENTA TRABAJO'!F25</f>
        <v>0</v>
      </c>
      <c r="H8" s="1522"/>
      <c r="I8" s="821">
        <f>+I6+1</f>
        <v>44</v>
      </c>
      <c r="J8" s="1561">
        <f>+'RENTA INGRESOS SIN RELACION LAB'!F7</f>
        <v>2540000</v>
      </c>
      <c r="K8" s="1522"/>
      <c r="L8" s="1602"/>
      <c r="M8" s="821">
        <f>+M6+1</f>
        <v>59</v>
      </c>
      <c r="N8" s="1693">
        <f>+'RENTA GENERAL CAPITAL'!F8</f>
        <v>46083267.999999993</v>
      </c>
      <c r="O8" s="1694"/>
      <c r="P8" s="1694"/>
      <c r="Q8" s="1695"/>
      <c r="R8" s="821">
        <f t="shared" si="0"/>
        <v>76</v>
      </c>
      <c r="S8" s="1561">
        <f>+'RENTA GENERAL NO LABORAL'!F26</f>
        <v>9236000</v>
      </c>
      <c r="T8" s="1522"/>
      <c r="U8" s="1562"/>
      <c r="V8" s="889">
        <f>+G8+J8+N8+S8</f>
        <v>57859267.999999993</v>
      </c>
    </row>
    <row r="9" spans="1:22" ht="18.75" customHeight="1" x14ac:dyDescent="0.2">
      <c r="A9" s="1492"/>
      <c r="B9" s="1678" t="s">
        <v>706</v>
      </c>
      <c r="C9" s="1678"/>
      <c r="D9" s="1679"/>
      <c r="E9" s="1679"/>
      <c r="F9" s="820"/>
      <c r="G9" s="866"/>
      <c r="H9" s="866"/>
      <c r="I9" s="823">
        <f>+I8+1</f>
        <v>45</v>
      </c>
      <c r="J9" s="1508">
        <f>+'RENTA INGRESOS SIN RELACION LAB'!F11</f>
        <v>227648915</v>
      </c>
      <c r="K9" s="1535"/>
      <c r="L9" s="1509"/>
      <c r="M9" s="823">
        <f t="shared" ref="M9:M22" si="1">+M8+1</f>
        <v>60</v>
      </c>
      <c r="N9" s="1696">
        <f>+'RENTA GENERAL CAPITAL'!F13</f>
        <v>1</v>
      </c>
      <c r="O9" s="1697"/>
      <c r="P9" s="1697"/>
      <c r="Q9" s="1698"/>
      <c r="R9" s="823">
        <f t="shared" si="0"/>
        <v>77</v>
      </c>
      <c r="S9" s="1508">
        <f>+'RENTA GENERAL NO LABORAL'!F36</f>
        <v>748888890</v>
      </c>
      <c r="T9" s="1535"/>
      <c r="U9" s="1560"/>
    </row>
    <row r="10" spans="1:22" ht="21" customHeight="1" x14ac:dyDescent="0.2">
      <c r="A10" s="1492"/>
      <c r="B10" s="1524" t="s">
        <v>707</v>
      </c>
      <c r="C10" s="1524"/>
      <c r="D10" s="1525"/>
      <c r="E10" s="1525"/>
      <c r="F10" s="828">
        <f>+F8+1</f>
        <v>34</v>
      </c>
      <c r="G10" s="1523">
        <f>+'RENTA TRABAJO'!F31</f>
        <v>104803729</v>
      </c>
      <c r="H10" s="1523"/>
      <c r="I10" s="828">
        <f>+I9+1</f>
        <v>46</v>
      </c>
      <c r="J10" s="1563">
        <f>IF(J6&gt;0,(J6-J8-J9),0)</f>
        <v>79811085</v>
      </c>
      <c r="K10" s="1523"/>
      <c r="L10" s="1603"/>
      <c r="M10" s="828">
        <f t="shared" si="1"/>
        <v>61</v>
      </c>
      <c r="N10" s="1699">
        <f>+'RENTA GENERAL CAPITAL'!F30</f>
        <v>22996731.000000007</v>
      </c>
      <c r="O10" s="1700"/>
      <c r="P10" s="1700"/>
      <c r="Q10" s="1701"/>
      <c r="R10" s="828">
        <f t="shared" si="0"/>
        <v>78</v>
      </c>
      <c r="S10" s="1563">
        <f>+'RENTA GENERAL NO LABORAL'!F64</f>
        <v>285331899</v>
      </c>
      <c r="T10" s="1523"/>
      <c r="U10" s="1564"/>
      <c r="V10" s="889">
        <f>+G10+J10+N10+S10</f>
        <v>492943444</v>
      </c>
    </row>
    <row r="11" spans="1:22" ht="18.75" customHeight="1" x14ac:dyDescent="0.2">
      <c r="A11" s="1492"/>
      <c r="B11" s="1526" t="s">
        <v>708</v>
      </c>
      <c r="C11" s="1526"/>
      <c r="D11" s="1527"/>
      <c r="E11" s="1527"/>
      <c r="F11" s="820"/>
      <c r="G11" s="866"/>
      <c r="H11" s="866"/>
      <c r="I11" s="820"/>
      <c r="J11" s="1604"/>
      <c r="K11" s="1605"/>
      <c r="L11" s="1606"/>
      <c r="M11" s="823">
        <f t="shared" si="1"/>
        <v>62</v>
      </c>
      <c r="N11" s="1702">
        <f>+'RENTA GENERAL CAPITAL'!F32</f>
        <v>0</v>
      </c>
      <c r="O11" s="1703"/>
      <c r="P11" s="1703"/>
      <c r="Q11" s="1704"/>
      <c r="R11" s="823">
        <f t="shared" si="0"/>
        <v>79</v>
      </c>
      <c r="S11" s="1723">
        <f>+'RENTA GENERAL NO LABORAL'!F66</f>
        <v>0</v>
      </c>
      <c r="T11" s="1724"/>
      <c r="U11" s="1725"/>
    </row>
    <row r="12" spans="1:22" ht="22.5" customHeight="1" x14ac:dyDescent="0.2">
      <c r="A12" s="1492"/>
      <c r="B12" s="1543" t="s">
        <v>713</v>
      </c>
      <c r="C12" s="1546" t="s">
        <v>714</v>
      </c>
      <c r="D12" s="1546"/>
      <c r="E12" s="1546"/>
      <c r="F12" s="822">
        <f>+F10+1</f>
        <v>35</v>
      </c>
      <c r="G12" s="1506">
        <f>IF(G6&gt;0,MIN('RENTA TRABAJO'!D42:D44),0)</f>
        <v>6579000</v>
      </c>
      <c r="H12" s="1507"/>
      <c r="I12" s="822">
        <f>+I10+1</f>
        <v>47</v>
      </c>
      <c r="J12" s="1506">
        <f>+'RENTA INGRESOS SIN RELACION LAB'!D24+'RENTA INGRESOS SIN RELACION LAB'!D25</f>
        <v>0</v>
      </c>
      <c r="K12" s="1532"/>
      <c r="L12" s="1507"/>
      <c r="M12" s="822">
        <f t="shared" si="1"/>
        <v>63</v>
      </c>
      <c r="N12" s="1705">
        <f>+'DATOS PARA DEPURAR'!C292+'DATOS PARA DEPURAR'!C289</f>
        <v>0</v>
      </c>
      <c r="O12" s="1706"/>
      <c r="P12" s="1706"/>
      <c r="Q12" s="1707"/>
      <c r="R12" s="822">
        <f t="shared" si="0"/>
        <v>80</v>
      </c>
      <c r="S12" s="1506">
        <f>IF(S6&gt;0,'DATOS PARA DEPURAR'!D292+'DATOS PARA DEPURAR'!D289,0)</f>
        <v>0</v>
      </c>
      <c r="T12" s="1532"/>
      <c r="U12" s="1615"/>
      <c r="V12" s="889">
        <f>+G12+J12+N12+S12</f>
        <v>6579000</v>
      </c>
    </row>
    <row r="13" spans="1:22" ht="22.5" customHeight="1" x14ac:dyDescent="0.2">
      <c r="A13" s="1492"/>
      <c r="B13" s="1544"/>
      <c r="C13" s="1335" t="s">
        <v>715</v>
      </c>
      <c r="D13" s="1335"/>
      <c r="E13" s="1336"/>
      <c r="F13" s="823">
        <f t="shared" ref="F13:F18" si="2">+F12+1</f>
        <v>36</v>
      </c>
      <c r="G13" s="1508">
        <f>IF(G6&gt;0,SUM('RENTA TRABAJO'!D45:D52),0)</f>
        <v>33713106.125</v>
      </c>
      <c r="H13" s="1509"/>
      <c r="I13" s="823">
        <f t="shared" ref="I13:I22" si="3">+I12+1</f>
        <v>48</v>
      </c>
      <c r="J13" s="1508"/>
      <c r="K13" s="1535"/>
      <c r="L13" s="1509"/>
      <c r="M13" s="823">
        <f t="shared" si="1"/>
        <v>64</v>
      </c>
      <c r="N13" s="1708"/>
      <c r="O13" s="1355"/>
      <c r="P13" s="1355"/>
      <c r="Q13" s="1709"/>
      <c r="R13" s="823">
        <f t="shared" si="0"/>
        <v>81</v>
      </c>
      <c r="S13" s="1726">
        <f>IF(S6&gt;0,'RENTA GENERAL NO LABORAL'!D74-'FORMULARIO 2023 RENTA'!S12,0)</f>
        <v>124000000</v>
      </c>
      <c r="T13" s="1727"/>
      <c r="U13" s="1728"/>
      <c r="V13" s="889">
        <f>+G13+J13+N13+S13</f>
        <v>157713106.125</v>
      </c>
    </row>
    <row r="14" spans="1:22" ht="22.5" customHeight="1" x14ac:dyDescent="0.25">
      <c r="A14" s="1492"/>
      <c r="B14" s="1545"/>
      <c r="C14" s="1547" t="s">
        <v>716</v>
      </c>
      <c r="D14" s="1547"/>
      <c r="E14" s="1547"/>
      <c r="F14" s="827">
        <f t="shared" si="2"/>
        <v>37</v>
      </c>
      <c r="G14" s="1510">
        <f>SUM(G12:H13)</f>
        <v>40292106.125</v>
      </c>
      <c r="H14" s="1511"/>
      <c r="I14" s="827">
        <f t="shared" si="3"/>
        <v>49</v>
      </c>
      <c r="J14" s="1607">
        <f>SUM(J12:J13)</f>
        <v>0</v>
      </c>
      <c r="K14" s="1608"/>
      <c r="L14" s="1609"/>
      <c r="M14" s="827">
        <f t="shared" si="1"/>
        <v>65</v>
      </c>
      <c r="N14" s="1607">
        <f>SUM(N12:Q13)</f>
        <v>0</v>
      </c>
      <c r="O14" s="1710"/>
      <c r="P14" s="1710"/>
      <c r="Q14" s="1711"/>
      <c r="R14" s="827">
        <f t="shared" si="0"/>
        <v>82</v>
      </c>
      <c r="S14" s="1607">
        <f>SUM(S12:S13)</f>
        <v>124000000</v>
      </c>
      <c r="T14" s="1608"/>
      <c r="U14" s="1730"/>
    </row>
    <row r="15" spans="1:22" ht="20.25" customHeight="1" x14ac:dyDescent="0.2">
      <c r="A15" s="1492"/>
      <c r="B15" s="1548" t="s">
        <v>717</v>
      </c>
      <c r="C15" s="1551" t="s">
        <v>718</v>
      </c>
      <c r="D15" s="1551"/>
      <c r="E15" s="1551"/>
      <c r="F15" s="824">
        <f t="shared" si="2"/>
        <v>38</v>
      </c>
      <c r="G15" s="1565">
        <f>IF(G6&gt;0,('RENTA TRABAJO'!D34),0)</f>
        <v>0</v>
      </c>
      <c r="H15" s="1566"/>
      <c r="I15" s="824">
        <f t="shared" si="3"/>
        <v>50</v>
      </c>
      <c r="J15" s="1565">
        <f>+'RENTA INGRESOS SIN RELACION LAB'!D19</f>
        <v>0</v>
      </c>
      <c r="K15" s="1610"/>
      <c r="L15" s="1566"/>
      <c r="M15" s="824">
        <f t="shared" si="1"/>
        <v>66</v>
      </c>
      <c r="N15" s="1565">
        <f>+'RENTA GENERAL CAPITAL'!D36</f>
        <v>0</v>
      </c>
      <c r="O15" s="1610"/>
      <c r="P15" s="1610"/>
      <c r="Q15" s="1566"/>
      <c r="R15" s="824">
        <f t="shared" si="0"/>
        <v>83</v>
      </c>
      <c r="S15" s="1565">
        <f>+'RENTA GENERAL NO LABORAL'!D70</f>
        <v>0</v>
      </c>
      <c r="T15" s="1610"/>
      <c r="U15" s="1731"/>
    </row>
    <row r="16" spans="1:22" ht="20.25" customHeight="1" x14ac:dyDescent="0.2">
      <c r="A16" s="1492"/>
      <c r="B16" s="1549"/>
      <c r="C16" s="1552" t="s">
        <v>719</v>
      </c>
      <c r="D16" s="1552"/>
      <c r="E16" s="1553"/>
      <c r="F16" s="821">
        <f t="shared" si="2"/>
        <v>39</v>
      </c>
      <c r="G16" s="1561">
        <f>IF(G6&gt;0,'RENTA TRABAJO'!D33-'FORMULARIO 2023 RENTA'!G15:H15,0)</f>
        <v>1289491.5</v>
      </c>
      <c r="H16" s="1602"/>
      <c r="I16" s="821">
        <f t="shared" si="3"/>
        <v>51</v>
      </c>
      <c r="J16" s="1561">
        <f>+'RENTA INGRESOS SIN RELACION LAB'!D18-'RENTA INGRESOS SIN RELACION LAB'!D19</f>
        <v>0</v>
      </c>
      <c r="K16" s="1522"/>
      <c r="L16" s="1602"/>
      <c r="M16" s="821">
        <f t="shared" si="1"/>
        <v>67</v>
      </c>
      <c r="N16" s="1561">
        <f>SUM('RENTA GENERAL CAPITAL'!D37:D39)</f>
        <v>0</v>
      </c>
      <c r="O16" s="1522"/>
      <c r="P16" s="1522"/>
      <c r="Q16" s="1602"/>
      <c r="R16" s="821">
        <f t="shared" si="0"/>
        <v>84</v>
      </c>
      <c r="S16" s="1561">
        <f>+'RENTA GENERAL NO LABORAL'!D71+'RENTA GENERAL NO LABORAL'!D73</f>
        <v>0</v>
      </c>
      <c r="T16" s="1522"/>
      <c r="U16" s="1562"/>
      <c r="V16" s="889"/>
    </row>
    <row r="17" spans="1:23" ht="20.25" customHeight="1" x14ac:dyDescent="0.25">
      <c r="A17" s="1492"/>
      <c r="B17" s="1550"/>
      <c r="C17" s="1514" t="s">
        <v>720</v>
      </c>
      <c r="D17" s="1514"/>
      <c r="E17" s="1514"/>
      <c r="F17" s="830">
        <f t="shared" si="2"/>
        <v>40</v>
      </c>
      <c r="G17" s="1613">
        <f>IF(G6&gt;0,SUM(G15:H16),0)</f>
        <v>1289491.5</v>
      </c>
      <c r="H17" s="1614"/>
      <c r="I17" s="830">
        <f t="shared" si="3"/>
        <v>52</v>
      </c>
      <c r="J17" s="1554">
        <f>SUM(J15:J16)</f>
        <v>0</v>
      </c>
      <c r="K17" s="1555"/>
      <c r="L17" s="1556"/>
      <c r="M17" s="830">
        <f t="shared" si="1"/>
        <v>68</v>
      </c>
      <c r="N17" s="1554">
        <f>SUM(N15:Q16)</f>
        <v>0</v>
      </c>
      <c r="O17" s="1555"/>
      <c r="P17" s="1555"/>
      <c r="Q17" s="1556"/>
      <c r="R17" s="830">
        <f t="shared" si="0"/>
        <v>85</v>
      </c>
      <c r="S17" s="1554">
        <f>SUM(S15:S16)</f>
        <v>0</v>
      </c>
      <c r="T17" s="1555"/>
      <c r="U17" s="1732"/>
      <c r="V17" s="889">
        <f>+G17+J17+N17+S17</f>
        <v>1289491.5</v>
      </c>
      <c r="W17" s="889">
        <f>+V13+V17+V12</f>
        <v>165581597.625</v>
      </c>
    </row>
    <row r="18" spans="1:23" ht="24.75" customHeight="1" x14ac:dyDescent="0.2">
      <c r="A18" s="1492"/>
      <c r="B18" s="1494" t="s">
        <v>721</v>
      </c>
      <c r="C18" s="1495"/>
      <c r="D18" s="1495"/>
      <c r="E18" s="1496"/>
      <c r="F18" s="826">
        <f t="shared" si="2"/>
        <v>41</v>
      </c>
      <c r="G18" s="1531">
        <f>+'NUM 3 ART 336 E.T.'!C35</f>
        <v>41581597.625</v>
      </c>
      <c r="H18" s="1533"/>
      <c r="I18" s="816">
        <f t="shared" si="3"/>
        <v>53</v>
      </c>
      <c r="J18" s="1531">
        <f>+'NUM 3 ART 336 E.T.'!D35</f>
        <v>0</v>
      </c>
      <c r="K18" s="1532"/>
      <c r="L18" s="1533"/>
      <c r="M18" s="816">
        <f t="shared" si="1"/>
        <v>69</v>
      </c>
      <c r="N18" s="1531">
        <f>+'NUM 3 ART 336 E.T.'!E35</f>
        <v>0</v>
      </c>
      <c r="O18" s="1532"/>
      <c r="P18" s="1532"/>
      <c r="Q18" s="1533"/>
      <c r="R18" s="816">
        <f t="shared" si="0"/>
        <v>86</v>
      </c>
      <c r="S18" s="1531">
        <f>+'NUM 3 ART 336 E.T.'!F35</f>
        <v>15250482.375</v>
      </c>
      <c r="T18" s="1532"/>
      <c r="U18" s="1615"/>
      <c r="V18" s="889">
        <f>MIN(W17,W18,W19)</f>
        <v>56832080</v>
      </c>
      <c r="W18" s="298">
        <f>IF(V6&gt;0,(V6-V8)*40%)</f>
        <v>587792500</v>
      </c>
    </row>
    <row r="19" spans="1:23" ht="17.25" customHeight="1" x14ac:dyDescent="0.2">
      <c r="A19" s="1492"/>
      <c r="B19" s="1497" t="s">
        <v>722</v>
      </c>
      <c r="C19" s="1498"/>
      <c r="D19" s="1498"/>
      <c r="E19" s="1499"/>
      <c r="F19" s="814"/>
      <c r="G19" s="825"/>
      <c r="H19" s="825"/>
      <c r="I19" s="817">
        <f t="shared" si="3"/>
        <v>54</v>
      </c>
      <c r="J19" s="1534">
        <f>IF((J10-J18)&gt;0,J10-J18,0)</f>
        <v>79811085</v>
      </c>
      <c r="K19" s="1535"/>
      <c r="L19" s="1536"/>
      <c r="M19" s="817">
        <f t="shared" si="1"/>
        <v>70</v>
      </c>
      <c r="N19" s="1534">
        <f>+'RENTA GENERAL CAPITAL'!F50</f>
        <v>22996731.000000007</v>
      </c>
      <c r="O19" s="1535"/>
      <c r="P19" s="1535"/>
      <c r="Q19" s="1536"/>
      <c r="R19" s="817">
        <f t="shared" si="0"/>
        <v>87</v>
      </c>
      <c r="S19" s="1534">
        <f>+'RENTA GENERAL NO LABORAL'!F85</f>
        <v>228499819</v>
      </c>
      <c r="T19" s="1535"/>
      <c r="U19" s="1560"/>
      <c r="W19" s="771">
        <f>IF((V6-V8)&gt;0,1340*'DATOS PARA DEPURAR'!C24,0)</f>
        <v>56832080</v>
      </c>
    </row>
    <row r="20" spans="1:23" ht="17.25" customHeight="1" x14ac:dyDescent="0.2">
      <c r="A20" s="1492"/>
      <c r="B20" s="1500" t="s">
        <v>723</v>
      </c>
      <c r="C20" s="1501"/>
      <c r="D20" s="1501"/>
      <c r="E20" s="1502"/>
      <c r="F20" s="814"/>
      <c r="G20" s="825"/>
      <c r="H20" s="825"/>
      <c r="I20" s="815">
        <f t="shared" si="3"/>
        <v>55</v>
      </c>
      <c r="J20" s="1537">
        <f>IF((J17-J10)&gt;0,J17-J10,0)</f>
        <v>0</v>
      </c>
      <c r="K20" s="1522"/>
      <c r="L20" s="1538"/>
      <c r="M20" s="815">
        <f t="shared" si="1"/>
        <v>71</v>
      </c>
      <c r="N20" s="1537">
        <f>+'RENTA GENERAL CAPITAL'!F51</f>
        <v>0</v>
      </c>
      <c r="O20" s="1522"/>
      <c r="P20" s="1522"/>
      <c r="Q20" s="1538"/>
      <c r="R20" s="815">
        <f t="shared" si="0"/>
        <v>88</v>
      </c>
      <c r="S20" s="1537">
        <f>+'RENTA GENERAL NO LABORAL'!F86</f>
        <v>0</v>
      </c>
      <c r="T20" s="1522"/>
      <c r="U20" s="1562"/>
    </row>
    <row r="21" spans="1:23" ht="17.25" customHeight="1" x14ac:dyDescent="0.2">
      <c r="A21" s="1492"/>
      <c r="B21" s="1497" t="s">
        <v>724</v>
      </c>
      <c r="C21" s="1498"/>
      <c r="D21" s="1498"/>
      <c r="E21" s="1499"/>
      <c r="F21" s="814"/>
      <c r="G21" s="825"/>
      <c r="H21" s="825"/>
      <c r="I21" s="817">
        <f t="shared" si="3"/>
        <v>56</v>
      </c>
      <c r="J21" s="1539">
        <f>+'DATOS PARA DEPURAR'!E321</f>
        <v>0</v>
      </c>
      <c r="K21" s="1355"/>
      <c r="L21" s="1540"/>
      <c r="M21" s="817">
        <f t="shared" si="1"/>
        <v>72</v>
      </c>
      <c r="N21" s="1534">
        <f>+'RENTA GENERAL CAPITAL'!F52</f>
        <v>0</v>
      </c>
      <c r="O21" s="1535"/>
      <c r="P21" s="1535"/>
      <c r="Q21" s="1536"/>
      <c r="R21" s="817">
        <f t="shared" si="0"/>
        <v>89</v>
      </c>
      <c r="S21" s="1534">
        <f>+'RENTA GENERAL NO LABORAL'!F87</f>
        <v>0</v>
      </c>
      <c r="T21" s="1535"/>
      <c r="U21" s="1560"/>
    </row>
    <row r="22" spans="1:23" ht="17.25" customHeight="1" x14ac:dyDescent="0.2">
      <c r="A22" s="1492"/>
      <c r="B22" s="1503" t="s">
        <v>725</v>
      </c>
      <c r="C22" s="1504"/>
      <c r="D22" s="1504"/>
      <c r="E22" s="1505"/>
      <c r="F22" s="826">
        <f>+F18+1</f>
        <v>42</v>
      </c>
      <c r="G22" s="1475">
        <f>+'RENTA TRABAJO'!F57</f>
        <v>63222131.375</v>
      </c>
      <c r="H22" s="1477"/>
      <c r="I22" s="818">
        <f t="shared" si="3"/>
        <v>57</v>
      </c>
      <c r="J22" s="1475">
        <f>IF((J19-J21)&gt;0,J19-J21,0)</f>
        <v>79811085</v>
      </c>
      <c r="K22" s="1476"/>
      <c r="L22" s="1477"/>
      <c r="M22" s="818">
        <f t="shared" si="1"/>
        <v>73</v>
      </c>
      <c r="N22" s="1475">
        <f>+'RENTA GENERAL CAPITAL'!F53</f>
        <v>22996731.000000007</v>
      </c>
      <c r="O22" s="1476"/>
      <c r="P22" s="1476"/>
      <c r="Q22" s="1477"/>
      <c r="R22" s="818">
        <f t="shared" si="0"/>
        <v>90</v>
      </c>
      <c r="S22" s="1475">
        <f>+'RENTA GENERAL NO LABORAL'!F88</f>
        <v>228499819</v>
      </c>
      <c r="T22" s="1476"/>
      <c r="U22" s="1576"/>
    </row>
    <row r="23" spans="1:23" ht="15.75" customHeight="1" x14ac:dyDescent="0.2">
      <c r="A23" s="1492"/>
      <c r="B23" s="1490" t="s">
        <v>947</v>
      </c>
      <c r="C23" s="1490"/>
      <c r="D23" s="1490"/>
      <c r="E23" s="1490"/>
      <c r="F23" s="1490"/>
      <c r="G23" s="1490"/>
      <c r="H23" s="1490"/>
      <c r="I23" s="1490"/>
      <c r="J23" s="1541" t="s">
        <v>581</v>
      </c>
      <c r="K23" s="1541"/>
      <c r="L23" s="1541"/>
      <c r="M23" s="1541"/>
      <c r="N23" s="1541"/>
      <c r="O23" s="1541"/>
      <c r="P23" s="1541"/>
      <c r="Q23" s="1541"/>
      <c r="R23" s="1541"/>
      <c r="S23" s="1541"/>
      <c r="T23" s="1541"/>
      <c r="U23" s="1542"/>
    </row>
    <row r="24" spans="1:23" ht="27" customHeight="1" x14ac:dyDescent="0.2">
      <c r="A24" s="1492"/>
      <c r="B24" s="1518" t="s">
        <v>734</v>
      </c>
      <c r="C24" s="1519"/>
      <c r="D24" s="844">
        <f>+R22+1</f>
        <v>91</v>
      </c>
      <c r="E24" s="860">
        <f>+G10+J10+N10+S10</f>
        <v>492943444</v>
      </c>
      <c r="F24" s="844">
        <f>+D24+1</f>
        <v>92</v>
      </c>
      <c r="G24" s="845" t="s">
        <v>733</v>
      </c>
      <c r="H24" s="1512">
        <f>+G18+J18+N18+S18+R3+'RENTA TRABAJO'!E60</f>
        <v>67993072</v>
      </c>
      <c r="I24" s="1512"/>
      <c r="J24" s="846" t="s">
        <v>730</v>
      </c>
      <c r="K24" s="847">
        <f>+F24+1</f>
        <v>93</v>
      </c>
      <c r="L24" s="1580">
        <f>+E24-H24</f>
        <v>424950372</v>
      </c>
      <c r="M24" s="1581"/>
      <c r="N24" s="1581"/>
      <c r="O24" s="1581"/>
      <c r="P24" s="1582"/>
      <c r="Q24" s="846" t="s">
        <v>729</v>
      </c>
      <c r="R24" s="848">
        <f>+K24+1</f>
        <v>94</v>
      </c>
      <c r="S24" s="1577">
        <f>+J21+N21+S21</f>
        <v>0</v>
      </c>
      <c r="T24" s="1578"/>
      <c r="U24" s="1579"/>
    </row>
    <row r="25" spans="1:23" ht="27" customHeight="1" thickBot="1" x14ac:dyDescent="0.25">
      <c r="A25" s="1493"/>
      <c r="B25" s="1520" t="s">
        <v>735</v>
      </c>
      <c r="C25" s="1521"/>
      <c r="D25" s="867">
        <f>+R24+1</f>
        <v>95</v>
      </c>
      <c r="E25" s="868">
        <f>+'DATOS PARA DEPURAR'!E322</f>
        <v>0</v>
      </c>
      <c r="F25" s="867">
        <f>+D25+1</f>
        <v>96</v>
      </c>
      <c r="G25" s="870" t="s">
        <v>732</v>
      </c>
      <c r="H25" s="1513">
        <f>+'DATOS PARA DEPURAR'!E323</f>
        <v>0</v>
      </c>
      <c r="I25" s="1513"/>
      <c r="J25" s="869" t="s">
        <v>731</v>
      </c>
      <c r="K25" s="870">
        <f>+F25+1</f>
        <v>97</v>
      </c>
      <c r="L25" s="1583">
        <f>IF((L24+H25-S24-E25)&gt;0,L24+H25-S24-E25,0)</f>
        <v>424950372</v>
      </c>
      <c r="M25" s="1584"/>
      <c r="N25" s="1584"/>
      <c r="O25" s="1584"/>
      <c r="P25" s="1585"/>
      <c r="Q25" s="871" t="s">
        <v>572</v>
      </c>
      <c r="R25" s="851">
        <f>+K25+1</f>
        <v>98</v>
      </c>
      <c r="S25" s="1717">
        <f>IF(('DATOS PARA DEPURAR'!E22=1),0,E129)</f>
        <v>0</v>
      </c>
      <c r="T25" s="1718"/>
      <c r="U25" s="1719"/>
    </row>
    <row r="26" spans="1:23" ht="27" customHeight="1" x14ac:dyDescent="0.2">
      <c r="A26" s="1487" t="s">
        <v>647</v>
      </c>
      <c r="B26" s="1484" t="s">
        <v>494</v>
      </c>
      <c r="C26" s="1485"/>
      <c r="D26" s="1485"/>
      <c r="E26" s="1485"/>
      <c r="F26" s="1485"/>
      <c r="G26" s="1485"/>
      <c r="H26" s="1486"/>
      <c r="I26" s="859">
        <f>+R25+1</f>
        <v>99</v>
      </c>
      <c r="J26" s="1761">
        <f>+'RENTA CEDULAR PENSION'!F4</f>
        <v>0</v>
      </c>
      <c r="K26" s="1762"/>
      <c r="L26" s="1444" t="s">
        <v>165</v>
      </c>
      <c r="M26" s="1744" t="s">
        <v>665</v>
      </c>
      <c r="N26" s="1569" t="s">
        <v>742</v>
      </c>
      <c r="O26" s="1570"/>
      <c r="P26" s="1570"/>
      <c r="Q26" s="1570"/>
      <c r="R26" s="1015">
        <f>+I42+1</f>
        <v>116</v>
      </c>
      <c r="S26" s="1733">
        <f>IF(L25&gt;S25,'ART 241 E.T. 2023'!E5,0)</f>
        <v>117411000</v>
      </c>
      <c r="T26" s="1733"/>
      <c r="U26" s="1469"/>
    </row>
    <row r="27" spans="1:23" ht="27" customHeight="1" x14ac:dyDescent="0.2">
      <c r="A27" s="1488"/>
      <c r="B27" s="1470" t="s">
        <v>474</v>
      </c>
      <c r="C27" s="1471"/>
      <c r="D27" s="1471"/>
      <c r="E27" s="1471"/>
      <c r="F27" s="1471"/>
      <c r="G27" s="1471"/>
      <c r="H27" s="1472"/>
      <c r="I27" s="855">
        <f t="shared" ref="I27:I42" si="4">+I26+1</f>
        <v>100</v>
      </c>
      <c r="J27" s="1462">
        <f>+'RENTA CEDULAR PENSION'!F7</f>
        <v>0</v>
      </c>
      <c r="K27" s="1463"/>
      <c r="L27" s="1445"/>
      <c r="M27" s="1379"/>
      <c r="N27" s="1571" t="s">
        <v>664</v>
      </c>
      <c r="O27" s="1572"/>
      <c r="P27" s="1572"/>
      <c r="Q27" s="1572"/>
      <c r="R27" s="880">
        <f t="shared" ref="R27:R31" si="5">+R26+1</f>
        <v>117</v>
      </c>
      <c r="S27" s="1734">
        <f>IF(S25&gt;L25,'ART 241 E.T. 2023'!E5,0)</f>
        <v>0</v>
      </c>
      <c r="T27" s="1734"/>
      <c r="U27" s="1735"/>
    </row>
    <row r="28" spans="1:23" ht="27" customHeight="1" x14ac:dyDescent="0.2">
      <c r="A28" s="1488"/>
      <c r="B28" s="1473" t="s">
        <v>736</v>
      </c>
      <c r="C28" s="1417"/>
      <c r="D28" s="1417"/>
      <c r="E28" s="1417"/>
      <c r="F28" s="1417"/>
      <c r="G28" s="1417"/>
      <c r="H28" s="1474"/>
      <c r="I28" s="854">
        <f t="shared" si="4"/>
        <v>101</v>
      </c>
      <c r="J28" s="1464">
        <f>+'RENTA CEDULAR PENSION'!F10</f>
        <v>0</v>
      </c>
      <c r="K28" s="1465"/>
      <c r="L28" s="1445"/>
      <c r="M28" s="1379"/>
      <c r="N28" s="1567" t="s">
        <v>586</v>
      </c>
      <c r="O28" s="1568"/>
      <c r="P28" s="1568"/>
      <c r="Q28" s="1568"/>
      <c r="R28" s="881">
        <f t="shared" si="5"/>
        <v>118</v>
      </c>
      <c r="S28" s="1736">
        <f>+'DIV. Y PARTICIPACIONES 2016 ANT'!E6</f>
        <v>12732000</v>
      </c>
      <c r="T28" s="1736"/>
      <c r="U28" s="1737"/>
    </row>
    <row r="29" spans="1:23" ht="27" customHeight="1" x14ac:dyDescent="0.2">
      <c r="A29" s="1488"/>
      <c r="B29" s="1470" t="s">
        <v>476</v>
      </c>
      <c r="C29" s="1471"/>
      <c r="D29" s="1471"/>
      <c r="E29" s="1471"/>
      <c r="F29" s="1471"/>
      <c r="G29" s="1471"/>
      <c r="H29" s="1472"/>
      <c r="I29" s="855">
        <f t="shared" si="4"/>
        <v>102</v>
      </c>
      <c r="J29" s="1462">
        <f>+'RENTA CEDULAR PENSION'!F11</f>
        <v>0</v>
      </c>
      <c r="K29" s="1463"/>
      <c r="L29" s="1445"/>
      <c r="M29" s="1379"/>
      <c r="N29" s="1571" t="s">
        <v>588</v>
      </c>
      <c r="O29" s="1572"/>
      <c r="P29" s="1572"/>
      <c r="Q29" s="1572"/>
      <c r="R29" s="880">
        <f t="shared" si="5"/>
        <v>119</v>
      </c>
      <c r="S29" s="1738">
        <f>+'IMPUESTO DIVIDENDOS'!E5</f>
        <v>0</v>
      </c>
      <c r="T29" s="1738"/>
      <c r="U29" s="1739"/>
    </row>
    <row r="30" spans="1:23" ht="27" customHeight="1" thickBot="1" x14ac:dyDescent="0.25">
      <c r="A30" s="1489"/>
      <c r="B30" s="1478" t="s">
        <v>682</v>
      </c>
      <c r="C30" s="1479"/>
      <c r="D30" s="1479"/>
      <c r="E30" s="1479"/>
      <c r="F30" s="1479"/>
      <c r="G30" s="1479"/>
      <c r="H30" s="1480"/>
      <c r="I30" s="856">
        <f t="shared" si="4"/>
        <v>103</v>
      </c>
      <c r="J30" s="1466">
        <f>+'RENTA CEDULAR PENSION'!F21</f>
        <v>0</v>
      </c>
      <c r="K30" s="1467"/>
      <c r="L30" s="1445"/>
      <c r="M30" s="1379"/>
      <c r="N30" s="1567" t="s">
        <v>587</v>
      </c>
      <c r="O30" s="1568"/>
      <c r="P30" s="1568"/>
      <c r="Q30" s="1568"/>
      <c r="R30" s="881">
        <f t="shared" si="5"/>
        <v>120</v>
      </c>
      <c r="S30" s="1736">
        <f>SUM('DIVIDENDOS INC 2 ART 242 E.T.'!I3:I12)</f>
        <v>875000.00000000012</v>
      </c>
      <c r="T30" s="1736"/>
      <c r="U30" s="1737"/>
    </row>
    <row r="31" spans="1:23" ht="27" customHeight="1" thickBot="1" x14ac:dyDescent="0.25">
      <c r="A31" s="1758" t="s">
        <v>648</v>
      </c>
      <c r="B31" s="1573" t="s">
        <v>574</v>
      </c>
      <c r="C31" s="1574"/>
      <c r="D31" s="1574"/>
      <c r="E31" s="1574"/>
      <c r="F31" s="1574"/>
      <c r="G31" s="1574"/>
      <c r="H31" s="1575"/>
      <c r="I31" s="857">
        <f t="shared" si="4"/>
        <v>104</v>
      </c>
      <c r="J31" s="1468">
        <f>+'RENTA CEDULAR DIVIDENDOS'!F4</f>
        <v>100000000</v>
      </c>
      <c r="K31" s="1469"/>
      <c r="L31" s="1445"/>
      <c r="M31" s="1745"/>
      <c r="N31" s="1586" t="s">
        <v>666</v>
      </c>
      <c r="O31" s="1587"/>
      <c r="P31" s="1587"/>
      <c r="Q31" s="1587"/>
      <c r="R31" s="882">
        <f t="shared" si="5"/>
        <v>121</v>
      </c>
      <c r="S31" s="1740">
        <f>SUM(S26:S30)</f>
        <v>131018000</v>
      </c>
      <c r="T31" s="1740"/>
      <c r="U31" s="1741"/>
    </row>
    <row r="32" spans="1:23" ht="27" customHeight="1" x14ac:dyDescent="0.2">
      <c r="A32" s="1759"/>
      <c r="B32" s="1473" t="s">
        <v>474</v>
      </c>
      <c r="C32" s="1417"/>
      <c r="D32" s="1417"/>
      <c r="E32" s="1417"/>
      <c r="F32" s="1417"/>
      <c r="G32" s="1417"/>
      <c r="H32" s="1474"/>
      <c r="I32" s="854">
        <f t="shared" si="4"/>
        <v>105</v>
      </c>
      <c r="J32" s="1464">
        <f>+'RENTA CEDULAR DIVIDENDOS'!F7</f>
        <v>0</v>
      </c>
      <c r="K32" s="1465"/>
      <c r="L32" s="1445"/>
      <c r="M32" s="1764" t="s">
        <v>138</v>
      </c>
      <c r="N32" s="1763" t="s">
        <v>737</v>
      </c>
      <c r="O32" s="1763"/>
      <c r="P32" s="884">
        <f>+R31+1</f>
        <v>122</v>
      </c>
      <c r="Q32" s="886">
        <f>+'DATOS PARA DEPURAR'!E343+'DATOS PARA DEPURAR'!E344+'DATOS PARA DEPURAR'!E345</f>
        <v>0</v>
      </c>
      <c r="R32" s="1769" t="s">
        <v>125</v>
      </c>
      <c r="S32" s="1769"/>
      <c r="T32" s="884">
        <f>+P32+1</f>
        <v>123</v>
      </c>
      <c r="U32" s="885">
        <f>+'DATOS PARA DEPURAR'!E349</f>
        <v>0</v>
      </c>
    </row>
    <row r="33" spans="1:21" ht="27.75" customHeight="1" thickBot="1" x14ac:dyDescent="0.25">
      <c r="A33" s="1759"/>
      <c r="B33" s="1633" t="s">
        <v>575</v>
      </c>
      <c r="C33" s="1634"/>
      <c r="D33" s="1634"/>
      <c r="E33" s="1634"/>
      <c r="F33" s="1634"/>
      <c r="G33" s="1634"/>
      <c r="H33" s="1635"/>
      <c r="I33" s="855">
        <f>+I32+1</f>
        <v>106</v>
      </c>
      <c r="J33" s="1462">
        <f>+'RENTA CEDULAR DIVIDENDOS'!F10</f>
        <v>100000000</v>
      </c>
      <c r="K33" s="1463"/>
      <c r="L33" s="1445"/>
      <c r="M33" s="1765"/>
      <c r="N33" s="1768" t="s">
        <v>921</v>
      </c>
      <c r="O33" s="1768"/>
      <c r="P33" s="883">
        <f>+T32+1</f>
        <v>124</v>
      </c>
      <c r="Q33" s="852">
        <f>+'DATOS PARA DEPURAR'!E346+'DATOS PARA DEPURAR'!E347+'DATOS PARA DEPURAR'!E348</f>
        <v>10216475</v>
      </c>
      <c r="R33" s="1770" t="s">
        <v>738</v>
      </c>
      <c r="S33" s="1770"/>
      <c r="T33" s="883">
        <f>+P33+1</f>
        <v>125</v>
      </c>
      <c r="U33" s="853">
        <f>+Q32+U32+Q33</f>
        <v>10216475</v>
      </c>
    </row>
    <row r="34" spans="1:21" ht="27" customHeight="1" x14ac:dyDescent="0.2">
      <c r="A34" s="1759"/>
      <c r="B34" s="1456" t="s">
        <v>576</v>
      </c>
      <c r="C34" s="1457"/>
      <c r="D34" s="1457"/>
      <c r="E34" s="1457"/>
      <c r="F34" s="1457"/>
      <c r="G34" s="1457"/>
      <c r="H34" s="1458"/>
      <c r="I34" s="854">
        <f t="shared" si="4"/>
        <v>107</v>
      </c>
      <c r="J34" s="1464">
        <f>+'RENTA CEDULAR DIVIDENDOS'!F11</f>
        <v>0</v>
      </c>
      <c r="K34" s="1465"/>
      <c r="L34" s="1445"/>
      <c r="M34" s="1766" t="s">
        <v>166</v>
      </c>
      <c r="N34" s="1767"/>
      <c r="O34" s="1767"/>
      <c r="P34" s="1767"/>
      <c r="Q34" s="1767"/>
      <c r="R34" s="877">
        <f>+T33+1</f>
        <v>126</v>
      </c>
      <c r="S34" s="1773">
        <f>IF((S31&gt;U33),S31-U33,0)</f>
        <v>120801525</v>
      </c>
      <c r="T34" s="1773"/>
      <c r="U34" s="1774"/>
    </row>
    <row r="35" spans="1:21" ht="27" customHeight="1" x14ac:dyDescent="0.2">
      <c r="A35" s="1759"/>
      <c r="B35" s="1459" t="s">
        <v>577</v>
      </c>
      <c r="C35" s="1460"/>
      <c r="D35" s="1460"/>
      <c r="E35" s="1460"/>
      <c r="F35" s="1460"/>
      <c r="G35" s="1460"/>
      <c r="H35" s="1461"/>
      <c r="I35" s="855">
        <f t="shared" si="4"/>
        <v>108</v>
      </c>
      <c r="J35" s="1462">
        <f>+'RENTA CEDULAR DIVIDENDOS'!F12</f>
        <v>100000000</v>
      </c>
      <c r="K35" s="1463"/>
      <c r="L35" s="1445"/>
      <c r="M35" s="1749" t="s">
        <v>100</v>
      </c>
      <c r="N35" s="1319"/>
      <c r="O35" s="1319"/>
      <c r="P35" s="1319"/>
      <c r="Q35" s="1319"/>
      <c r="R35" s="878">
        <f t="shared" ref="R35:R41" si="6">+R34+1</f>
        <v>127</v>
      </c>
      <c r="S35" s="1229">
        <f>+'GANANCIA OCASIONAL'!C25</f>
        <v>120120750</v>
      </c>
      <c r="T35" s="1229"/>
      <c r="U35" s="1714"/>
    </row>
    <row r="36" spans="1:21" ht="27" customHeight="1" x14ac:dyDescent="0.2">
      <c r="A36" s="1759"/>
      <c r="B36" s="1456" t="s">
        <v>877</v>
      </c>
      <c r="C36" s="1457"/>
      <c r="D36" s="1457"/>
      <c r="E36" s="1457"/>
      <c r="F36" s="1457"/>
      <c r="G36" s="1457"/>
      <c r="H36" s="1458"/>
      <c r="I36" s="854">
        <f t="shared" si="4"/>
        <v>109</v>
      </c>
      <c r="J36" s="1464">
        <f>+'RENTA CEDULAR DIVIDENDOS'!F13</f>
        <v>0</v>
      </c>
      <c r="K36" s="1465"/>
      <c r="L36" s="1445"/>
      <c r="M36" s="1567" t="s">
        <v>167</v>
      </c>
      <c r="N36" s="1568"/>
      <c r="O36" s="1568"/>
      <c r="P36" s="1568"/>
      <c r="Q36" s="1568"/>
      <c r="R36" s="879">
        <f t="shared" si="6"/>
        <v>128</v>
      </c>
      <c r="S36" s="1712">
        <f>+'DATOS PARA DEPURAR'!E338</f>
        <v>0</v>
      </c>
      <c r="T36" s="1712"/>
      <c r="U36" s="1713"/>
    </row>
    <row r="37" spans="1:21" ht="27" customHeight="1" thickBot="1" x14ac:dyDescent="0.25">
      <c r="A37" s="1760"/>
      <c r="B37" s="1616" t="s">
        <v>649</v>
      </c>
      <c r="C37" s="1617"/>
      <c r="D37" s="1617"/>
      <c r="E37" s="1617"/>
      <c r="F37" s="1617"/>
      <c r="G37" s="1617"/>
      <c r="H37" s="1618"/>
      <c r="I37" s="858">
        <f t="shared" si="4"/>
        <v>110</v>
      </c>
      <c r="J37" s="1771">
        <f>+'RENTA CEDULAR DIVIDENDOS'!F14</f>
        <v>0</v>
      </c>
      <c r="K37" s="1772"/>
      <c r="L37" s="1445"/>
      <c r="M37" s="1749" t="s">
        <v>102</v>
      </c>
      <c r="N37" s="1319"/>
      <c r="O37" s="1319"/>
      <c r="P37" s="1319"/>
      <c r="Q37" s="1319"/>
      <c r="R37" s="878">
        <f>+R36+1</f>
        <v>129</v>
      </c>
      <c r="S37" s="1775">
        <f>IF((S34+S35-S36)&gt;0,S34+S35-S36,0)</f>
        <v>240922275</v>
      </c>
      <c r="T37" s="1337"/>
      <c r="U37" s="1776"/>
    </row>
    <row r="38" spans="1:21" ht="27" customHeight="1" thickBot="1" x14ac:dyDescent="0.25">
      <c r="A38" s="1746" t="s">
        <v>876</v>
      </c>
      <c r="B38" s="1747"/>
      <c r="C38" s="1747"/>
      <c r="D38" s="1747"/>
      <c r="E38" s="1747"/>
      <c r="F38" s="1747"/>
      <c r="G38" s="1747"/>
      <c r="H38" s="1748"/>
      <c r="I38" s="859">
        <f>+I37+1</f>
        <v>111</v>
      </c>
      <c r="J38" s="1449">
        <f>IF(S25&gt;L25,(S25+J30+J34),(L25+J30+J34))</f>
        <v>424950372</v>
      </c>
      <c r="K38" s="1450"/>
      <c r="L38" s="1445"/>
      <c r="M38" s="1750" t="s">
        <v>678</v>
      </c>
      <c r="N38" s="1751"/>
      <c r="O38" s="1751"/>
      <c r="P38" s="1751"/>
      <c r="Q38" s="1751"/>
      <c r="R38" s="879">
        <f t="shared" si="6"/>
        <v>130</v>
      </c>
      <c r="S38" s="1712">
        <f>IF('DATOS PARA DEPURAR'!E21&gt;0,'DATOS PARA DEPURAR'!E21,0)</f>
        <v>0</v>
      </c>
      <c r="T38" s="1712"/>
      <c r="U38" s="1713"/>
    </row>
    <row r="39" spans="1:21" ht="27" customHeight="1" x14ac:dyDescent="0.2">
      <c r="A39" s="1430" t="s">
        <v>68</v>
      </c>
      <c r="B39" s="1453" t="s">
        <v>569</v>
      </c>
      <c r="C39" s="1454"/>
      <c r="D39" s="1454"/>
      <c r="E39" s="1454"/>
      <c r="F39" s="1454"/>
      <c r="G39" s="1454"/>
      <c r="H39" s="1455"/>
      <c r="I39" s="857">
        <f>+I38+1</f>
        <v>112</v>
      </c>
      <c r="J39" s="1468">
        <f>+'GANANCIA OCASIONAL'!F4</f>
        <v>1890000000</v>
      </c>
      <c r="K39" s="1469"/>
      <c r="L39" s="1445"/>
      <c r="M39" s="1752" t="s">
        <v>677</v>
      </c>
      <c r="N39" s="1753"/>
      <c r="O39" s="1753"/>
      <c r="P39" s="1753"/>
      <c r="Q39" s="1753"/>
      <c r="R39" s="878">
        <f t="shared" si="6"/>
        <v>131</v>
      </c>
      <c r="S39" s="1229">
        <f>IF('DATOS PARA DEPURAR'!C22&gt;0,'DATOS PARA DEPURAR'!C22,0)</f>
        <v>0</v>
      </c>
      <c r="T39" s="1229"/>
      <c r="U39" s="1714"/>
    </row>
    <row r="40" spans="1:21" ht="27" customHeight="1" x14ac:dyDescent="0.2">
      <c r="A40" s="1431"/>
      <c r="B40" s="1456" t="s">
        <v>87</v>
      </c>
      <c r="C40" s="1457"/>
      <c r="D40" s="1457"/>
      <c r="E40" s="1457"/>
      <c r="F40" s="1457"/>
      <c r="G40" s="1457"/>
      <c r="H40" s="1458"/>
      <c r="I40" s="854">
        <f t="shared" si="4"/>
        <v>113</v>
      </c>
      <c r="J40" s="1742">
        <f>+'GANANCIA OCASIONAL'!F13</f>
        <v>0</v>
      </c>
      <c r="K40" s="1743"/>
      <c r="L40" s="1445"/>
      <c r="M40" s="1754" t="s">
        <v>676</v>
      </c>
      <c r="N40" s="1755"/>
      <c r="O40" s="1755"/>
      <c r="P40" s="1755"/>
      <c r="Q40" s="1755"/>
      <c r="R40" s="879">
        <f t="shared" si="6"/>
        <v>132</v>
      </c>
      <c r="S40" s="1712">
        <f>+'DATOS PARA DEPURAR'!E339</f>
        <v>18615000</v>
      </c>
      <c r="T40" s="1712"/>
      <c r="U40" s="1713"/>
    </row>
    <row r="41" spans="1:21" ht="27" customHeight="1" thickBot="1" x14ac:dyDescent="0.25">
      <c r="A41" s="1431"/>
      <c r="B41" s="1459" t="s">
        <v>88</v>
      </c>
      <c r="C41" s="1460"/>
      <c r="D41" s="1460"/>
      <c r="E41" s="1460"/>
      <c r="F41" s="1460"/>
      <c r="G41" s="1460"/>
      <c r="H41" s="1461"/>
      <c r="I41" s="855">
        <f t="shared" si="4"/>
        <v>114</v>
      </c>
      <c r="J41" s="1462">
        <f>+'GANANCIA OCASIONAL'!F17</f>
        <v>1089195000</v>
      </c>
      <c r="K41" s="1463"/>
      <c r="L41" s="1446"/>
      <c r="M41" s="1756" t="s">
        <v>199</v>
      </c>
      <c r="N41" s="1757"/>
      <c r="O41" s="1757"/>
      <c r="P41" s="1757"/>
      <c r="Q41" s="1757"/>
      <c r="R41" s="1016">
        <f t="shared" si="6"/>
        <v>133</v>
      </c>
      <c r="S41" s="1715">
        <f>+AA279</f>
        <v>26685572.25</v>
      </c>
      <c r="T41" s="1715"/>
      <c r="U41" s="1716"/>
    </row>
    <row r="42" spans="1:21" ht="27" customHeight="1" thickBot="1" x14ac:dyDescent="0.25">
      <c r="A42" s="1431"/>
      <c r="B42" s="1456" t="s">
        <v>89</v>
      </c>
      <c r="C42" s="1457"/>
      <c r="D42" s="1457"/>
      <c r="E42" s="1457"/>
      <c r="F42" s="1457"/>
      <c r="G42" s="1457"/>
      <c r="H42" s="1458"/>
      <c r="I42" s="854">
        <f t="shared" si="4"/>
        <v>115</v>
      </c>
      <c r="J42" s="1742">
        <f>+'GANANCIA OCASIONAL'!F24</f>
        <v>800805000</v>
      </c>
      <c r="K42" s="1743"/>
      <c r="L42" s="1441"/>
      <c r="M42" s="1442"/>
      <c r="N42" s="1442"/>
      <c r="O42" s="1442"/>
      <c r="P42" s="1442"/>
      <c r="Q42" s="1442"/>
      <c r="R42" s="1442"/>
      <c r="S42" s="1442"/>
      <c r="T42" s="1442"/>
      <c r="U42" s="1443"/>
    </row>
    <row r="43" spans="1:21" ht="33.75" customHeight="1" thickBot="1" x14ac:dyDescent="0.25">
      <c r="A43" s="1795" t="s">
        <v>739</v>
      </c>
      <c r="B43" s="1796"/>
      <c r="C43" s="1797"/>
      <c r="D43" s="872">
        <f>+R41+1</f>
        <v>134</v>
      </c>
      <c r="E43" s="1793">
        <f>IF((S37+S41-S38-S39-S40)&gt;0,S37+S41-S38-S39-S40,0)</f>
        <v>248992847.25</v>
      </c>
      <c r="F43" s="1794"/>
      <c r="G43" s="1798" t="s">
        <v>174</v>
      </c>
      <c r="H43" s="1798"/>
      <c r="I43" s="873">
        <f>+D43+1</f>
        <v>135</v>
      </c>
      <c r="J43" s="1048">
        <f>IF(SANCIONES!C42&gt;0,SANCIONES!C49,0)</f>
        <v>0</v>
      </c>
      <c r="K43" s="1447" t="s">
        <v>740</v>
      </c>
      <c r="L43" s="1448"/>
      <c r="M43" s="874">
        <f>+I43+1</f>
        <v>136</v>
      </c>
      <c r="N43" s="1790">
        <f>IF((S37-S38-S39-S40+S41+J43)&gt;0,S37-S38-S39-S40+S41+J43,0)</f>
        <v>248992847.25</v>
      </c>
      <c r="O43" s="1790"/>
      <c r="P43" s="1790"/>
      <c r="Q43" s="1047" t="s">
        <v>741</v>
      </c>
      <c r="R43" s="875">
        <f>+M43+1</f>
        <v>137</v>
      </c>
      <c r="S43" s="1791">
        <f>IF((S38+S39+S40-S37-S41-J43)&gt;0,S38+S39+S40-S37-S41-J43,0)</f>
        <v>0</v>
      </c>
      <c r="T43" s="1791"/>
      <c r="U43" s="1792"/>
    </row>
    <row r="44" spans="1:21" ht="38.25" customHeight="1" thickBot="1" x14ac:dyDescent="0.25">
      <c r="A44" s="1780" t="s">
        <v>949</v>
      </c>
      <c r="B44" s="1781"/>
      <c r="C44" s="1781"/>
      <c r="D44" s="872">
        <f>+R43+1</f>
        <v>138</v>
      </c>
      <c r="E44" s="1083">
        <f>IF('DATOS PARA DEPURAR'!E247="S",1+'DATOS PARA DEPURAR'!D248,'DATOS PARA DEPURAR'!D248)</f>
        <v>3</v>
      </c>
      <c r="F44" s="1779" t="s">
        <v>948</v>
      </c>
      <c r="G44" s="1779"/>
      <c r="H44" s="1046">
        <f>+D44+1</f>
        <v>139</v>
      </c>
      <c r="I44" s="1782">
        <f>+'DATOS PARA DEPURAR'!D248</f>
        <v>3</v>
      </c>
      <c r="J44" s="1782"/>
      <c r="K44" s="1785" t="s">
        <v>951</v>
      </c>
      <c r="L44" s="1786"/>
      <c r="M44" s="1080">
        <f>+H44+1</f>
        <v>140</v>
      </c>
      <c r="N44" s="1787" t="str">
        <f>IF('RENTA INGRESOS SIN RELACION LAB'!B15&gt;60%,"X",0)</f>
        <v>X</v>
      </c>
      <c r="O44" s="1788"/>
      <c r="P44" s="1789"/>
      <c r="Q44" s="1081" t="s">
        <v>950</v>
      </c>
      <c r="R44" s="1082">
        <f>+M44+1</f>
        <v>141</v>
      </c>
      <c r="S44" s="1783"/>
      <c r="T44" s="1783"/>
      <c r="U44" s="1784"/>
    </row>
    <row r="45" spans="1:21" ht="15" customHeight="1" x14ac:dyDescent="0.2">
      <c r="A45" s="1777" t="s">
        <v>1011</v>
      </c>
      <c r="B45" s="1778"/>
      <c r="C45" s="1778"/>
      <c r="D45" s="1778"/>
      <c r="E45" s="1778"/>
      <c r="F45" s="1778"/>
      <c r="G45" s="1778"/>
      <c r="H45" s="1778"/>
      <c r="I45" s="1778"/>
      <c r="J45" s="1778"/>
      <c r="K45" s="1778"/>
      <c r="L45" s="1778"/>
      <c r="M45" s="1778"/>
      <c r="N45" s="1778"/>
      <c r="O45" s="1778"/>
      <c r="P45" s="1778"/>
      <c r="Q45" s="1778"/>
      <c r="R45" s="1778"/>
      <c r="S45" s="1778"/>
      <c r="T45" s="1778"/>
      <c r="U45" s="1778"/>
    </row>
    <row r="46" spans="1:21" hidden="1" x14ac:dyDescent="0.2">
      <c r="A46" s="805"/>
      <c r="B46" s="679"/>
      <c r="C46" s="679"/>
      <c r="D46" s="679"/>
      <c r="E46" s="679"/>
      <c r="F46" s="679"/>
      <c r="G46" s="679"/>
      <c r="H46" s="679"/>
      <c r="I46" s="181"/>
      <c r="J46" s="622"/>
      <c r="K46" s="622"/>
      <c r="L46" s="80"/>
      <c r="M46" s="80"/>
      <c r="N46" s="80"/>
      <c r="O46" s="80"/>
      <c r="P46" s="80"/>
      <c r="Q46" s="840"/>
      <c r="R46" s="841"/>
      <c r="S46" s="841"/>
      <c r="T46" s="841"/>
      <c r="U46" s="842"/>
    </row>
    <row r="47" spans="1:21" hidden="1" x14ac:dyDescent="0.2">
      <c r="A47" s="831"/>
      <c r="B47" s="835"/>
      <c r="C47" s="836"/>
      <c r="D47" s="837"/>
      <c r="E47"/>
      <c r="F47" s="837"/>
      <c r="G47" s="342"/>
      <c r="H47" s="80"/>
      <c r="I47" s="80"/>
      <c r="J47" s="838"/>
      <c r="K47" s="839"/>
      <c r="L47" s="80"/>
      <c r="M47" s="80"/>
      <c r="N47" s="80"/>
      <c r="O47" s="80"/>
      <c r="P47" s="80"/>
      <c r="Q47" s="840"/>
      <c r="R47" s="841"/>
      <c r="S47" s="841"/>
      <c r="T47" s="841"/>
      <c r="U47" s="842"/>
    </row>
    <row r="48" spans="1:21" ht="13.5" hidden="1" thickBot="1" x14ac:dyDescent="0.25">
      <c r="A48" s="1357" t="s">
        <v>107</v>
      </c>
      <c r="B48" s="1621"/>
      <c r="C48" s="1622"/>
      <c r="D48" s="1622"/>
      <c r="E48" s="1623"/>
      <c r="F48" s="184"/>
      <c r="G48" s="693"/>
      <c r="H48" s="1619"/>
      <c r="I48" s="1620"/>
      <c r="J48" s="1620"/>
      <c r="K48" s="832"/>
      <c r="L48" s="832"/>
      <c r="M48" s="832"/>
      <c r="N48" s="832"/>
      <c r="O48" s="832"/>
      <c r="P48" s="832"/>
      <c r="Q48" s="832"/>
      <c r="R48" s="833">
        <f>+F88+1</f>
        <v>69</v>
      </c>
      <c r="S48" s="849"/>
      <c r="T48" s="849"/>
      <c r="U48" s="834"/>
    </row>
    <row r="49" spans="1:21" hidden="1" x14ac:dyDescent="0.2">
      <c r="A49" s="1357"/>
      <c r="B49" s="1473" t="s">
        <v>105</v>
      </c>
      <c r="C49" s="1417"/>
      <c r="D49" s="1417"/>
      <c r="E49" s="1474"/>
      <c r="F49" s="184"/>
      <c r="G49" s="686"/>
      <c r="K49" s="806"/>
      <c r="L49" s="806"/>
      <c r="M49" s="806"/>
      <c r="N49" s="806"/>
      <c r="O49" s="806"/>
      <c r="P49" s="806"/>
      <c r="Q49" s="806"/>
      <c r="R49" s="184"/>
      <c r="S49" s="184"/>
      <c r="T49" s="184"/>
    </row>
    <row r="50" spans="1:21" ht="13.5" hidden="1" thickBot="1" x14ac:dyDescent="0.25">
      <c r="A50" s="1358"/>
      <c r="B50" s="1616" t="s">
        <v>106</v>
      </c>
      <c r="C50" s="1617"/>
      <c r="D50" s="1617"/>
      <c r="E50" s="1618"/>
      <c r="F50" s="184"/>
      <c r="G50" s="699"/>
      <c r="K50" s="691"/>
      <c r="L50" s="691"/>
      <c r="M50" s="691"/>
      <c r="N50" s="691"/>
      <c r="O50" s="691"/>
      <c r="P50" s="691"/>
      <c r="Q50" s="691"/>
      <c r="R50" s="184"/>
      <c r="S50" s="184"/>
      <c r="T50" s="184"/>
    </row>
    <row r="51" spans="1:21" hidden="1" x14ac:dyDescent="0.2">
      <c r="A51" s="1624"/>
      <c r="B51" s="1430" t="s">
        <v>490</v>
      </c>
      <c r="C51" s="1625"/>
      <c r="D51" s="1626"/>
      <c r="E51" s="1627"/>
      <c r="F51" s="681">
        <f>+R4+1</f>
        <v>32</v>
      </c>
      <c r="G51" s="682"/>
      <c r="K51" s="684"/>
      <c r="L51" s="684"/>
      <c r="M51" s="684"/>
      <c r="N51" s="684"/>
      <c r="O51" s="684"/>
      <c r="P51" s="684"/>
      <c r="Q51" s="684"/>
      <c r="R51" s="184"/>
      <c r="S51" s="184"/>
      <c r="T51" s="184"/>
    </row>
    <row r="52" spans="1:21" hidden="1" x14ac:dyDescent="0.2">
      <c r="A52" s="1435"/>
      <c r="B52" s="1431"/>
      <c r="C52" s="1628" t="s">
        <v>644</v>
      </c>
      <c r="D52" s="1629"/>
      <c r="E52" s="1630"/>
      <c r="F52" s="692">
        <f t="shared" ref="F52:F57" si="7">+F51+1</f>
        <v>33</v>
      </c>
      <c r="G52" s="693"/>
      <c r="K52" s="798"/>
      <c r="L52" s="798"/>
      <c r="M52" s="798"/>
      <c r="N52" s="798"/>
      <c r="O52" s="798"/>
      <c r="P52" s="798"/>
      <c r="Q52" s="798"/>
      <c r="R52" s="184"/>
      <c r="S52" s="184"/>
      <c r="T52" s="184"/>
    </row>
    <row r="53" spans="1:21" ht="13.5" hidden="1" thickBot="1" x14ac:dyDescent="0.25">
      <c r="A53" s="1435"/>
      <c r="B53" s="1431"/>
      <c r="C53" s="1631" t="s">
        <v>645</v>
      </c>
      <c r="D53" s="1328"/>
      <c r="E53" s="1632"/>
      <c r="F53" s="685">
        <f>+F52+1</f>
        <v>34</v>
      </c>
      <c r="G53" s="709" t="e">
        <f>+'RENTA TRABAJO'!#REF!</f>
        <v>#REF!</v>
      </c>
      <c r="K53" s="688"/>
      <c r="L53" s="688"/>
      <c r="M53" s="688"/>
      <c r="N53" s="688"/>
      <c r="O53" s="688"/>
      <c r="P53" s="688"/>
      <c r="Q53" s="688"/>
      <c r="R53" s="184"/>
      <c r="S53" s="184"/>
      <c r="T53" s="184"/>
    </row>
    <row r="54" spans="1:21" hidden="1" x14ac:dyDescent="0.2">
      <c r="A54" s="1435"/>
      <c r="B54" s="1431"/>
      <c r="C54" s="1633" t="s">
        <v>646</v>
      </c>
      <c r="D54" s="1634"/>
      <c r="E54" s="1635"/>
      <c r="F54" s="692">
        <f>+F53+1</f>
        <v>35</v>
      </c>
      <c r="G54" s="693">
        <f>+'RENTA TRABAJO'!F31</f>
        <v>104803729</v>
      </c>
      <c r="K54" s="803"/>
      <c r="L54" s="803"/>
      <c r="M54" s="803"/>
      <c r="N54" s="803"/>
      <c r="O54" s="803"/>
      <c r="P54" s="803"/>
      <c r="Q54" s="803"/>
      <c r="R54" s="184"/>
      <c r="S54" s="184"/>
      <c r="T54" s="184"/>
    </row>
    <row r="55" spans="1:21" hidden="1" x14ac:dyDescent="0.2">
      <c r="A55" s="1435"/>
      <c r="B55" s="1431"/>
      <c r="C55" s="1636" t="s">
        <v>476</v>
      </c>
      <c r="D55" s="1272"/>
      <c r="E55" s="1637"/>
      <c r="F55" s="685">
        <f t="shared" si="7"/>
        <v>36</v>
      </c>
      <c r="G55" s="709">
        <f>+'RENTA TRABAJO'!F32</f>
        <v>41581597.625</v>
      </c>
      <c r="K55" s="696"/>
      <c r="L55" s="696"/>
      <c r="M55" s="696"/>
      <c r="N55" s="696"/>
      <c r="O55" s="696"/>
      <c r="P55" s="696"/>
      <c r="Q55" s="696"/>
      <c r="R55" s="184"/>
      <c r="S55" s="184"/>
      <c r="T55" s="184"/>
    </row>
    <row r="56" spans="1:21" hidden="1" x14ac:dyDescent="0.2">
      <c r="A56" s="1435"/>
      <c r="B56" s="1431"/>
      <c r="C56" s="1638" t="s">
        <v>488</v>
      </c>
      <c r="D56" s="1639"/>
      <c r="E56" s="1640"/>
      <c r="F56" s="692">
        <f t="shared" si="7"/>
        <v>37</v>
      </c>
      <c r="G56" s="693">
        <f>+'RENTA TRABAJO'!F53</f>
        <v>41581597.625</v>
      </c>
      <c r="K56" s="697"/>
      <c r="L56" s="697"/>
      <c r="M56" s="697"/>
      <c r="N56" s="697"/>
      <c r="O56" s="697"/>
      <c r="P56" s="697"/>
      <c r="Q56" s="697"/>
      <c r="R56" s="184"/>
      <c r="S56" s="184"/>
      <c r="T56" s="184"/>
    </row>
    <row r="57" spans="1:21" ht="13.5" hidden="1" thickBot="1" x14ac:dyDescent="0.25">
      <c r="A57" s="1435"/>
      <c r="B57" s="1432"/>
      <c r="C57" s="1478" t="s">
        <v>489</v>
      </c>
      <c r="D57" s="1479"/>
      <c r="E57" s="1480"/>
      <c r="F57" s="689">
        <f t="shared" si="7"/>
        <v>38</v>
      </c>
      <c r="G57" s="710">
        <f>+'RENTA TRABAJO'!F57</f>
        <v>63222131.375</v>
      </c>
      <c r="K57" s="797"/>
      <c r="L57" s="797"/>
      <c r="M57" s="797"/>
      <c r="N57" s="797"/>
      <c r="O57" s="797"/>
      <c r="P57" s="797"/>
      <c r="Q57" s="797"/>
      <c r="R57" s="184"/>
      <c r="S57" s="184"/>
      <c r="T57" s="184"/>
    </row>
    <row r="58" spans="1:21" hidden="1" x14ac:dyDescent="0.2">
      <c r="A58" s="1435"/>
      <c r="B58" s="1398" t="s">
        <v>508</v>
      </c>
      <c r="C58" s="704" t="s">
        <v>502</v>
      </c>
      <c r="D58" s="704"/>
      <c r="E58" s="705"/>
      <c r="F58" s="694">
        <f>+F57+1</f>
        <v>39</v>
      </c>
      <c r="G58" s="706"/>
      <c r="K58" s="789"/>
      <c r="L58" s="789"/>
      <c r="M58" s="789"/>
      <c r="N58" s="789"/>
      <c r="O58" s="789"/>
      <c r="P58" s="789"/>
      <c r="Q58" s="789"/>
      <c r="R58" s="184"/>
      <c r="S58" s="184"/>
      <c r="T58" s="184"/>
    </row>
    <row r="59" spans="1:21" hidden="1" x14ac:dyDescent="0.2">
      <c r="A59" s="1435"/>
      <c r="B59" s="1399"/>
      <c r="C59" s="677" t="s">
        <v>474</v>
      </c>
      <c r="D59" s="677"/>
      <c r="E59" s="678"/>
      <c r="F59" s="685">
        <f>+F58+1</f>
        <v>40</v>
      </c>
      <c r="G59" s="707"/>
      <c r="K59" s="796"/>
      <c r="L59" s="796"/>
      <c r="M59" s="796"/>
      <c r="N59" s="796"/>
      <c r="O59" s="796"/>
      <c r="P59" s="796"/>
      <c r="Q59" s="796"/>
      <c r="R59" s="184"/>
      <c r="S59" s="184"/>
      <c r="T59" s="184"/>
    </row>
    <row r="60" spans="1:21" ht="13.5" hidden="1" thickBot="1" x14ac:dyDescent="0.25">
      <c r="A60" s="1435"/>
      <c r="B60" s="1399"/>
      <c r="C60" s="702" t="s">
        <v>650</v>
      </c>
      <c r="D60" s="702"/>
      <c r="E60" s="703"/>
      <c r="F60" s="692">
        <f>+F59+1</f>
        <v>41</v>
      </c>
      <c r="G60" s="708"/>
      <c r="K60" s="802"/>
      <c r="L60" s="802"/>
      <c r="M60" s="802"/>
      <c r="N60" s="802"/>
      <c r="O60" s="802"/>
      <c r="P60" s="802"/>
      <c r="Q60" s="802"/>
      <c r="R60" s="184"/>
      <c r="S60" s="184"/>
      <c r="T60" s="184"/>
    </row>
    <row r="61" spans="1:21" ht="13.5" hidden="1" thickBot="1" x14ac:dyDescent="0.25">
      <c r="A61" s="1435"/>
      <c r="B61" s="1399"/>
      <c r="E61" s="552"/>
      <c r="F61" s="552"/>
      <c r="G61" s="552"/>
      <c r="H61" s="700"/>
      <c r="I61" s="701"/>
      <c r="M61" s="551"/>
      <c r="N61" s="551"/>
      <c r="O61" s="551"/>
      <c r="P61" s="551"/>
      <c r="Q61" s="551"/>
      <c r="R61" s="552"/>
      <c r="S61" s="552"/>
      <c r="T61" s="552"/>
      <c r="U61" s="553"/>
    </row>
    <row r="62" spans="1:21" hidden="1" x14ac:dyDescent="0.2">
      <c r="A62" s="1435"/>
      <c r="B62" s="1399"/>
      <c r="C62" s="679" t="s">
        <v>683</v>
      </c>
      <c r="D62" s="679"/>
      <c r="E62" s="679"/>
      <c r="F62" s="685">
        <f>+F60+1</f>
        <v>42</v>
      </c>
      <c r="G62" s="707"/>
      <c r="K62" s="800"/>
      <c r="L62" s="800"/>
      <c r="M62" s="800"/>
      <c r="N62" s="800"/>
      <c r="O62" s="800"/>
      <c r="P62" s="800"/>
      <c r="Q62" s="800"/>
      <c r="R62" s="184"/>
      <c r="S62" s="184"/>
      <c r="T62" s="184"/>
    </row>
    <row r="63" spans="1:21" hidden="1" x14ac:dyDescent="0.2">
      <c r="A63" s="1435"/>
      <c r="B63" s="1399"/>
      <c r="C63" s="702" t="s">
        <v>524</v>
      </c>
      <c r="D63" s="702"/>
      <c r="E63" s="702"/>
      <c r="F63" s="692">
        <f t="shared" ref="F63:F88" si="8">+F62+1</f>
        <v>43</v>
      </c>
      <c r="G63" s="708"/>
      <c r="K63" s="791"/>
      <c r="L63" s="791"/>
      <c r="M63" s="791"/>
      <c r="N63" s="791"/>
      <c r="O63" s="791"/>
      <c r="P63" s="791"/>
      <c r="Q63" s="791"/>
      <c r="R63" s="184"/>
      <c r="S63" s="184"/>
      <c r="T63" s="184"/>
    </row>
    <row r="64" spans="1:21" hidden="1" x14ac:dyDescent="0.2">
      <c r="A64" s="1435"/>
      <c r="B64" s="1399"/>
      <c r="C64" s="1641" t="s">
        <v>476</v>
      </c>
      <c r="D64" s="1434"/>
      <c r="E64" s="1642"/>
      <c r="F64" s="685">
        <f t="shared" si="8"/>
        <v>44</v>
      </c>
      <c r="G64" s="707">
        <f>+'RENTA GENERAL CAPITAL'!F34</f>
        <v>0</v>
      </c>
      <c r="K64" s="801"/>
      <c r="L64" s="801"/>
      <c r="M64" s="801"/>
      <c r="N64" s="801"/>
      <c r="O64" s="801"/>
      <c r="P64" s="801"/>
      <c r="Q64" s="801"/>
      <c r="R64" s="184"/>
      <c r="S64" s="184"/>
      <c r="T64" s="184"/>
    </row>
    <row r="65" spans="1:21" ht="13.5" hidden="1" thickBot="1" x14ac:dyDescent="0.25">
      <c r="A65" s="1435"/>
      <c r="B65" s="1399"/>
      <c r="C65" s="1643" t="s">
        <v>488</v>
      </c>
      <c r="D65" s="1416"/>
      <c r="E65" s="1644"/>
      <c r="F65" s="692">
        <f t="shared" si="8"/>
        <v>45</v>
      </c>
      <c r="G65" s="708">
        <f>+'RENTA GENERAL CAPITAL'!F46</f>
        <v>0</v>
      </c>
      <c r="K65" s="799"/>
      <c r="L65" s="799"/>
      <c r="M65" s="799"/>
      <c r="N65" s="799"/>
      <c r="O65" s="799"/>
      <c r="P65" s="799"/>
      <c r="Q65" s="799"/>
      <c r="R65" s="184"/>
      <c r="S65" s="184"/>
      <c r="T65" s="184"/>
    </row>
    <row r="66" spans="1:21" hidden="1" x14ac:dyDescent="0.2">
      <c r="A66" s="1435"/>
      <c r="B66" s="1399"/>
      <c r="C66" s="1631" t="s">
        <v>684</v>
      </c>
      <c r="D66" s="1328"/>
      <c r="E66" s="1632"/>
      <c r="F66" s="685">
        <f t="shared" si="8"/>
        <v>46</v>
      </c>
      <c r="G66" s="707">
        <f>+'RENTA GENERAL CAPITAL'!F50</f>
        <v>22996731.000000007</v>
      </c>
      <c r="H66" s="1394"/>
      <c r="K66" s="729"/>
      <c r="L66" s="729"/>
      <c r="M66" s="729"/>
      <c r="N66" s="729"/>
      <c r="O66" s="729"/>
      <c r="P66" s="729"/>
      <c r="Q66" s="729"/>
      <c r="R66" s="724" t="e">
        <f>+#REF!+1</f>
        <v>#REF!</v>
      </c>
    </row>
    <row r="67" spans="1:21" hidden="1" x14ac:dyDescent="0.2">
      <c r="A67" s="1435"/>
      <c r="B67" s="1399"/>
      <c r="C67" s="1665" t="s">
        <v>685</v>
      </c>
      <c r="D67" s="1424"/>
      <c r="E67" s="1666"/>
      <c r="F67" s="692">
        <f t="shared" si="8"/>
        <v>47</v>
      </c>
      <c r="G67" s="708">
        <f>+'RENTA GENERAL CAPITAL'!F51</f>
        <v>0</v>
      </c>
      <c r="H67" s="1320"/>
      <c r="K67" s="721"/>
      <c r="L67" s="721"/>
      <c r="M67" s="721"/>
      <c r="N67" s="721"/>
      <c r="O67" s="721"/>
      <c r="P67" s="721"/>
      <c r="Q67" s="721"/>
      <c r="R67" s="722" t="e">
        <f t="shared" ref="R67:R87" si="9">+R66+1</f>
        <v>#REF!</v>
      </c>
      <c r="S67" s="680"/>
      <c r="T67" s="680"/>
    </row>
    <row r="68" spans="1:21" hidden="1" x14ac:dyDescent="0.2">
      <c r="A68" s="1435"/>
      <c r="B68" s="1399"/>
      <c r="C68" s="1685" t="s">
        <v>656</v>
      </c>
      <c r="D68" s="1428"/>
      <c r="E68" s="1686"/>
      <c r="F68" s="685">
        <f t="shared" si="8"/>
        <v>48</v>
      </c>
      <c r="G68" s="707">
        <f>+'RENTA GENERAL CAPITAL'!F52</f>
        <v>0</v>
      </c>
      <c r="H68" s="1320"/>
      <c r="K68" s="723"/>
      <c r="L68" s="723"/>
      <c r="M68" s="723"/>
      <c r="N68" s="723"/>
      <c r="O68" s="723"/>
      <c r="P68" s="723"/>
      <c r="Q68" s="723"/>
      <c r="R68" s="724" t="e">
        <f t="shared" si="9"/>
        <v>#REF!</v>
      </c>
    </row>
    <row r="69" spans="1:21" ht="13.5" hidden="1" thickBot="1" x14ac:dyDescent="0.25">
      <c r="A69" s="1435"/>
      <c r="B69" s="1400"/>
      <c r="C69" s="1667" t="s">
        <v>687</v>
      </c>
      <c r="D69" s="1668"/>
      <c r="E69" s="1669"/>
      <c r="F69" s="692">
        <f t="shared" si="8"/>
        <v>49</v>
      </c>
      <c r="G69" s="708">
        <f>+'RENTA GENERAL CAPITAL'!F53</f>
        <v>22996731.000000007</v>
      </c>
      <c r="H69" s="1320"/>
      <c r="K69" s="725"/>
      <c r="L69" s="725"/>
      <c r="M69" s="725"/>
      <c r="N69" s="725"/>
      <c r="O69" s="725"/>
      <c r="P69" s="725"/>
      <c r="Q69" s="725"/>
      <c r="R69" s="722" t="e">
        <f t="shared" si="9"/>
        <v>#REF!</v>
      </c>
      <c r="S69" s="680"/>
      <c r="T69" s="680"/>
    </row>
    <row r="70" spans="1:21" hidden="1" x14ac:dyDescent="0.2">
      <c r="A70" s="1435"/>
      <c r="B70" s="1398" t="s">
        <v>568</v>
      </c>
      <c r="C70" s="711" t="s">
        <v>534</v>
      </c>
      <c r="D70" s="711"/>
      <c r="E70" s="712"/>
      <c r="F70" s="681">
        <f t="shared" si="8"/>
        <v>50</v>
      </c>
      <c r="G70" s="682"/>
      <c r="H70" s="1320"/>
      <c r="K70" s="723"/>
      <c r="L70" s="723"/>
      <c r="M70" s="723"/>
      <c r="N70" s="723"/>
      <c r="O70" s="723"/>
      <c r="P70" s="723"/>
      <c r="Q70" s="723"/>
      <c r="R70" s="724" t="e">
        <f t="shared" si="9"/>
        <v>#REF!</v>
      </c>
    </row>
    <row r="71" spans="1:21" ht="13.5" hidden="1" thickBot="1" x14ac:dyDescent="0.25">
      <c r="A71" s="1435"/>
      <c r="B71" s="1399"/>
      <c r="C71" s="713" t="s">
        <v>547</v>
      </c>
      <c r="D71" s="713"/>
      <c r="E71" s="713"/>
      <c r="F71" s="692">
        <f t="shared" si="8"/>
        <v>51</v>
      </c>
      <c r="G71" s="693"/>
      <c r="H71" s="1320"/>
      <c r="K71" s="731"/>
      <c r="L71" s="731"/>
      <c r="M71" s="731"/>
      <c r="N71" s="731"/>
      <c r="O71" s="731"/>
      <c r="P71" s="731"/>
      <c r="Q71" s="731"/>
      <c r="R71" s="722" t="e">
        <f>+R70+1</f>
        <v>#REF!</v>
      </c>
      <c r="S71" s="680"/>
      <c r="T71" s="680"/>
    </row>
    <row r="72" spans="1:21" hidden="1" x14ac:dyDescent="0.2">
      <c r="A72" s="1435"/>
      <c r="B72" s="1399"/>
      <c r="C72" s="714" t="s">
        <v>474</v>
      </c>
      <c r="D72" s="714"/>
      <c r="E72" s="715"/>
      <c r="F72" s="685">
        <f t="shared" si="8"/>
        <v>52</v>
      </c>
      <c r="G72" s="686"/>
      <c r="H72" s="1320"/>
      <c r="J72" s="732" t="s">
        <v>590</v>
      </c>
      <c r="K72" s="732"/>
      <c r="L72" s="732"/>
      <c r="M72" s="732"/>
      <c r="N72" s="732"/>
      <c r="O72" s="732"/>
      <c r="P72" s="732"/>
      <c r="Q72" s="732"/>
      <c r="R72" s="733" t="e">
        <f>+R71+1</f>
        <v>#REF!</v>
      </c>
      <c r="S72" s="733"/>
      <c r="T72" s="733"/>
      <c r="U72" s="734"/>
    </row>
    <row r="73" spans="1:21" hidden="1" x14ac:dyDescent="0.2">
      <c r="A73" s="1435"/>
      <c r="B73" s="1399"/>
      <c r="C73" s="713" t="s">
        <v>506</v>
      </c>
      <c r="D73" s="713"/>
      <c r="E73" s="713"/>
      <c r="F73" s="692">
        <f t="shared" si="8"/>
        <v>53</v>
      </c>
      <c r="G73" s="693"/>
      <c r="H73" s="1320"/>
      <c r="J73" s="735" t="s">
        <v>125</v>
      </c>
      <c r="K73" s="735"/>
      <c r="L73" s="735"/>
      <c r="M73" s="735"/>
      <c r="N73" s="735"/>
      <c r="O73" s="735"/>
      <c r="P73" s="735"/>
      <c r="Q73" s="735"/>
      <c r="R73" s="722" t="e">
        <f t="shared" si="9"/>
        <v>#REF!</v>
      </c>
      <c r="S73" s="722"/>
      <c r="T73" s="722"/>
      <c r="U73" s="736"/>
    </row>
    <row r="74" spans="1:21" hidden="1" x14ac:dyDescent="0.2">
      <c r="A74" s="1435"/>
      <c r="B74" s="1399"/>
      <c r="C74" s="714" t="s">
        <v>544</v>
      </c>
      <c r="D74" s="714"/>
      <c r="E74" s="715"/>
      <c r="F74" s="685">
        <f t="shared" si="8"/>
        <v>54</v>
      </c>
      <c r="G74" s="686"/>
      <c r="H74" s="1320"/>
      <c r="J74" s="737" t="s">
        <v>163</v>
      </c>
      <c r="K74" s="737"/>
      <c r="L74" s="737"/>
      <c r="M74" s="737"/>
      <c r="N74" s="737"/>
      <c r="O74" s="737"/>
      <c r="P74" s="737"/>
      <c r="Q74" s="737"/>
      <c r="R74" s="738" t="e">
        <f t="shared" si="9"/>
        <v>#REF!</v>
      </c>
      <c r="S74" s="738"/>
      <c r="T74" s="738"/>
      <c r="U74" s="739"/>
    </row>
    <row r="75" spans="1:21" ht="13.5" hidden="1" thickBot="1" x14ac:dyDescent="0.25">
      <c r="A75" s="1435"/>
      <c r="B75" s="1399"/>
      <c r="C75" s="775" t="s">
        <v>539</v>
      </c>
      <c r="D75" s="775"/>
      <c r="E75" s="713"/>
      <c r="F75" s="692">
        <f t="shared" si="8"/>
        <v>55</v>
      </c>
      <c r="G75" s="693"/>
      <c r="H75" s="1320"/>
      <c r="J75" s="751" t="s">
        <v>164</v>
      </c>
      <c r="K75" s="751"/>
      <c r="L75" s="751"/>
      <c r="M75" s="751"/>
      <c r="N75" s="751"/>
      <c r="O75" s="751"/>
      <c r="P75" s="751"/>
      <c r="Q75" s="751"/>
      <c r="R75" s="752" t="e">
        <f t="shared" si="9"/>
        <v>#REF!</v>
      </c>
      <c r="S75" s="752"/>
      <c r="T75" s="752"/>
      <c r="U75" s="753">
        <f>SUM(U72:U74)</f>
        <v>0</v>
      </c>
    </row>
    <row r="76" spans="1:21" hidden="1" x14ac:dyDescent="0.2">
      <c r="A76" s="1435"/>
      <c r="B76" s="1399"/>
      <c r="C76" s="1645" t="s">
        <v>651</v>
      </c>
      <c r="D76" s="1646"/>
      <c r="E76" s="1647"/>
      <c r="F76" s="685">
        <f t="shared" si="8"/>
        <v>56</v>
      </c>
      <c r="G76" s="686">
        <f>+'RENTA GENERAL NO LABORAL'!F68</f>
        <v>124000000</v>
      </c>
      <c r="H76" s="1320"/>
      <c r="K76" s="742"/>
      <c r="L76" s="742"/>
      <c r="M76" s="742"/>
      <c r="N76" s="742"/>
      <c r="O76" s="742"/>
      <c r="P76" s="742"/>
      <c r="Q76" s="742"/>
      <c r="R76" s="738" t="e">
        <f t="shared" si="9"/>
        <v>#REF!</v>
      </c>
      <c r="S76" s="738"/>
      <c r="T76" s="738"/>
      <c r="U76" s="750"/>
    </row>
    <row r="77" spans="1:21" hidden="1" x14ac:dyDescent="0.2">
      <c r="A77" s="1435"/>
      <c r="B77" s="1399"/>
      <c r="C77" s="1648" t="s">
        <v>652</v>
      </c>
      <c r="D77" s="1649"/>
      <c r="E77" s="1650"/>
      <c r="F77" s="692">
        <f t="shared" si="8"/>
        <v>57</v>
      </c>
      <c r="G77" s="693">
        <f>+'RENTA GENERAL NO LABORAL'!F81</f>
        <v>56832080</v>
      </c>
      <c r="H77" s="1320"/>
      <c r="K77" s="741"/>
      <c r="L77" s="741"/>
      <c r="M77" s="741"/>
      <c r="N77" s="741"/>
      <c r="O77" s="741"/>
      <c r="P77" s="741"/>
      <c r="Q77" s="741"/>
      <c r="R77" s="722" t="e">
        <f t="shared" si="9"/>
        <v>#REF!</v>
      </c>
      <c r="S77" s="722"/>
      <c r="T77" s="722"/>
      <c r="U77" s="740"/>
    </row>
    <row r="78" spans="1:21" hidden="1" x14ac:dyDescent="0.2">
      <c r="A78" s="1435"/>
      <c r="B78" s="1399"/>
      <c r="C78" s="1654" t="s">
        <v>525</v>
      </c>
      <c r="D78" s="1335"/>
      <c r="E78" s="1655"/>
      <c r="F78" s="685">
        <f t="shared" si="8"/>
        <v>58</v>
      </c>
      <c r="G78" s="686">
        <f>+'RENTA GENERAL NO LABORAL'!F85</f>
        <v>228499819</v>
      </c>
      <c r="H78" s="1320"/>
      <c r="K78" s="790"/>
      <c r="L78" s="790"/>
      <c r="M78" s="790"/>
      <c r="N78" s="790"/>
      <c r="O78" s="790"/>
      <c r="P78" s="790"/>
      <c r="Q78" s="790"/>
      <c r="R78" s="724" t="e">
        <f t="shared" si="9"/>
        <v>#REF!</v>
      </c>
      <c r="S78" s="724"/>
      <c r="T78" s="724"/>
      <c r="U78" s="739"/>
    </row>
    <row r="79" spans="1:21" hidden="1" x14ac:dyDescent="0.2">
      <c r="A79" s="1435"/>
      <c r="B79" s="1399"/>
      <c r="C79" s="1656" t="s">
        <v>526</v>
      </c>
      <c r="D79" s="1657"/>
      <c r="E79" s="1658"/>
      <c r="F79" s="692">
        <f t="shared" si="8"/>
        <v>59</v>
      </c>
      <c r="G79" s="693">
        <f>+'RENTA GENERAL NO LABORAL'!F86</f>
        <v>0</v>
      </c>
      <c r="H79" s="1320"/>
      <c r="K79" s="741"/>
      <c r="L79" s="741"/>
      <c r="M79" s="741"/>
      <c r="N79" s="741"/>
      <c r="O79" s="741"/>
      <c r="P79" s="741"/>
      <c r="Q79" s="741"/>
      <c r="R79" s="722" t="e">
        <f t="shared" si="9"/>
        <v>#REF!</v>
      </c>
      <c r="S79" s="722"/>
      <c r="T79" s="722"/>
      <c r="U79" s="736"/>
    </row>
    <row r="80" spans="1:21" hidden="1" x14ac:dyDescent="0.2">
      <c r="A80" s="1435"/>
      <c r="B80" s="1399"/>
      <c r="C80" s="1659" t="s">
        <v>657</v>
      </c>
      <c r="D80" s="1660"/>
      <c r="E80" s="1661"/>
      <c r="F80" s="685">
        <f t="shared" si="8"/>
        <v>60</v>
      </c>
      <c r="G80" s="686">
        <f>+'RENTA GENERAL NO LABORAL'!F87</f>
        <v>0</v>
      </c>
      <c r="H80" s="1320"/>
      <c r="K80" s="742"/>
      <c r="L80" s="742"/>
      <c r="M80" s="742"/>
      <c r="N80" s="742"/>
      <c r="O80" s="742"/>
      <c r="P80" s="742"/>
      <c r="Q80" s="742"/>
      <c r="R80" s="724" t="e">
        <f t="shared" si="9"/>
        <v>#REF!</v>
      </c>
      <c r="S80" s="724"/>
      <c r="T80" s="724"/>
      <c r="U80" s="739"/>
    </row>
    <row r="81" spans="1:21" ht="13.5" hidden="1" thickBot="1" x14ac:dyDescent="0.25">
      <c r="A81" s="1435"/>
      <c r="B81" s="1400"/>
      <c r="C81" s="1670" t="s">
        <v>543</v>
      </c>
      <c r="D81" s="1671"/>
      <c r="E81" s="1672"/>
      <c r="F81" s="698">
        <f t="shared" si="8"/>
        <v>61</v>
      </c>
      <c r="G81" s="699">
        <f>+'RENTA GENERAL NO LABORAL'!F88</f>
        <v>228499819</v>
      </c>
      <c r="H81" s="1320"/>
      <c r="K81" s="792"/>
      <c r="L81" s="792"/>
      <c r="M81" s="792"/>
      <c r="N81" s="792"/>
      <c r="O81" s="792"/>
      <c r="P81" s="792"/>
      <c r="Q81" s="792"/>
      <c r="R81" s="722" t="e">
        <f t="shared" si="9"/>
        <v>#REF!</v>
      </c>
      <c r="S81" s="722"/>
      <c r="T81" s="722"/>
      <c r="U81" s="736"/>
    </row>
    <row r="82" spans="1:21" hidden="1" x14ac:dyDescent="0.2">
      <c r="A82" s="1435"/>
      <c r="B82" s="1625" t="s">
        <v>653</v>
      </c>
      <c r="C82" s="1626"/>
      <c r="D82" s="1626"/>
      <c r="E82" s="1627"/>
      <c r="F82" s="681">
        <f t="shared" si="8"/>
        <v>62</v>
      </c>
      <c r="G82" s="717">
        <f>+G54+G62+G63+G74+G75-G68-G80</f>
        <v>104803729</v>
      </c>
      <c r="H82" s="1320"/>
      <c r="K82" s="743"/>
      <c r="L82" s="743"/>
      <c r="M82" s="743"/>
      <c r="N82" s="743"/>
      <c r="O82" s="743"/>
      <c r="P82" s="743"/>
      <c r="Q82" s="743"/>
      <c r="R82" s="724" t="e">
        <f t="shared" si="9"/>
        <v>#REF!</v>
      </c>
      <c r="S82" s="724"/>
      <c r="T82" s="724"/>
      <c r="U82" s="739"/>
    </row>
    <row r="83" spans="1:21" hidden="1" x14ac:dyDescent="0.2">
      <c r="A83" s="1435"/>
      <c r="B83" s="1651" t="s">
        <v>654</v>
      </c>
      <c r="C83" s="1652"/>
      <c r="D83" s="1652"/>
      <c r="E83" s="1653"/>
      <c r="F83" s="692">
        <f t="shared" si="8"/>
        <v>63</v>
      </c>
      <c r="G83" s="718">
        <f>+G56+G65+G77</f>
        <v>98413677.625</v>
      </c>
      <c r="H83" s="1320"/>
      <c r="K83" s="741"/>
      <c r="L83" s="741"/>
      <c r="M83" s="741"/>
      <c r="N83" s="741"/>
      <c r="O83" s="741"/>
      <c r="P83" s="741"/>
      <c r="Q83" s="741"/>
      <c r="R83" s="744" t="e">
        <f t="shared" si="9"/>
        <v>#REF!</v>
      </c>
      <c r="S83" s="744"/>
      <c r="T83" s="744"/>
      <c r="U83" s="736"/>
    </row>
    <row r="84" spans="1:21" hidden="1" x14ac:dyDescent="0.2">
      <c r="A84" s="1435"/>
      <c r="B84" s="1662" t="s">
        <v>655</v>
      </c>
      <c r="C84" s="1663"/>
      <c r="D84" s="1663"/>
      <c r="E84" s="1664"/>
      <c r="F84" s="685">
        <f t="shared" si="8"/>
        <v>64</v>
      </c>
      <c r="G84" s="720">
        <f>+G82-G83</f>
        <v>6390051.375</v>
      </c>
      <c r="H84" s="1320"/>
      <c r="I84" s="1404" t="s">
        <v>673</v>
      </c>
      <c r="J84" s="1405"/>
      <c r="K84" s="793"/>
      <c r="L84" s="793"/>
      <c r="M84" s="793"/>
      <c r="N84" s="793"/>
      <c r="O84" s="793"/>
      <c r="P84" s="793"/>
      <c r="Q84" s="793"/>
      <c r="R84" s="745" t="e">
        <f t="shared" si="9"/>
        <v>#REF!</v>
      </c>
      <c r="S84" s="745"/>
      <c r="T84" s="745"/>
      <c r="U84" s="739">
        <f>IF((U79+U83-U80-U81-U82)&gt;0,U79+U83-U80-U81-U82,0)</f>
        <v>0</v>
      </c>
    </row>
    <row r="85" spans="1:21" hidden="1" x14ac:dyDescent="0.2">
      <c r="A85" s="1435"/>
      <c r="B85" s="1651" t="s">
        <v>658</v>
      </c>
      <c r="C85" s="1652"/>
      <c r="D85" s="1652"/>
      <c r="E85" s="1653"/>
      <c r="F85" s="692">
        <f t="shared" si="8"/>
        <v>65</v>
      </c>
      <c r="G85" s="716"/>
      <c r="H85" s="1320"/>
      <c r="I85" s="746" t="s">
        <v>174</v>
      </c>
      <c r="J85" s="746"/>
      <c r="K85" s="746"/>
      <c r="L85" s="746"/>
      <c r="M85" s="746"/>
      <c r="N85" s="746"/>
      <c r="O85" s="746"/>
      <c r="P85" s="746"/>
      <c r="Q85" s="746"/>
      <c r="R85" s="744" t="e">
        <f t="shared" si="9"/>
        <v>#REF!</v>
      </c>
      <c r="S85" s="744"/>
      <c r="T85" s="744"/>
      <c r="U85" s="736"/>
    </row>
    <row r="86" spans="1:21" hidden="1" x14ac:dyDescent="0.2">
      <c r="A86" s="1435"/>
      <c r="B86" s="1636" t="s">
        <v>659</v>
      </c>
      <c r="C86" s="1272"/>
      <c r="D86" s="1272"/>
      <c r="E86" s="1637"/>
      <c r="F86" s="685">
        <f t="shared" si="8"/>
        <v>66</v>
      </c>
      <c r="G86" s="774">
        <f>+'DATOS PARA DEPURAR'!E322</f>
        <v>0</v>
      </c>
      <c r="H86" s="1320"/>
      <c r="I86" s="1406" t="s">
        <v>674</v>
      </c>
      <c r="J86" s="1407"/>
      <c r="K86" s="794"/>
      <c r="L86" s="794"/>
      <c r="M86" s="794"/>
      <c r="N86" s="794"/>
      <c r="O86" s="794"/>
      <c r="P86" s="794"/>
      <c r="Q86" s="794"/>
      <c r="R86" s="745" t="e">
        <f t="shared" si="9"/>
        <v>#REF!</v>
      </c>
      <c r="S86" s="745"/>
      <c r="T86" s="745"/>
      <c r="U86" s="747">
        <f>IF((U79+U83-U80-U81-U82+U85)&gt;0,U79+U83-U80-U81-U82+U85,0)</f>
        <v>0</v>
      </c>
    </row>
    <row r="87" spans="1:21" ht="13.5" hidden="1" thickBot="1" x14ac:dyDescent="0.25">
      <c r="A87" s="1435"/>
      <c r="B87" s="1656" t="s">
        <v>660</v>
      </c>
      <c r="C87" s="1657"/>
      <c r="D87" s="1657"/>
      <c r="E87" s="1658"/>
      <c r="F87" s="692">
        <f t="shared" si="8"/>
        <v>67</v>
      </c>
      <c r="G87" s="693">
        <f>+'DATOS PARA DEPURAR'!E323</f>
        <v>0</v>
      </c>
      <c r="H87" s="1320"/>
      <c r="I87" s="1408" t="s">
        <v>675</v>
      </c>
      <c r="J87" s="1409"/>
      <c r="K87" s="795"/>
      <c r="L87" s="795"/>
      <c r="M87" s="795"/>
      <c r="N87" s="795"/>
      <c r="O87" s="795"/>
      <c r="P87" s="795"/>
      <c r="Q87" s="795"/>
      <c r="R87" s="748" t="e">
        <f t="shared" si="9"/>
        <v>#REF!</v>
      </c>
      <c r="S87" s="748"/>
      <c r="T87" s="748"/>
      <c r="U87" s="749">
        <f>IF((U80+U81+U82-U79-U83-U85)&gt;0,U80+U81+U82-U79-U83-U85,0)</f>
        <v>0</v>
      </c>
    </row>
    <row r="88" spans="1:21" ht="13.5" hidden="1" thickBot="1" x14ac:dyDescent="0.25">
      <c r="A88" s="1435"/>
      <c r="B88" s="1682" t="s">
        <v>661</v>
      </c>
      <c r="C88" s="1683"/>
      <c r="D88" s="1683"/>
      <c r="E88" s="1684"/>
      <c r="F88" s="689">
        <f t="shared" si="8"/>
        <v>68</v>
      </c>
      <c r="G88" s="719">
        <f>+G84+G87-G85-G86</f>
        <v>6390051.375</v>
      </c>
      <c r="H88" s="1320"/>
      <c r="I88" s="730"/>
      <c r="J88" s="730"/>
      <c r="K88" s="730"/>
      <c r="L88" s="730"/>
      <c r="M88" s="730"/>
      <c r="N88" s="730"/>
      <c r="O88" s="730"/>
      <c r="P88" s="730"/>
      <c r="Q88" s="730"/>
      <c r="R88" s="277"/>
      <c r="S88" s="277"/>
      <c r="T88" s="277"/>
      <c r="U88" s="555"/>
    </row>
    <row r="89" spans="1:21" hidden="1" x14ac:dyDescent="0.2">
      <c r="H89" s="1320"/>
      <c r="I89" s="1418"/>
      <c r="J89" s="1418"/>
      <c r="K89" s="788"/>
      <c r="L89" s="788"/>
      <c r="M89" s="788"/>
      <c r="N89" s="788"/>
      <c r="O89" s="788"/>
      <c r="P89" s="788"/>
      <c r="Q89" s="788"/>
      <c r="U89" s="242"/>
    </row>
    <row r="90" spans="1:21" hidden="1" x14ac:dyDescent="0.2">
      <c r="E90" s="247" t="s">
        <v>155</v>
      </c>
      <c r="G90" s="184">
        <f>IF(G71&lt;G72,G72+G80-G79,IF(G72&lt;G71,G71-G79+G80,0))</f>
        <v>0</v>
      </c>
      <c r="H90" s="1320"/>
      <c r="I90"/>
      <c r="J90" s="261"/>
      <c r="K90" s="261"/>
      <c r="L90" s="261"/>
      <c r="M90" s="261"/>
      <c r="N90" s="261"/>
      <c r="O90" s="261"/>
      <c r="P90" s="261"/>
      <c r="Q90" s="261"/>
      <c r="R90" s="244"/>
      <c r="S90" s="244"/>
      <c r="T90" s="244"/>
      <c r="U90" s="245"/>
    </row>
    <row r="91" spans="1:21" hidden="1" x14ac:dyDescent="0.2">
      <c r="H91" s="1320"/>
      <c r="I91"/>
      <c r="J91" s="535"/>
      <c r="K91" s="535"/>
      <c r="L91" s="535"/>
      <c r="M91" s="535"/>
      <c r="N91" s="535"/>
      <c r="O91" s="535"/>
      <c r="P91" s="535"/>
      <c r="Q91" s="535"/>
      <c r="U91" s="242"/>
    </row>
    <row r="92" spans="1:21" ht="13.5" hidden="1" thickBot="1" x14ac:dyDescent="0.25">
      <c r="H92" s="1320"/>
      <c r="I92" s="1328"/>
      <c r="J92" s="1328"/>
      <c r="K92" s="785"/>
      <c r="L92" s="785"/>
      <c r="M92" s="785"/>
      <c r="N92" s="785"/>
      <c r="O92" s="785"/>
      <c r="P92" s="785"/>
      <c r="Q92" s="785"/>
      <c r="U92" s="242"/>
    </row>
    <row r="93" spans="1:21" ht="15" hidden="1" x14ac:dyDescent="0.25">
      <c r="E93" s="285" t="s">
        <v>34</v>
      </c>
      <c r="F93" s="286"/>
      <c r="G93" s="287" t="s">
        <v>75</v>
      </c>
      <c r="H93" s="1320"/>
      <c r="I93" s="1294"/>
      <c r="J93" s="1294"/>
      <c r="K93" s="786"/>
      <c r="L93" s="786"/>
      <c r="M93" s="786"/>
      <c r="N93" s="786"/>
      <c r="O93" s="786"/>
      <c r="P93" s="786"/>
      <c r="Q93" s="786"/>
      <c r="R93" s="244"/>
      <c r="S93" s="244"/>
      <c r="T93" s="244"/>
      <c r="U93" s="245"/>
    </row>
    <row r="94" spans="1:21" hidden="1" x14ac:dyDescent="0.2">
      <c r="E94" s="289" t="s">
        <v>18</v>
      </c>
      <c r="F94" s="289"/>
      <c r="G94" s="290">
        <f>+J36/'DATOS PARA DEPURAR'!$C$24</f>
        <v>0</v>
      </c>
      <c r="H94" s="1320"/>
      <c r="I94" s="1417"/>
      <c r="J94" s="1417"/>
      <c r="K94" s="787"/>
      <c r="L94" s="787"/>
      <c r="M94" s="787"/>
      <c r="N94" s="787"/>
      <c r="O94" s="787"/>
      <c r="P94" s="787"/>
      <c r="Q94" s="787"/>
      <c r="U94" s="242"/>
    </row>
    <row r="95" spans="1:21" hidden="1" x14ac:dyDescent="0.2">
      <c r="E95" s="289" t="s">
        <v>77</v>
      </c>
      <c r="F95" s="289"/>
      <c r="G95" s="290">
        <f>+U28/'DATOS PARA DEPURAR'!$C$24</f>
        <v>0</v>
      </c>
      <c r="H95" s="1320"/>
    </row>
    <row r="96" spans="1:21" hidden="1" x14ac:dyDescent="0.2">
      <c r="E96" s="289" t="s">
        <v>78</v>
      </c>
      <c r="F96" s="289"/>
      <c r="G96" s="171">
        <f>+G99</f>
        <v>66.02</v>
      </c>
      <c r="H96" s="1395"/>
    </row>
    <row r="97" spans="5:21" hidden="1" x14ac:dyDescent="0.2">
      <c r="E97" s="292"/>
      <c r="F97" s="292"/>
      <c r="G97" s="181"/>
      <c r="H97" s="676"/>
    </row>
    <row r="98" spans="5:21" hidden="1" x14ac:dyDescent="0.2"/>
    <row r="99" spans="5:21" hidden="1" x14ac:dyDescent="0.2">
      <c r="G99" s="184">
        <f>IF(G95&lt;=13642.99,J122,IF(G95&gt;13642.99,(G95*27%)-1622,0))</f>
        <v>66.02</v>
      </c>
    </row>
    <row r="100" spans="5:21" hidden="1" x14ac:dyDescent="0.2">
      <c r="E100" s="297">
        <f>+G95-1622</f>
        <v>-1622</v>
      </c>
    </row>
    <row r="101" spans="5:21" ht="13.5" hidden="1" thickBot="1" x14ac:dyDescent="0.25">
      <c r="E101" s="184">
        <f>+E100*0.27</f>
        <v>-437.94000000000005</v>
      </c>
    </row>
    <row r="102" spans="5:21" hidden="1" x14ac:dyDescent="0.2">
      <c r="E102" s="184">
        <f>E101*26841</f>
        <v>-11754747.540000001</v>
      </c>
      <c r="H102" s="287"/>
    </row>
    <row r="103" spans="5:21" hidden="1" x14ac:dyDescent="0.2">
      <c r="H103" s="290"/>
    </row>
    <row r="104" spans="5:21" hidden="1" x14ac:dyDescent="0.2">
      <c r="H104" s="290"/>
    </row>
    <row r="105" spans="5:21" hidden="1" x14ac:dyDescent="0.2">
      <c r="E105" s="184" t="s">
        <v>320</v>
      </c>
      <c r="H105" s="171"/>
    </row>
    <row r="106" spans="5:21" hidden="1" x14ac:dyDescent="0.2">
      <c r="E106" s="298">
        <f>3800*'DATOS PARA DEPURAR'!C24</f>
        <v>161165600</v>
      </c>
      <c r="H106" s="181"/>
    </row>
    <row r="107" spans="5:21" hidden="1" x14ac:dyDescent="0.2">
      <c r="E107" s="298">
        <f>(SUM('DATOS PARA DEPURAR'!E52:E55)+('DATOS PARA DEPURAR'!E29))*0.3</f>
        <v>117825600</v>
      </c>
    </row>
    <row r="108" spans="5:21" hidden="1" x14ac:dyDescent="0.2">
      <c r="E108" s="299">
        <f>MIN(E106:E107)</f>
        <v>117825600</v>
      </c>
    </row>
    <row r="109" spans="5:21" hidden="1" x14ac:dyDescent="0.2"/>
    <row r="110" spans="5:21" hidden="1" x14ac:dyDescent="0.2">
      <c r="E110" s="247" t="s">
        <v>321</v>
      </c>
    </row>
    <row r="111" spans="5:21" hidden="1" x14ac:dyDescent="0.2">
      <c r="E111" s="298">
        <f>IF(SUM('DATOS PARA DEPURAR'!D286:D291)&lt;=('DATOS PARA DEPURAR'!E286),('DATOS PARA DEPURAR'!D291),IF(SUM('DATOS PARA DEPURAR'!D286:D291)&gt;('DATOS PARA DEPURAR'!E286),('DATOS PARA DEPURAR'!E286-'DATOS PARA DEPURAR'!D286-'DATOS PARA DEPURAR'!D288),0))</f>
        <v>0</v>
      </c>
      <c r="I111" s="676"/>
      <c r="J111" s="676"/>
      <c r="K111" s="676"/>
      <c r="L111" s="676"/>
      <c r="M111" s="676"/>
      <c r="N111" s="676"/>
      <c r="O111" s="676"/>
      <c r="P111" s="676"/>
      <c r="Q111" s="676"/>
      <c r="R111" s="676"/>
      <c r="S111" s="676"/>
      <c r="T111" s="676"/>
      <c r="U111" s="676"/>
    </row>
    <row r="112" spans="5:21" hidden="1" x14ac:dyDescent="0.2">
      <c r="E112" s="247" t="s">
        <v>322</v>
      </c>
    </row>
    <row r="113" spans="5:21" hidden="1" x14ac:dyDescent="0.2">
      <c r="E113" s="248">
        <f>IF(SUM('DATOS PARA DEPURAR'!D286:D288)&lt;=('DATOS PARA DEPURAR'!E286+'DATOS PARA DEPURAR'!D287),'DATOS PARA DEPURAR'!D288,'DATOS PARA DEPURAR'!E286-'DATOS PARA DEPURAR'!D286-'DATOS PARA DEPURAR'!D287)</f>
        <v>0</v>
      </c>
      <c r="U113" s="181"/>
    </row>
    <row r="114" spans="5:21" hidden="1" x14ac:dyDescent="0.2">
      <c r="E114" s="248">
        <f>+'DATOS PARA DEPURAR'!D288</f>
        <v>0</v>
      </c>
    </row>
    <row r="115" spans="5:21" ht="13.5" hidden="1" thickBot="1" x14ac:dyDescent="0.25">
      <c r="E115" s="251">
        <f>MIN(E113:E114)</f>
        <v>0</v>
      </c>
      <c r="G115" s="247" t="s">
        <v>323</v>
      </c>
    </row>
    <row r="116" spans="5:21" ht="13.5" hidden="1" thickBot="1" x14ac:dyDescent="0.25">
      <c r="J116" s="288" t="s">
        <v>76</v>
      </c>
      <c r="K116" s="807"/>
      <c r="L116" s="807"/>
      <c r="M116" s="807"/>
      <c r="N116" s="807"/>
      <c r="O116" s="807"/>
      <c r="P116" s="807"/>
      <c r="Q116" s="807"/>
    </row>
    <row r="117" spans="5:21" ht="13.5" hidden="1" thickBot="1" x14ac:dyDescent="0.25">
      <c r="E117" s="248">
        <f>IF(('DATOS PARA DEPURAR'!D291&lt;=0),('FORMULARIO 2023 RENTA'!E115),0)</f>
        <v>0</v>
      </c>
      <c r="J117" s="291">
        <f>+G94*'DATOS PARA DEPURAR'!$C$24</f>
        <v>0</v>
      </c>
      <c r="K117" s="808"/>
      <c r="L117" s="808"/>
      <c r="M117" s="808"/>
      <c r="N117" s="808"/>
      <c r="O117" s="808"/>
      <c r="P117" s="808"/>
      <c r="Q117" s="808"/>
    </row>
    <row r="118" spans="5:21" ht="13.5" hidden="1" thickBot="1" x14ac:dyDescent="0.25">
      <c r="E118" s="298">
        <f>IF(SUM('DATOS PARA DEPURAR'!D286:D291)&gt;('DATOS PARA DEPURAR'!E286),('FORMULARIO 2023 RENTA'!E115),('DATOS PARA DEPURAR'!D288))</f>
        <v>0</v>
      </c>
      <c r="J118" s="291">
        <f>+G95*'DATOS PARA DEPURAR'!$C$24</f>
        <v>0</v>
      </c>
      <c r="K118" s="808"/>
      <c r="L118" s="808"/>
      <c r="M118" s="808"/>
      <c r="N118" s="808"/>
      <c r="O118" s="808"/>
      <c r="P118" s="808"/>
      <c r="Q118" s="808"/>
    </row>
    <row r="119" spans="5:21" ht="13.5" hidden="1" thickBot="1" x14ac:dyDescent="0.25">
      <c r="E119" s="251">
        <f>IF(E117&gt;E118,(MIN(E117:E118)),E118)</f>
        <v>0</v>
      </c>
      <c r="J119" s="291">
        <f>+G96*'DATOS PARA DEPURAR'!$C$24</f>
        <v>2800040.2399999998</v>
      </c>
      <c r="K119" s="808"/>
      <c r="L119" s="808"/>
      <c r="M119" s="808"/>
      <c r="N119" s="808"/>
      <c r="O119" s="808"/>
      <c r="P119" s="808"/>
      <c r="Q119" s="808"/>
    </row>
    <row r="120" spans="5:21" hidden="1" x14ac:dyDescent="0.2">
      <c r="J120" s="291">
        <f>+G97*'DATOS PARA DEPURAR'!$C$24</f>
        <v>0</v>
      </c>
      <c r="K120" s="808"/>
      <c r="L120" s="808"/>
      <c r="M120" s="808"/>
      <c r="N120" s="808"/>
      <c r="O120" s="808"/>
      <c r="P120" s="808"/>
      <c r="Q120" s="808"/>
      <c r="U120" s="293">
        <v>0</v>
      </c>
    </row>
    <row r="121" spans="5:21" ht="15.75" hidden="1" x14ac:dyDescent="0.25">
      <c r="E121" s="300" t="s">
        <v>344</v>
      </c>
      <c r="U121" s="293">
        <v>1548</v>
      </c>
    </row>
    <row r="122" spans="5:21" hidden="1" x14ac:dyDescent="0.2">
      <c r="E122" s="247" t="s">
        <v>345</v>
      </c>
      <c r="G122" s="298">
        <f>IF(('PATRIMONIO BRUTO'!D28)="S",('PATRIMONIO BRUTO'!E28),0)</f>
        <v>3288899</v>
      </c>
      <c r="J122" s="184">
        <f>LOOKUP(G95,U96:V180,W288:W372)</f>
        <v>66.02</v>
      </c>
      <c r="U122" s="293">
        <v>1588</v>
      </c>
    </row>
    <row r="123" spans="5:21" hidden="1" x14ac:dyDescent="0.2">
      <c r="E123" s="247" t="s">
        <v>346</v>
      </c>
      <c r="G123" s="298">
        <f>IF(('PATRIMONIO BRUTO'!D30)="S",('PATRIMONIO BRUTO'!E30),0)</f>
        <v>23444444</v>
      </c>
      <c r="U123" s="293">
        <v>1629</v>
      </c>
    </row>
    <row r="124" spans="5:21" hidden="1" x14ac:dyDescent="0.2">
      <c r="E124" s="247" t="s">
        <v>292</v>
      </c>
      <c r="G124" s="184">
        <f>IF(('PATRIMONIO BRUTO'!E51)&gt;0,('PATRIMONIO BRUTO'!E51),0)</f>
        <v>0</v>
      </c>
      <c r="U124" s="293">
        <v>1670</v>
      </c>
    </row>
    <row r="125" spans="5:21" hidden="1" x14ac:dyDescent="0.2">
      <c r="E125" s="275" t="s">
        <v>294</v>
      </c>
      <c r="G125" s="184">
        <f>IF(('PATRIMONIO BRUTO'!E60)&gt;0,('PATRIMONIO BRUTO'!E60),0)</f>
        <v>0</v>
      </c>
      <c r="U125" s="293">
        <v>1710</v>
      </c>
    </row>
    <row r="126" spans="5:21" hidden="1" x14ac:dyDescent="0.2">
      <c r="E126" s="275" t="s">
        <v>294</v>
      </c>
      <c r="G126" s="184">
        <f>IF(('PATRIMONIO BRUTO'!E61)&gt;0,('PATRIMONIO BRUTO'!E61),0)</f>
        <v>0</v>
      </c>
      <c r="U126" s="293">
        <v>1751</v>
      </c>
    </row>
    <row r="127" spans="5:21" hidden="1" x14ac:dyDescent="0.2">
      <c r="E127" s="275" t="s">
        <v>335</v>
      </c>
      <c r="G127" s="184">
        <f>IF(('PATRIMONIO BRUTO'!E86)&gt;0,('PATRIMONIO BRUTO'!E86),0)</f>
        <v>0</v>
      </c>
      <c r="U127" s="293">
        <v>1792</v>
      </c>
    </row>
    <row r="128" spans="5:21" hidden="1" x14ac:dyDescent="0.2">
      <c r="U128" s="293">
        <v>1833</v>
      </c>
    </row>
    <row r="129" spans="5:21" ht="15.75" hidden="1" x14ac:dyDescent="0.25">
      <c r="E129" s="301">
        <f>IF((J152-J151)&gt;0,(J152-J151)*0%,0)</f>
        <v>0</v>
      </c>
      <c r="U129" s="293">
        <v>1873</v>
      </c>
    </row>
    <row r="130" spans="5:21" hidden="1" x14ac:dyDescent="0.2">
      <c r="U130" s="293">
        <v>1914</v>
      </c>
    </row>
    <row r="131" spans="5:21" hidden="1" x14ac:dyDescent="0.2">
      <c r="U131" s="293">
        <v>1955</v>
      </c>
    </row>
    <row r="132" spans="5:21" hidden="1" x14ac:dyDescent="0.2">
      <c r="E132" s="269" t="s">
        <v>349</v>
      </c>
      <c r="U132" s="293">
        <v>1996</v>
      </c>
    </row>
    <row r="133" spans="5:21" hidden="1" x14ac:dyDescent="0.2">
      <c r="E133" s="247" t="s">
        <v>344</v>
      </c>
      <c r="G133" s="184">
        <f>+'DATOS PARA DEPURAR'!C23</f>
        <v>0</v>
      </c>
      <c r="U133" s="293">
        <v>2036</v>
      </c>
    </row>
    <row r="134" spans="5:21" ht="24.75" hidden="1" x14ac:dyDescent="0.2">
      <c r="E134" s="302" t="s">
        <v>351</v>
      </c>
      <c r="U134" s="293">
        <v>2118</v>
      </c>
    </row>
    <row r="135" spans="5:21" hidden="1" x14ac:dyDescent="0.2">
      <c r="U135" s="293">
        <v>2199</v>
      </c>
    </row>
    <row r="136" spans="5:21" hidden="1" x14ac:dyDescent="0.2">
      <c r="U136" s="293">
        <v>2281</v>
      </c>
    </row>
    <row r="137" spans="5:21" hidden="1" x14ac:dyDescent="0.2">
      <c r="U137" s="293">
        <v>2362</v>
      </c>
    </row>
    <row r="138" spans="5:21" hidden="1" x14ac:dyDescent="0.2">
      <c r="U138" s="293">
        <v>2443</v>
      </c>
    </row>
    <row r="139" spans="5:21" hidden="1" x14ac:dyDescent="0.2">
      <c r="U139" s="293">
        <v>2525</v>
      </c>
    </row>
    <row r="140" spans="5:21" hidden="1" x14ac:dyDescent="0.2">
      <c r="U140" s="293">
        <v>2606</v>
      </c>
    </row>
    <row r="141" spans="5:21" hidden="1" x14ac:dyDescent="0.2">
      <c r="U141" s="293">
        <v>2688</v>
      </c>
    </row>
    <row r="142" spans="5:21" hidden="1" x14ac:dyDescent="0.2">
      <c r="E142" s="2">
        <f>+U85</f>
        <v>0</v>
      </c>
      <c r="F142">
        <f>+G142*-1</f>
        <v>465000</v>
      </c>
      <c r="G142">
        <f>IF('DATOS PARA DEPURAR'!C14&lt;=0,'DATOS PARA DEPURAR'!C14,0)</f>
        <v>-465000</v>
      </c>
      <c r="J142" s="370">
        <f>IF(('DATOS PARA DEPURAR'!E22)=2,('DATOS PARA DEPURAR'!C20/'DATOS PARA DEPURAR'!E20),IF(('DATOS PARA DEPURAR'!E22)=3,('DATOS PARA DEPURAR'!C20/'DATOS PARA DEPURAR'!E20),0))</f>
        <v>0</v>
      </c>
      <c r="K142" s="370"/>
      <c r="L142" s="370"/>
      <c r="M142" s="370"/>
      <c r="N142" s="370"/>
      <c r="O142" s="370"/>
      <c r="P142" s="370"/>
      <c r="Q142" s="370"/>
      <c r="U142" s="293">
        <v>2769</v>
      </c>
    </row>
    <row r="143" spans="5:21" hidden="1" x14ac:dyDescent="0.2">
      <c r="E143" s="2">
        <f>IF((U77+U81-U78-U79-U80)&gt;0,U77+U81-U78-U79-U80,0)</f>
        <v>0</v>
      </c>
      <c r="F143" s="362">
        <f>IF('DATOS PARA DEPURAR'!C14&gt;0,'DATOS PARA DEPURAR'!C14,0)</f>
        <v>0</v>
      </c>
      <c r="G143"/>
      <c r="J143" s="370">
        <f>IF(J142&gt;0,J142,0)</f>
        <v>0</v>
      </c>
      <c r="K143" s="370"/>
      <c r="L143" s="370"/>
      <c r="M143" s="370"/>
      <c r="N143" s="370"/>
      <c r="O143" s="370"/>
      <c r="P143" s="370"/>
      <c r="Q143" s="370"/>
      <c r="U143" s="293">
        <v>2851</v>
      </c>
    </row>
    <row r="144" spans="5:21" hidden="1" x14ac:dyDescent="0.2">
      <c r="E144" s="1279" t="s">
        <v>445</v>
      </c>
      <c r="F144" s="1241"/>
      <c r="G144"/>
      <c r="U144" s="293">
        <v>2932</v>
      </c>
    </row>
    <row r="145" spans="5:21" hidden="1" x14ac:dyDescent="0.2">
      <c r="E145" s="37" t="s">
        <v>446</v>
      </c>
      <c r="F145"/>
      <c r="G145"/>
      <c r="J145" s="298">
        <f>IF(($J$143)&gt;0,$J$143*G122,0)</f>
        <v>0</v>
      </c>
      <c r="K145" s="298"/>
      <c r="L145" s="298"/>
      <c r="M145" s="298"/>
      <c r="N145" s="298"/>
      <c r="O145" s="298"/>
      <c r="P145" s="298"/>
      <c r="Q145" s="298"/>
      <c r="U145" s="293">
        <v>3014</v>
      </c>
    </row>
    <row r="146" spans="5:21" hidden="1" x14ac:dyDescent="0.2">
      <c r="E146" t="str">
        <f>IF(E142&gt;F142,E144,E145)</f>
        <v>YAOP</v>
      </c>
      <c r="F146"/>
      <c r="G146"/>
      <c r="J146" s="298">
        <f>IF(($J$143)&gt;0,$J$143*G123,0)</f>
        <v>0</v>
      </c>
      <c r="K146" s="298"/>
      <c r="L146" s="298"/>
      <c r="M146" s="298"/>
      <c r="N146" s="298"/>
      <c r="O146" s="298"/>
      <c r="P146" s="298"/>
      <c r="Q146" s="298"/>
      <c r="U146" s="293">
        <v>3095</v>
      </c>
    </row>
    <row r="147" spans="5:21" hidden="1" x14ac:dyDescent="0.2">
      <c r="E147" t="str">
        <f>IF(E143&gt;F143,E144,E145)</f>
        <v>YAOP</v>
      </c>
      <c r="F147"/>
      <c r="G147" t="str">
        <f>IF(E142&gt;=0,IF(F143&gt;=0,E148,IF(E142&gt;=0,IF(F142&gt;=0,E146,IF(E143&gt;=0,IF(F143&gt;=0,E147,0))))))</f>
        <v>ESTA DECLARACION DEBE REALIZARSE SEGÚN ART 589 E.T.</v>
      </c>
      <c r="J147" s="184">
        <f>IF((G124)&lt;=((8000)*('DATOS PARA DEPURAR'!C24)),G124,(8000*'DATOS PARA DEPURAR'!C24))</f>
        <v>0</v>
      </c>
      <c r="U147" s="293">
        <v>3177</v>
      </c>
    </row>
    <row r="148" spans="5:21" hidden="1" x14ac:dyDescent="0.2">
      <c r="E148" t="str">
        <f>IF(E142&gt;=0,IF(F143&gt;=0,E144,E145))</f>
        <v>ESTA DECLARACION DEBE REALIZARSE SEGÚN ART 589 E.T.</v>
      </c>
      <c r="F148"/>
      <c r="G148"/>
      <c r="J148" s="184">
        <f>IF(SUM(G125:G127)&lt;=(19000*'DATOS PARA DEPURAR'!C24),(SUM(G125:G127)),(19000*'DATOS PARA DEPURAR'!C24))</f>
        <v>0</v>
      </c>
      <c r="U148" s="293">
        <v>3258</v>
      </c>
    </row>
    <row r="149" spans="5:21" hidden="1" x14ac:dyDescent="0.2">
      <c r="U149" s="293">
        <v>3339</v>
      </c>
    </row>
    <row r="150" spans="5:21" hidden="1" x14ac:dyDescent="0.2">
      <c r="U150" s="293">
        <v>3421</v>
      </c>
    </row>
    <row r="151" spans="5:21" hidden="1" x14ac:dyDescent="0.2">
      <c r="E151" s="184" t="str">
        <f>IF('DATOS PARA DEPURAR'!C13="S",G147,E145)</f>
        <v>YAOP</v>
      </c>
      <c r="H151" s="47"/>
      <c r="J151" s="298">
        <f>SUM(J145:J150)</f>
        <v>0</v>
      </c>
      <c r="K151" s="298"/>
      <c r="L151" s="298"/>
      <c r="M151" s="298"/>
      <c r="N151" s="298"/>
      <c r="O151" s="298"/>
      <c r="P151" s="298"/>
      <c r="Q151" s="298"/>
      <c r="U151" s="293">
        <v>3502</v>
      </c>
    </row>
    <row r="152" spans="5:21" hidden="1" x14ac:dyDescent="0.2">
      <c r="H152" s="47"/>
      <c r="J152" s="887">
        <f>+'DATOS PARA DEPURAR'!E20</f>
        <v>100000000</v>
      </c>
      <c r="K152" s="248"/>
      <c r="L152" s="248"/>
      <c r="M152" s="248"/>
      <c r="N152" s="248"/>
      <c r="O152" s="248"/>
      <c r="P152" s="248"/>
      <c r="Q152" s="248"/>
      <c r="U152" s="293">
        <v>3584</v>
      </c>
    </row>
    <row r="153" spans="5:21" hidden="1" x14ac:dyDescent="0.2">
      <c r="H153" s="47"/>
      <c r="U153" s="293">
        <v>3665</v>
      </c>
    </row>
    <row r="154" spans="5:21" hidden="1" x14ac:dyDescent="0.2">
      <c r="E154" s="247" t="s">
        <v>458</v>
      </c>
      <c r="H154" s="47"/>
      <c r="U154" s="293">
        <v>3747</v>
      </c>
    </row>
    <row r="155" spans="5:21" ht="13.5" hidden="1" thickBot="1" x14ac:dyDescent="0.25">
      <c r="H155" s="47"/>
      <c r="U155" s="293">
        <v>3828</v>
      </c>
    </row>
    <row r="156" spans="5:21" hidden="1" x14ac:dyDescent="0.2">
      <c r="E156" s="256" t="s">
        <v>8</v>
      </c>
      <c r="F156" s="257"/>
      <c r="H156" s="47"/>
      <c r="J156" s="184">
        <f>IF((G68)&gt;=G133,G133,G68)</f>
        <v>0</v>
      </c>
      <c r="U156" s="293">
        <v>3910</v>
      </c>
    </row>
    <row r="157" spans="5:21" ht="13.5" hidden="1" thickBot="1" x14ac:dyDescent="0.25">
      <c r="E157" s="1266">
        <f>+G72/J180</f>
        <v>0</v>
      </c>
      <c r="F157" s="1267"/>
      <c r="H157" s="47"/>
      <c r="U157" s="293">
        <v>3991</v>
      </c>
    </row>
    <row r="158" spans="5:21" ht="13.5" hidden="1" thickBot="1" x14ac:dyDescent="0.25">
      <c r="F158" s="184"/>
      <c r="U158" s="293">
        <v>4072</v>
      </c>
    </row>
    <row r="159" spans="5:21" hidden="1" x14ac:dyDescent="0.2">
      <c r="E159" s="262">
        <v>0</v>
      </c>
      <c r="G159" s="263">
        <v>1090</v>
      </c>
      <c r="U159" s="293">
        <v>4276</v>
      </c>
    </row>
    <row r="160" spans="5:21" hidden="1" x14ac:dyDescent="0.2">
      <c r="E160" s="265" t="s">
        <v>169</v>
      </c>
      <c r="G160" s="266">
        <v>1700</v>
      </c>
      <c r="U160" s="293">
        <v>4480</v>
      </c>
    </row>
    <row r="161" spans="5:21" hidden="1" x14ac:dyDescent="0.2">
      <c r="E161" s="265" t="s">
        <v>170</v>
      </c>
      <c r="G161" s="266">
        <v>4100</v>
      </c>
      <c r="U161" s="293">
        <v>4683</v>
      </c>
    </row>
    <row r="162" spans="5:21" ht="13.5" hidden="1" thickBot="1" x14ac:dyDescent="0.25">
      <c r="E162" s="270" t="s">
        <v>171</v>
      </c>
      <c r="G162" s="271"/>
      <c r="U162" s="293">
        <v>4887</v>
      </c>
    </row>
    <row r="163" spans="5:21" ht="13.5" hidden="1" thickBot="1" x14ac:dyDescent="0.25">
      <c r="F163" s="184"/>
      <c r="U163" s="293">
        <v>5091</v>
      </c>
    </row>
    <row r="164" spans="5:21" hidden="1" x14ac:dyDescent="0.2">
      <c r="E164" s="1268" t="s">
        <v>172</v>
      </c>
      <c r="F164" s="1269"/>
      <c r="U164" s="293">
        <v>5294</v>
      </c>
    </row>
    <row r="165" spans="5:21" ht="15.75" hidden="1" thickBot="1" x14ac:dyDescent="0.3">
      <c r="E165" s="1270">
        <f>IF(J182=0,J182,IF(J183&gt;0,J183,IF(J184&gt;0,J184,IF(J185&gt;0,J185))))</f>
        <v>0</v>
      </c>
      <c r="F165" s="1271"/>
      <c r="U165" s="293">
        <v>5498</v>
      </c>
    </row>
    <row r="166" spans="5:21" hidden="1" x14ac:dyDescent="0.2">
      <c r="U166" s="293">
        <v>5701</v>
      </c>
    </row>
    <row r="167" spans="5:21" hidden="1" x14ac:dyDescent="0.2">
      <c r="U167" s="293">
        <v>5905</v>
      </c>
    </row>
    <row r="168" spans="5:21" hidden="1" x14ac:dyDescent="0.2">
      <c r="E168" s="247" t="s">
        <v>459</v>
      </c>
      <c r="U168" s="293">
        <v>6109</v>
      </c>
    </row>
    <row r="169" spans="5:21" hidden="1" x14ac:dyDescent="0.2">
      <c r="E169" s="298" t="e">
        <f>MAX(R69:U70)</f>
        <v>#REF!</v>
      </c>
      <c r="U169" s="293">
        <v>6312</v>
      </c>
    </row>
    <row r="170" spans="5:21" hidden="1" x14ac:dyDescent="0.2">
      <c r="E170" s="247" t="s">
        <v>460</v>
      </c>
      <c r="U170" s="293">
        <v>6516</v>
      </c>
    </row>
    <row r="171" spans="5:21" hidden="1" x14ac:dyDescent="0.2">
      <c r="E171" s="299">
        <f>+E165</f>
        <v>0</v>
      </c>
      <c r="U171" s="293">
        <v>6720</v>
      </c>
    </row>
    <row r="172" spans="5:21" hidden="1" x14ac:dyDescent="0.2">
      <c r="U172" s="293">
        <v>6923</v>
      </c>
    </row>
    <row r="173" spans="5:21" ht="45" hidden="1" x14ac:dyDescent="0.2">
      <c r="E173" s="260" t="s">
        <v>160</v>
      </c>
      <c r="G173" s="251">
        <f>+'DATOS PARA DEPURAR'!E343</f>
        <v>0</v>
      </c>
      <c r="U173" s="293">
        <v>7127</v>
      </c>
    </row>
    <row r="174" spans="5:21" ht="45" hidden="1" x14ac:dyDescent="0.2">
      <c r="E174" s="260" t="s">
        <v>161</v>
      </c>
      <c r="G174" s="251">
        <f>+'DATOS PARA DEPURAR'!E344</f>
        <v>0</v>
      </c>
      <c r="U174" s="293">
        <v>7330</v>
      </c>
    </row>
    <row r="175" spans="5:21" ht="56.25" hidden="1" x14ac:dyDescent="0.2">
      <c r="E175" s="260" t="s">
        <v>162</v>
      </c>
      <c r="G175" s="251">
        <f>+'DATOS PARA DEPURAR'!E345</f>
        <v>0</v>
      </c>
      <c r="U175" s="293">
        <v>7534</v>
      </c>
    </row>
    <row r="176" spans="5:21" hidden="1" x14ac:dyDescent="0.2">
      <c r="E176" s="253" t="s">
        <v>163</v>
      </c>
      <c r="G176" s="251">
        <f>+'DATOS PARA DEPURAR'!E349</f>
        <v>0</v>
      </c>
      <c r="U176" s="293">
        <v>7738</v>
      </c>
    </row>
    <row r="177" spans="5:21" hidden="1" x14ac:dyDescent="0.2">
      <c r="E177" s="247" t="s">
        <v>461</v>
      </c>
      <c r="G177" s="298">
        <f>IF(J200&gt;0,E169-J200,0)</f>
        <v>0</v>
      </c>
      <c r="U177" s="293">
        <v>7941</v>
      </c>
    </row>
    <row r="178" spans="5:21" hidden="1" x14ac:dyDescent="0.2">
      <c r="E178" s="247" t="s">
        <v>462</v>
      </c>
      <c r="G178" s="248">
        <f>IF(E171&gt;0,E171*0.75,0)</f>
        <v>0</v>
      </c>
      <c r="U178" s="293">
        <v>8145</v>
      </c>
    </row>
    <row r="179" spans="5:21" hidden="1" x14ac:dyDescent="0.2">
      <c r="J179" s="258" t="s">
        <v>10</v>
      </c>
      <c r="K179" s="258"/>
      <c r="L179" s="258"/>
      <c r="M179" s="258"/>
      <c r="N179" s="258"/>
      <c r="O179" s="258"/>
      <c r="P179" s="258"/>
      <c r="Q179" s="258"/>
      <c r="U179" s="293">
        <v>8349</v>
      </c>
    </row>
    <row r="180" spans="5:21" ht="15" hidden="1" x14ac:dyDescent="0.25">
      <c r="E180" s="247" t="s">
        <v>463</v>
      </c>
      <c r="G180" s="298">
        <f>IF(G177&lt;G178,0,G177)</f>
        <v>0</v>
      </c>
      <c r="J180" s="259">
        <f>+'DATOS PARA DEPURAR'!C24</f>
        <v>42412</v>
      </c>
      <c r="K180" s="259"/>
      <c r="L180" s="259"/>
      <c r="M180" s="259"/>
      <c r="N180" s="259"/>
      <c r="O180" s="259"/>
      <c r="P180" s="259"/>
      <c r="Q180" s="259"/>
      <c r="U180" s="293">
        <v>8552</v>
      </c>
    </row>
    <row r="181" spans="5:21" ht="13.5" hidden="1" thickBot="1" x14ac:dyDescent="0.25">
      <c r="U181" s="293">
        <v>8756</v>
      </c>
    </row>
    <row r="182" spans="5:21" ht="45" hidden="1" x14ac:dyDescent="0.2">
      <c r="E182" s="260" t="s">
        <v>160</v>
      </c>
      <c r="G182" s="184">
        <f>IF(G180&gt;0,J196,0)</f>
        <v>0</v>
      </c>
      <c r="J182" s="264">
        <f>IF(E157&lt;=1090,0)</f>
        <v>0</v>
      </c>
      <c r="U182" s="293">
        <v>8959</v>
      </c>
    </row>
    <row r="183" spans="5:21" ht="45" hidden="1" x14ac:dyDescent="0.25">
      <c r="E183" s="260" t="s">
        <v>161</v>
      </c>
      <c r="G183" s="184">
        <f>IF(G180&gt;0,J197,0)</f>
        <v>0</v>
      </c>
      <c r="J183" s="267" t="b">
        <f>IF(E157&gt;1090,(IF(E157&lt;=1700,ROUND((((+E157-1090)*19%)*J180),-3),0)),FALSE)</f>
        <v>0</v>
      </c>
      <c r="K183" s="809"/>
      <c r="L183" s="809"/>
      <c r="M183" s="809"/>
      <c r="N183" s="809"/>
      <c r="O183" s="809"/>
      <c r="P183" s="809"/>
      <c r="Q183" s="809"/>
      <c r="U183" s="293">
        <v>9163</v>
      </c>
    </row>
    <row r="184" spans="5:21" ht="56.25" hidden="1" x14ac:dyDescent="0.25">
      <c r="E184" s="260" t="s">
        <v>162</v>
      </c>
      <c r="G184" s="184">
        <f>IF(G180&gt;0,J198,0)</f>
        <v>0</v>
      </c>
      <c r="J184" s="267" t="b">
        <f>IF(E157&gt;1700,IF(E157&lt;=4100,ROUND((((+E157-1700)*28%+116)*J180),-3),0))</f>
        <v>0</v>
      </c>
      <c r="K184" s="809"/>
      <c r="L184" s="809"/>
      <c r="M184" s="809"/>
      <c r="N184" s="809"/>
      <c r="O184" s="809"/>
      <c r="P184" s="809"/>
      <c r="Q184" s="809"/>
      <c r="U184" s="293">
        <v>9367</v>
      </c>
    </row>
    <row r="185" spans="5:21" ht="15.75" hidden="1" thickBot="1" x14ac:dyDescent="0.3">
      <c r="E185" s="253" t="s">
        <v>163</v>
      </c>
      <c r="G185" s="184">
        <f>IF(G180&gt;0,J199,0)</f>
        <v>0</v>
      </c>
      <c r="J185" s="272">
        <f>IF(E157&gt;4100,ROUND((((+E157-4100)*33%)*J180)+(788*J180),-3),0)</f>
        <v>0</v>
      </c>
      <c r="K185" s="809"/>
      <c r="L185" s="809"/>
      <c r="M185" s="809"/>
      <c r="N185" s="809"/>
      <c r="O185" s="809"/>
      <c r="P185" s="809"/>
      <c r="Q185" s="809"/>
      <c r="U185" s="293">
        <v>9570</v>
      </c>
    </row>
    <row r="186" spans="5:21" hidden="1" x14ac:dyDescent="0.2">
      <c r="U186" s="293">
        <v>9774</v>
      </c>
    </row>
    <row r="187" spans="5:21" hidden="1" x14ac:dyDescent="0.2">
      <c r="E187" s="247" t="s">
        <v>464</v>
      </c>
      <c r="U187" s="293">
        <v>9978</v>
      </c>
    </row>
    <row r="188" spans="5:21" hidden="1" x14ac:dyDescent="0.2">
      <c r="E188" s="247" t="s">
        <v>398</v>
      </c>
      <c r="G188" s="184">
        <f>IF('DATOS PARA DEPURAR'!E106="S",'DATOS PARA DEPURAR'!E57,0)</f>
        <v>0</v>
      </c>
      <c r="U188" s="293">
        <v>10181</v>
      </c>
    </row>
    <row r="189" spans="5:21" hidden="1" x14ac:dyDescent="0.2">
      <c r="E189" s="247" t="s">
        <v>465</v>
      </c>
      <c r="U189" s="293">
        <v>10385</v>
      </c>
    </row>
    <row r="190" spans="5:21" hidden="1" x14ac:dyDescent="0.2">
      <c r="E190" s="247" t="s">
        <v>196</v>
      </c>
      <c r="G190" s="184">
        <f>IF(G188&gt;0,'DATOS PARA DEPURAR'!E207+SUM('DATOS PARA DEPURAR'!E226:E242)+'DATOS PARA DEPURAR'!E249+'DATOS PARA DEPURAR'!E258,0)</f>
        <v>0</v>
      </c>
      <c r="U190" s="293">
        <v>10588</v>
      </c>
    </row>
    <row r="191" spans="5:21" hidden="1" x14ac:dyDescent="0.2">
      <c r="E191" s="247" t="s">
        <v>466</v>
      </c>
      <c r="G191" s="247">
        <f>IF(G188&gt;0,'DATOS PARA DEPURAR'!E286-'DATOS PARA DEPURAR'!D286,0)</f>
        <v>0</v>
      </c>
      <c r="U191" s="293">
        <v>10792</v>
      </c>
    </row>
    <row r="192" spans="5:21" hidden="1" x14ac:dyDescent="0.2">
      <c r="E192" s="247" t="s">
        <v>467</v>
      </c>
      <c r="G192" s="184">
        <f>+G188-G190-G191</f>
        <v>0</v>
      </c>
      <c r="U192" s="293">
        <v>10996</v>
      </c>
    </row>
    <row r="193" spans="5:21" hidden="1" x14ac:dyDescent="0.2">
      <c r="E193" s="247" t="s">
        <v>466</v>
      </c>
      <c r="G193" s="184">
        <f>+G192*0.25</f>
        <v>0</v>
      </c>
      <c r="U193" s="293">
        <v>11199</v>
      </c>
    </row>
    <row r="194" spans="5:21" hidden="1" x14ac:dyDescent="0.2">
      <c r="U194" s="293">
        <v>11403</v>
      </c>
    </row>
    <row r="195" spans="5:21" hidden="1" x14ac:dyDescent="0.2">
      <c r="U195" s="293">
        <v>11607</v>
      </c>
    </row>
    <row r="196" spans="5:21" hidden="1" x14ac:dyDescent="0.2">
      <c r="J196" s="184">
        <f>IF(G173&gt;0,(IF((E169-SUM(G173))&gt;0,G173,E169)),0)</f>
        <v>0</v>
      </c>
      <c r="U196" s="293">
        <v>11810</v>
      </c>
    </row>
    <row r="197" spans="5:21" hidden="1" x14ac:dyDescent="0.2">
      <c r="J197" s="184">
        <f>IF(G174&gt;0,(IF((E169-SUM(G174))&gt;0,G174,E169)),0)</f>
        <v>0</v>
      </c>
      <c r="U197" s="293">
        <v>12014</v>
      </c>
    </row>
    <row r="198" spans="5:21" hidden="1" x14ac:dyDescent="0.2">
      <c r="J198" s="184">
        <f>IF(G175&gt;0,(IF((E169-SUM(G175))&gt;0,G175,E169)),0)</f>
        <v>0</v>
      </c>
      <c r="U198" s="293">
        <v>12217</v>
      </c>
    </row>
    <row r="199" spans="5:21" hidden="1" x14ac:dyDescent="0.2">
      <c r="J199" s="184">
        <f>IF(G176&gt;0,(IF((E169-SUM(G176))&gt;0,G176,E169)),0)</f>
        <v>0</v>
      </c>
      <c r="U199" s="293">
        <v>12421</v>
      </c>
    </row>
    <row r="200" spans="5:21" hidden="1" x14ac:dyDescent="0.2">
      <c r="J200" s="251">
        <f>MAX(J196:J199)</f>
        <v>0</v>
      </c>
      <c r="K200" s="251"/>
      <c r="L200" s="251"/>
      <c r="M200" s="251"/>
      <c r="N200" s="251"/>
      <c r="O200" s="251"/>
      <c r="P200" s="251"/>
      <c r="Q200" s="251"/>
      <c r="U200" s="293">
        <v>12625</v>
      </c>
    </row>
    <row r="201" spans="5:21" hidden="1" x14ac:dyDescent="0.2">
      <c r="U201" s="293">
        <v>12828</v>
      </c>
    </row>
    <row r="202" spans="5:21" hidden="1" x14ac:dyDescent="0.2">
      <c r="U202" s="293">
        <v>13032</v>
      </c>
    </row>
    <row r="203" spans="5:21" hidden="1" x14ac:dyDescent="0.2">
      <c r="U203" s="293">
        <v>13236</v>
      </c>
    </row>
    <row r="204" spans="5:21" hidden="1" x14ac:dyDescent="0.2">
      <c r="U204" s="293">
        <v>13439</v>
      </c>
    </row>
    <row r="205" spans="5:21" hidden="1" x14ac:dyDescent="0.2">
      <c r="U205" s="295" t="s">
        <v>80</v>
      </c>
    </row>
    <row r="206" spans="5:21" hidden="1" x14ac:dyDescent="0.2"/>
    <row r="207" spans="5:21" hidden="1" x14ac:dyDescent="0.2">
      <c r="E207" s="470" t="s">
        <v>468</v>
      </c>
    </row>
    <row r="208" spans="5:21" hidden="1" x14ac:dyDescent="0.2"/>
    <row r="209" spans="5:21" hidden="1" x14ac:dyDescent="0.2">
      <c r="E209" s="778" t="s">
        <v>692</v>
      </c>
      <c r="G209" s="299">
        <f>U76</f>
        <v>0</v>
      </c>
    </row>
    <row r="210" spans="5:21" hidden="1" x14ac:dyDescent="0.2"/>
    <row r="211" spans="5:21" hidden="1" x14ac:dyDescent="0.2">
      <c r="E211" s="778" t="s">
        <v>693</v>
      </c>
      <c r="G211" s="780" t="s">
        <v>35</v>
      </c>
      <c r="H211" s="778" t="s">
        <v>698</v>
      </c>
      <c r="I211" s="778"/>
    </row>
    <row r="212" spans="5:21" hidden="1" x14ac:dyDescent="0.2">
      <c r="E212" s="184" t="str">
        <f>+'DATOS PARA DEPURAR'!B343</f>
        <v>Por impuestos pagados en el exterior de los literales a) a c) del art. 254 E.T.</v>
      </c>
      <c r="G212" s="184">
        <f>+'DATOS PARA DEPURAR'!E343</f>
        <v>0</v>
      </c>
      <c r="H212" s="781" t="e">
        <f>+G212/$G$217</f>
        <v>#DIV/0!</v>
      </c>
      <c r="J212" s="251" t="e">
        <f>+H212*$G$222</f>
        <v>#DIV/0!</v>
      </c>
      <c r="K212" s="251"/>
      <c r="L212" s="251"/>
      <c r="M212" s="251"/>
      <c r="N212" s="251"/>
      <c r="O212" s="251"/>
      <c r="P212" s="251"/>
      <c r="Q212" s="251"/>
    </row>
    <row r="213" spans="5:21" hidden="1" x14ac:dyDescent="0.2">
      <c r="E213" s="184" t="str">
        <f>+'DATOS PARA DEPURAR'!B344</f>
        <v>Por impuestos pagados en el exterior del literal d) del art. 254 E.T.</v>
      </c>
      <c r="G213" s="184">
        <f>+'DATOS PARA DEPURAR'!E344</f>
        <v>0</v>
      </c>
      <c r="H213" s="781" t="e">
        <f>+G213/$G$217</f>
        <v>#DIV/0!</v>
      </c>
      <c r="J213" s="251" t="e">
        <f>+H213*$G$222</f>
        <v>#DIV/0!</v>
      </c>
      <c r="K213" s="251"/>
      <c r="L213" s="251"/>
      <c r="M213" s="251"/>
      <c r="N213" s="251"/>
      <c r="O213" s="251"/>
      <c r="P213" s="251"/>
      <c r="Q213" s="251"/>
    </row>
    <row r="214" spans="5:21" hidden="1" x14ac:dyDescent="0.2">
      <c r="E214" s="184" t="str">
        <f>+'DATOS PARA DEPURAR'!B345</f>
        <v>Por impuestos pagados en el exterior, distintos a los registrados anteriormente</v>
      </c>
      <c r="G214" s="184">
        <f>+'DATOS PARA DEPURAR'!E345</f>
        <v>0</v>
      </c>
      <c r="H214" s="781" t="e">
        <f>+G214/$G$217</f>
        <v>#DIV/0!</v>
      </c>
      <c r="J214" s="251" t="e">
        <f>+H214*$G$222</f>
        <v>#DIV/0!</v>
      </c>
      <c r="K214" s="251"/>
      <c r="L214" s="251"/>
      <c r="M214" s="251"/>
      <c r="N214" s="251"/>
      <c r="O214" s="251"/>
      <c r="P214" s="251"/>
      <c r="Q214" s="251"/>
    </row>
    <row r="215" spans="5:21" hidden="1" x14ac:dyDescent="0.2">
      <c r="E215" s="184" t="str">
        <f>+'DATOS PARA DEPURAR'!B348</f>
        <v>Otros</v>
      </c>
      <c r="G215" s="184">
        <f>+'DATOS PARA DEPURAR'!E348</f>
        <v>0</v>
      </c>
      <c r="H215" s="781" t="e">
        <f>+G215/$G$217</f>
        <v>#DIV/0!</v>
      </c>
      <c r="J215" s="251" t="e">
        <f>+H215*$G$222</f>
        <v>#DIV/0!</v>
      </c>
      <c r="K215" s="251"/>
      <c r="L215" s="251"/>
      <c r="M215" s="251"/>
      <c r="N215" s="251"/>
      <c r="O215" s="251"/>
      <c r="P215" s="251"/>
      <c r="Q215" s="251"/>
    </row>
    <row r="216" spans="5:21" hidden="1" x14ac:dyDescent="0.2">
      <c r="E216" s="184" t="str">
        <f>+'DATOS PARA DEPURAR'!B349</f>
        <v>Las donaciones efectuadas a entidades sin ánimo de lucro que hayan sido calificadas en el régimen especial del impuesto sobre la renta y complementarios y a las entidades no contribuyentes de que tratan los artículos 22 y 23 del Estatuto Tributario</v>
      </c>
      <c r="G216" s="184">
        <f>+'DATOS PARA DEPURAR'!E349</f>
        <v>0</v>
      </c>
      <c r="H216" s="781" t="e">
        <f>+G216/$G$217</f>
        <v>#DIV/0!</v>
      </c>
      <c r="J216" s="251" t="e">
        <f>+H216*$G$222</f>
        <v>#DIV/0!</v>
      </c>
      <c r="K216" s="251"/>
      <c r="L216" s="251"/>
      <c r="M216" s="251"/>
      <c r="N216" s="251"/>
      <c r="O216" s="251"/>
      <c r="P216" s="251"/>
      <c r="Q216" s="251"/>
    </row>
    <row r="217" spans="5:21" hidden="1" x14ac:dyDescent="0.2">
      <c r="E217" s="778" t="s">
        <v>694</v>
      </c>
      <c r="G217" s="298">
        <f>SUM(G212:G216)</f>
        <v>0</v>
      </c>
    </row>
    <row r="218" spans="5:21" ht="51" hidden="1" x14ac:dyDescent="0.2">
      <c r="E218" s="779" t="s">
        <v>695</v>
      </c>
      <c r="G218" s="299">
        <f>+G209-G217</f>
        <v>0</v>
      </c>
      <c r="R218" s="470"/>
      <c r="S218" s="470"/>
      <c r="T218" s="470"/>
      <c r="U218" s="470"/>
    </row>
    <row r="219" spans="5:21" hidden="1" x14ac:dyDescent="0.2">
      <c r="J219" s="470"/>
      <c r="K219" s="470"/>
      <c r="L219" s="470"/>
      <c r="M219" s="470"/>
      <c r="N219" s="470"/>
      <c r="O219" s="470"/>
      <c r="P219" s="470"/>
      <c r="Q219" s="470"/>
      <c r="R219" s="470"/>
      <c r="S219" s="470"/>
      <c r="T219" s="470"/>
      <c r="U219" s="470"/>
    </row>
    <row r="220" spans="5:21" ht="13.5" hidden="1" thickBot="1" x14ac:dyDescent="0.25">
      <c r="E220" s="778" t="s">
        <v>696</v>
      </c>
      <c r="G220" s="251">
        <f>+S27</f>
        <v>0</v>
      </c>
      <c r="J220" s="470"/>
      <c r="K220" s="470"/>
      <c r="L220" s="470"/>
      <c r="M220" s="470"/>
      <c r="N220" s="470"/>
      <c r="O220" s="470"/>
      <c r="P220" s="470"/>
      <c r="Q220" s="470"/>
      <c r="R220" s="470"/>
      <c r="S220" s="470"/>
      <c r="T220" s="470"/>
      <c r="U220" s="470"/>
    </row>
    <row r="221" spans="5:21" hidden="1" x14ac:dyDescent="0.2">
      <c r="J221" s="471" t="s">
        <v>8</v>
      </c>
      <c r="K221" s="810"/>
      <c r="L221" s="810"/>
      <c r="M221" s="810"/>
      <c r="N221" s="810"/>
      <c r="O221" s="810"/>
      <c r="P221" s="810"/>
      <c r="Q221" s="810"/>
      <c r="R221" s="472"/>
      <c r="S221" s="850"/>
      <c r="T221" s="850"/>
      <c r="U221" s="470"/>
    </row>
    <row r="222" spans="5:21" ht="13.5" hidden="1" thickBot="1" x14ac:dyDescent="0.25">
      <c r="E222" s="778" t="s">
        <v>697</v>
      </c>
      <c r="G222" s="251">
        <f>G220*75%</f>
        <v>0</v>
      </c>
      <c r="J222" s="973">
        <f>+'FORMULARIO 2023 RENTA'!G72/V390</f>
        <v>0</v>
      </c>
      <c r="K222" s="974"/>
      <c r="L222" s="974"/>
      <c r="M222" s="974"/>
      <c r="N222" s="974"/>
      <c r="O222" s="974"/>
      <c r="P222" s="974"/>
      <c r="Q222" s="974"/>
      <c r="R222" s="975"/>
      <c r="S222" s="850"/>
      <c r="T222" s="850"/>
      <c r="U222" s="470"/>
    </row>
    <row r="223" spans="5:21" ht="13.5" hidden="1" thickBot="1" x14ac:dyDescent="0.25">
      <c r="J223" s="470"/>
      <c r="K223" s="470"/>
      <c r="L223" s="470"/>
      <c r="M223" s="470"/>
      <c r="N223" s="470"/>
      <c r="O223" s="470"/>
      <c r="P223" s="470"/>
      <c r="Q223" s="470"/>
      <c r="R223" s="470"/>
      <c r="S223" s="470"/>
      <c r="T223" s="470"/>
      <c r="U223" s="470"/>
    </row>
    <row r="224" spans="5:21" hidden="1" x14ac:dyDescent="0.2">
      <c r="J224" s="475">
        <v>0</v>
      </c>
      <c r="K224" s="811"/>
      <c r="L224" s="811"/>
      <c r="M224" s="811"/>
      <c r="N224" s="811"/>
      <c r="O224" s="811"/>
      <c r="P224" s="811"/>
      <c r="Q224" s="811"/>
      <c r="R224" s="476">
        <v>1090</v>
      </c>
      <c r="S224" s="470"/>
      <c r="T224" s="470"/>
      <c r="U224" s="470"/>
    </row>
    <row r="225" spans="10:40" hidden="1" x14ac:dyDescent="0.2">
      <c r="J225" s="478" t="s">
        <v>169</v>
      </c>
      <c r="K225" s="812"/>
      <c r="L225" s="812"/>
      <c r="M225" s="812"/>
      <c r="N225" s="812"/>
      <c r="O225" s="812"/>
      <c r="P225" s="812"/>
      <c r="Q225" s="812"/>
      <c r="R225" s="479">
        <v>1700</v>
      </c>
      <c r="S225" s="470"/>
      <c r="T225" s="470"/>
      <c r="U225" s="470"/>
    </row>
    <row r="226" spans="10:40" hidden="1" x14ac:dyDescent="0.2">
      <c r="J226" s="478" t="s">
        <v>170</v>
      </c>
      <c r="K226" s="812"/>
      <c r="L226" s="812"/>
      <c r="M226" s="812"/>
      <c r="N226" s="812"/>
      <c r="O226" s="812"/>
      <c r="P226" s="812"/>
      <c r="Q226" s="812"/>
      <c r="R226" s="479">
        <v>4100</v>
      </c>
      <c r="S226" s="470"/>
      <c r="T226" s="470"/>
      <c r="U226" s="470"/>
    </row>
    <row r="227" spans="10:40" ht="13.5" hidden="1" thickBot="1" x14ac:dyDescent="0.25">
      <c r="J227" s="481" t="s">
        <v>171</v>
      </c>
      <c r="K227" s="813"/>
      <c r="L227" s="813"/>
      <c r="M227" s="813"/>
      <c r="N227" s="813"/>
      <c r="O227" s="813"/>
      <c r="P227" s="813"/>
      <c r="Q227" s="813"/>
      <c r="R227" s="482"/>
      <c r="S227" s="470"/>
      <c r="T227" s="470"/>
      <c r="U227" s="470"/>
    </row>
    <row r="228" spans="10:40" hidden="1" x14ac:dyDescent="0.2">
      <c r="J228" s="484"/>
      <c r="K228" s="484"/>
      <c r="L228" s="484"/>
      <c r="M228" s="484"/>
      <c r="N228" s="484"/>
      <c r="O228" s="484"/>
      <c r="P228" s="484"/>
      <c r="Q228" s="484"/>
      <c r="R228" s="470"/>
      <c r="S228" s="470"/>
      <c r="T228" s="470"/>
      <c r="U228" s="470"/>
    </row>
    <row r="229" spans="10:40" hidden="1" x14ac:dyDescent="0.2">
      <c r="J229" s="484"/>
      <c r="K229" s="484"/>
      <c r="L229" s="484"/>
      <c r="M229" s="484"/>
      <c r="N229" s="484"/>
      <c r="O229" s="484"/>
      <c r="P229" s="484"/>
      <c r="Q229" s="484"/>
      <c r="R229" s="470"/>
      <c r="S229" s="470"/>
      <c r="T229" s="470"/>
      <c r="U229" s="470"/>
    </row>
    <row r="230" spans="10:40" hidden="1" x14ac:dyDescent="0.2">
      <c r="J230" s="470"/>
      <c r="K230" s="470"/>
      <c r="L230" s="470"/>
      <c r="M230" s="470"/>
      <c r="N230" s="470"/>
      <c r="O230" s="470"/>
      <c r="P230" s="470"/>
      <c r="Q230" s="470"/>
      <c r="R230" s="470"/>
      <c r="S230" s="470"/>
      <c r="T230" s="470"/>
      <c r="U230" s="470"/>
    </row>
    <row r="231" spans="10:40" hidden="1" x14ac:dyDescent="0.2">
      <c r="J231" s="470"/>
      <c r="K231" s="470"/>
      <c r="L231" s="470"/>
      <c r="M231" s="470"/>
      <c r="N231" s="470"/>
      <c r="O231" s="470"/>
      <c r="P231" s="470"/>
      <c r="Q231" s="470"/>
      <c r="R231" s="470"/>
      <c r="S231" s="470"/>
      <c r="T231" s="470"/>
      <c r="U231" s="470"/>
    </row>
    <row r="232" spans="10:40" hidden="1" x14ac:dyDescent="0.2">
      <c r="J232" s="470"/>
      <c r="K232" s="470"/>
      <c r="L232" s="470"/>
      <c r="M232" s="470"/>
      <c r="N232" s="470"/>
      <c r="O232" s="470"/>
      <c r="P232" s="470"/>
      <c r="Q232" s="470"/>
      <c r="R232" s="470"/>
      <c r="S232" s="470"/>
      <c r="T232" s="470"/>
      <c r="U232" s="470"/>
    </row>
    <row r="233" spans="10:40" hidden="1" x14ac:dyDescent="0.2">
      <c r="J233" s="470" t="s">
        <v>399</v>
      </c>
      <c r="K233" s="470"/>
      <c r="L233" s="470"/>
      <c r="M233" s="470"/>
      <c r="N233" s="470"/>
      <c r="O233" s="470"/>
      <c r="P233" s="470"/>
      <c r="Q233" s="470"/>
      <c r="U233" s="470">
        <f>IF('DATOS PARA DEPURAR'!E350&lt;'FORMULARIO 2023 RENTA'!U29,'DATOS PARA DEPURAR'!E350,'FORMULARIO 2023 RENTA'!U29)</f>
        <v>0</v>
      </c>
    </row>
    <row r="234" spans="10:40" hidden="1" x14ac:dyDescent="0.2">
      <c r="J234" s="470" t="s">
        <v>400</v>
      </c>
      <c r="K234" s="470"/>
      <c r="L234" s="470"/>
      <c r="M234" s="470"/>
      <c r="N234" s="470"/>
      <c r="O234" s="470"/>
      <c r="P234" s="470"/>
      <c r="Q234" s="470"/>
      <c r="U234" s="470">
        <f>IF(V399&gt;0,V399*0.75,0)</f>
        <v>0</v>
      </c>
    </row>
    <row r="235" spans="10:40" hidden="1" x14ac:dyDescent="0.2">
      <c r="J235" s="470" t="s">
        <v>401</v>
      </c>
      <c r="K235" s="470"/>
      <c r="L235" s="470"/>
      <c r="M235" s="470"/>
      <c r="N235" s="470"/>
      <c r="O235" s="470"/>
      <c r="P235" s="470"/>
      <c r="Q235" s="470"/>
      <c r="U235" s="470">
        <f>IF(U233&lt;U234,U233,0)</f>
        <v>0</v>
      </c>
    </row>
    <row r="236" spans="10:40" hidden="1" x14ac:dyDescent="0.2"/>
    <row r="237" spans="10:40" hidden="1" x14ac:dyDescent="0.2">
      <c r="AA237" s="570" t="s">
        <v>396</v>
      </c>
      <c r="AB237" s="570"/>
      <c r="AC237" s="570"/>
      <c r="AD237" s="570"/>
      <c r="AE237" s="570"/>
      <c r="AF237" s="570"/>
      <c r="AG237" s="570"/>
      <c r="AH237" s="570"/>
      <c r="AI237" s="570"/>
      <c r="AJ237" s="570"/>
      <c r="AK237" s="570"/>
      <c r="AL237" s="570"/>
      <c r="AM237" s="570"/>
      <c r="AN237" s="570"/>
    </row>
    <row r="238" spans="10:40" hidden="1" x14ac:dyDescent="0.2">
      <c r="AA238" s="570" t="s">
        <v>397</v>
      </c>
      <c r="AB238" s="571">
        <f>+S37</f>
        <v>240922275</v>
      </c>
      <c r="AC238" s="570"/>
      <c r="AD238" s="572">
        <f>MIN(AB238:AB239)</f>
        <v>240922275</v>
      </c>
      <c r="AE238" s="570"/>
      <c r="AF238" s="570"/>
      <c r="AG238" s="570"/>
      <c r="AH238" s="570"/>
      <c r="AI238" s="570"/>
      <c r="AJ238" s="570"/>
      <c r="AK238" s="570"/>
      <c r="AL238" s="571">
        <f>IF(S37&gt;(0),S37*5%*'DATOS PARA DEPURAR'!E11,0)</f>
        <v>0</v>
      </c>
      <c r="AM238" s="572"/>
      <c r="AN238" s="572">
        <f>MIN(AL238:AL239)</f>
        <v>0</v>
      </c>
    </row>
    <row r="239" spans="10:40" hidden="1" x14ac:dyDescent="0.2">
      <c r="AA239" s="570" t="s">
        <v>24</v>
      </c>
      <c r="AB239" s="573">
        <f>+S37</f>
        <v>240922275</v>
      </c>
      <c r="AC239" s="570"/>
      <c r="AD239" s="570"/>
      <c r="AE239" s="570"/>
      <c r="AF239" s="570"/>
      <c r="AG239" s="570"/>
      <c r="AH239" s="570"/>
      <c r="AI239" s="570"/>
      <c r="AJ239" s="570"/>
      <c r="AK239" s="570"/>
      <c r="AL239" s="573">
        <f>+AB239</f>
        <v>240922275</v>
      </c>
      <c r="AM239" s="570"/>
      <c r="AN239" s="572">
        <f>MIN(AL241:AL243)</f>
        <v>0</v>
      </c>
    </row>
    <row r="240" spans="10:40" hidden="1" x14ac:dyDescent="0.2">
      <c r="Z240" s="567">
        <f>+G6+J6+N6+S6+J26+J39</f>
        <v>3417340518</v>
      </c>
      <c r="AA240" s="570" t="s">
        <v>398</v>
      </c>
      <c r="AB240" s="574">
        <f>IF((G6+J6+N6+S6+J26+J39)&gt;0,(G6+J6+N6+S6+J26+J39)*0.5%)</f>
        <v>17086702.59</v>
      </c>
      <c r="AC240" s="570"/>
      <c r="AD240" s="572">
        <f>MIN(AB240:AB243)</f>
        <v>0</v>
      </c>
      <c r="AE240" s="570"/>
      <c r="AF240" s="570"/>
      <c r="AG240" s="570"/>
      <c r="AH240" s="570"/>
      <c r="AI240" s="570"/>
      <c r="AJ240" s="570"/>
      <c r="AK240" s="570"/>
      <c r="AL240" s="571">
        <f>IF(S37=0,Z240*0.5%*'DATOS PARA DEPURAR'!E11,0)</f>
        <v>0</v>
      </c>
      <c r="AM240" s="570">
        <f>MIN(X240:X242)</f>
        <v>0</v>
      </c>
      <c r="AN240" s="572">
        <f>IF(AL240&gt;AN239,AL240,AN239)</f>
        <v>0</v>
      </c>
    </row>
    <row r="241" spans="22:40" hidden="1" x14ac:dyDescent="0.2">
      <c r="AA241" s="570" t="s">
        <v>399</v>
      </c>
      <c r="AB241" s="574">
        <f>IF((G6+J6+N6+S6+J26+J39)&gt;0,(G6+J6+N6+S6+J26+J39)*5%)</f>
        <v>170867025.90000001</v>
      </c>
      <c r="AC241" s="570"/>
      <c r="AD241" s="570"/>
      <c r="AE241" s="570"/>
      <c r="AF241" s="570"/>
      <c r="AG241" s="570"/>
      <c r="AH241" s="570"/>
      <c r="AI241" s="570"/>
      <c r="AJ241" s="570"/>
      <c r="AK241" s="570"/>
      <c r="AL241" s="571">
        <f>IF(S37=0,Z240*5%,0)</f>
        <v>0</v>
      </c>
      <c r="AM241" s="570"/>
      <c r="AN241" s="570"/>
    </row>
    <row r="242" spans="22:40" hidden="1" x14ac:dyDescent="0.2">
      <c r="V242" s="184">
        <f>IF((J32)&gt;0,('DATOS PARA DEPURAR'!E225),0)</f>
        <v>0</v>
      </c>
      <c r="AA242" s="570" t="s">
        <v>400</v>
      </c>
      <c r="AB242" s="570">
        <f>IF(U79=0,AD242*2,0)</f>
        <v>0</v>
      </c>
      <c r="AC242" s="570"/>
      <c r="AD242" s="573">
        <f>IF((S38+S39+S40-S37-S41)&gt;0,S38+S39+S40-S37-S41,0)</f>
        <v>0</v>
      </c>
      <c r="AE242" s="570"/>
      <c r="AF242" s="570"/>
      <c r="AG242" s="570"/>
      <c r="AH242" s="570"/>
      <c r="AI242" s="570"/>
      <c r="AJ242" s="570"/>
      <c r="AK242" s="570"/>
      <c r="AL242" s="571" t="b">
        <f>IF(S37=0,IF(Z240&gt;0,AM242*2,0))</f>
        <v>0</v>
      </c>
      <c r="AM242" s="571"/>
      <c r="AN242" s="571"/>
    </row>
    <row r="243" spans="22:40" hidden="1" x14ac:dyDescent="0.2">
      <c r="AA243" s="570" t="s">
        <v>401</v>
      </c>
      <c r="AB243" s="574">
        <f>2500*'DATOS PARA DEPURAR'!C24</f>
        <v>106030000</v>
      </c>
      <c r="AC243" s="570"/>
      <c r="AD243" s="570"/>
      <c r="AE243" s="570"/>
      <c r="AF243" s="570"/>
      <c r="AG243" s="570"/>
      <c r="AH243" s="570"/>
      <c r="AI243" s="570"/>
      <c r="AJ243" s="570"/>
      <c r="AK243" s="570"/>
      <c r="AL243" s="571" t="b">
        <f>IF(S37=0,IF(Z240&gt;0,2500*'DATOS PARA DEPURAR'!C24,0))</f>
        <v>0</v>
      </c>
      <c r="AM243" s="571"/>
      <c r="AN243" s="571">
        <f>MIN(AL245:AL247)</f>
        <v>0</v>
      </c>
    </row>
    <row r="244" spans="22:40" hidden="1" x14ac:dyDescent="0.2">
      <c r="AA244" s="575" t="s">
        <v>381</v>
      </c>
      <c r="AB244" s="576"/>
      <c r="AC244" s="577"/>
      <c r="AD244" s="577"/>
      <c r="AE244" s="577"/>
      <c r="AF244" s="577"/>
      <c r="AG244" s="577"/>
      <c r="AH244" s="577"/>
      <c r="AI244" s="577"/>
      <c r="AJ244" s="577"/>
      <c r="AK244" s="577"/>
      <c r="AL244" s="578" t="b">
        <f>IF(S37=0,IF((Z240)&lt;0,'DATOS PARA DEPURAR'!E20*1%*'DATOS PARA DEPURAR'!E11,0))</f>
        <v>0</v>
      </c>
      <c r="AM244" s="578"/>
      <c r="AN244" s="578" t="b">
        <f>IF(AL244&gt;AN243,AL244,AN243)</f>
        <v>0</v>
      </c>
    </row>
    <row r="245" spans="22:40" hidden="1" x14ac:dyDescent="0.2">
      <c r="AA245" s="575" t="s">
        <v>399</v>
      </c>
      <c r="AB245" s="577"/>
      <c r="AC245" s="577"/>
      <c r="AD245" s="577"/>
      <c r="AE245" s="577"/>
      <c r="AF245" s="577"/>
      <c r="AG245" s="577"/>
      <c r="AH245" s="577"/>
      <c r="AI245" s="577"/>
      <c r="AJ245" s="577"/>
      <c r="AK245" s="577"/>
      <c r="AL245" s="578" t="b">
        <f>IF(S37=0,IF(Z240=0,'DATOS PARA DEPURAR'!E20*10%,0))</f>
        <v>0</v>
      </c>
      <c r="AM245" s="578"/>
      <c r="AN245" s="578"/>
    </row>
    <row r="246" spans="22:40" hidden="1" x14ac:dyDescent="0.2">
      <c r="V246" s="247"/>
      <c r="AA246" s="575" t="s">
        <v>400</v>
      </c>
      <c r="AB246" s="577"/>
      <c r="AC246" s="577"/>
      <c r="AD246" s="577"/>
      <c r="AE246" s="577"/>
      <c r="AF246" s="577"/>
      <c r="AG246" s="577"/>
      <c r="AH246" s="577"/>
      <c r="AI246" s="577"/>
      <c r="AJ246" s="577"/>
      <c r="AK246" s="577"/>
      <c r="AL246" s="578" t="b">
        <f>IF(S37=0,IF(Z240=0,AM246*2,0))</f>
        <v>0</v>
      </c>
      <c r="AM246" s="578">
        <f>IF((U80+U81+U82-U79-U83-U85)&gt;0,U80+U81+U82-U79-U83-U85,0)</f>
        <v>0</v>
      </c>
      <c r="AN246" s="578"/>
    </row>
    <row r="247" spans="22:40" hidden="1" x14ac:dyDescent="0.2">
      <c r="V247" s="247"/>
      <c r="W247" s="247" t="s">
        <v>318</v>
      </c>
      <c r="X247" s="247" t="s">
        <v>319</v>
      </c>
      <c r="AA247" s="575" t="s">
        <v>401</v>
      </c>
      <c r="AB247" s="577"/>
      <c r="AC247" s="577"/>
      <c r="AD247" s="577"/>
      <c r="AE247" s="577"/>
      <c r="AF247" s="577"/>
      <c r="AG247" s="577"/>
      <c r="AH247" s="577"/>
      <c r="AI247" s="577"/>
      <c r="AJ247" s="577"/>
      <c r="AK247" s="577"/>
      <c r="AL247" s="578" t="b">
        <f>IF(S37=0,IF(Z240=0,2500*'DATOS PARA DEPURAR'!C24,0))</f>
        <v>0</v>
      </c>
      <c r="AM247" s="578"/>
      <c r="AN247" s="578"/>
    </row>
    <row r="248" spans="22:40" hidden="1" x14ac:dyDescent="0.2">
      <c r="V248" s="247"/>
      <c r="W248" s="184">
        <f>IF(('DATOS PARA DEPURAR'!D62)="S",'DATOS PARA DEPURAR'!E62,0)</f>
        <v>0</v>
      </c>
      <c r="X248" s="184">
        <f>IF(('DATOS PARA DEPURAR'!D62)="N",'DATOS PARA DEPURAR'!E62,0)</f>
        <v>100000000</v>
      </c>
      <c r="AA248" s="577"/>
      <c r="AB248" s="577"/>
      <c r="AC248" s="577"/>
      <c r="AD248" s="577"/>
      <c r="AE248" s="577"/>
      <c r="AF248" s="577"/>
      <c r="AG248" s="577"/>
      <c r="AH248" s="577"/>
      <c r="AI248" s="577"/>
      <c r="AJ248" s="577"/>
      <c r="AK248" s="577"/>
      <c r="AL248" s="579" t="s">
        <v>409</v>
      </c>
      <c r="AM248" s="579">
        <f>10*'DATOS PARA DEPURAR'!E25</f>
        <v>470650</v>
      </c>
      <c r="AN248" s="580">
        <f>+AM248</f>
        <v>470650</v>
      </c>
    </row>
    <row r="249" spans="22:40" hidden="1" x14ac:dyDescent="0.2">
      <c r="V249" s="247"/>
      <c r="W249" s="184">
        <f>IF(('DATOS PARA DEPURAR'!D64)="S",'DATOS PARA DEPURAR'!E64,0)</f>
        <v>0</v>
      </c>
      <c r="X249" s="184">
        <f>IF(('DATOS PARA DEPURAR'!D64)="N",'DATOS PARA DEPURAR'!E64,0)</f>
        <v>100000000</v>
      </c>
      <c r="AA249" s="577"/>
      <c r="AB249" s="577"/>
      <c r="AC249" s="577"/>
      <c r="AD249" s="577"/>
      <c r="AE249" s="577"/>
      <c r="AF249" s="577"/>
      <c r="AG249" s="577"/>
      <c r="AH249" s="577"/>
      <c r="AI249" s="577"/>
      <c r="AJ249" s="577"/>
      <c r="AK249" s="577"/>
      <c r="AL249" s="577"/>
      <c r="AM249" s="577"/>
      <c r="AN249" s="578">
        <f>MAX(AN238:AN248)</f>
        <v>470650</v>
      </c>
    </row>
    <row r="250" spans="22:40" hidden="1" x14ac:dyDescent="0.2">
      <c r="V250" s="247">
        <f>IF(('DATOS PARA DEPURAR'!E240)&lt;=W253,('DATOS PARA DEPURAR'!E240),W253)</f>
        <v>0</v>
      </c>
      <c r="W250" s="247" t="s">
        <v>352</v>
      </c>
      <c r="AA250" s="577"/>
      <c r="AB250" s="577"/>
      <c r="AC250" s="577"/>
      <c r="AD250" s="577"/>
      <c r="AE250" s="577"/>
      <c r="AF250" s="577"/>
      <c r="AG250" s="577"/>
      <c r="AH250" s="577"/>
      <c r="AI250" s="577"/>
      <c r="AJ250" s="577"/>
      <c r="AK250" s="577"/>
      <c r="AL250" s="577"/>
      <c r="AM250" s="577"/>
      <c r="AN250" s="577">
        <f>IF('DATOS PARA DEPURAR'!C11="EXTEMPORANEA",'FORMULARIO 2023 RENTA'!AN249,0)</f>
        <v>0</v>
      </c>
    </row>
    <row r="251" spans="22:40" hidden="1" x14ac:dyDescent="0.2">
      <c r="V251" s="247"/>
      <c r="W251" s="248">
        <f>2300*'DATOS PARA DEPURAR'!C24</f>
        <v>97547600</v>
      </c>
      <c r="X251" s="247" t="s">
        <v>353</v>
      </c>
      <c r="AA251" s="247" t="s">
        <v>415</v>
      </c>
      <c r="AB251" s="275" t="s">
        <v>441</v>
      </c>
      <c r="AD251" s="184">
        <f>IF(S38+S39+S40-S37-S41&gt;0,S38+S39+S40-S37-S41,0)</f>
        <v>0</v>
      </c>
      <c r="AK251" s="416" t="s">
        <v>440</v>
      </c>
    </row>
    <row r="252" spans="22:40" hidden="1" x14ac:dyDescent="0.2">
      <c r="V252" s="247"/>
      <c r="W252" s="248">
        <f>+J27*60%</f>
        <v>0</v>
      </c>
      <c r="X252" s="247" t="s">
        <v>354</v>
      </c>
      <c r="AB252" s="247">
        <f>IF(AD251&gt;0,AD251,0)</f>
        <v>0</v>
      </c>
      <c r="AK252" s="184">
        <f>IF(S37+S41-S38-S39-S40&gt;0,S37+S41-S38-S39-S40,0)</f>
        <v>248992847.25</v>
      </c>
    </row>
    <row r="253" spans="22:40" hidden="1" x14ac:dyDescent="0.2">
      <c r="V253" s="247"/>
      <c r="W253" s="251">
        <f>MIN(W251:W252)</f>
        <v>0</v>
      </c>
      <c r="AA253" s="275" t="s">
        <v>416</v>
      </c>
      <c r="AB253" s="184">
        <f>IF((('DATOS PARA DEPURAR'!C14)*(-1)-AB252)&gt;0,(('DATOS PARA DEPURAR'!C14)*(-1)-AB252)*10%,0)</f>
        <v>46500</v>
      </c>
      <c r="AK253" s="184">
        <f>IF((AK252-'DATOS PARA DEPURAR'!C14)&gt;0,(AK252-'DATOS PARA DEPURAR'!C14)*10%,0)</f>
        <v>24945784.725000001</v>
      </c>
    </row>
    <row r="254" spans="22:40" hidden="1" x14ac:dyDescent="0.2">
      <c r="V254" s="247"/>
      <c r="AB254" s="299">
        <f>+AN248</f>
        <v>470650</v>
      </c>
      <c r="AK254" s="299">
        <f>+AN248</f>
        <v>470650</v>
      </c>
    </row>
    <row r="255" spans="22:40" hidden="1" x14ac:dyDescent="0.2">
      <c r="V255" s="254"/>
      <c r="W255" s="323">
        <f>384*'DATOS PARA DEPURAR'!C24</f>
        <v>16286208</v>
      </c>
      <c r="AB255" s="184">
        <f>MAX(AB253:AB254)</f>
        <v>470650</v>
      </c>
      <c r="AK255" s="363">
        <f>MAX(AK253:AK254)</f>
        <v>24945784.725000001</v>
      </c>
      <c r="AL255" s="184">
        <f>IF('DATOS PARA DEPURAR'!C13="S",'FORMULARIO 2023 RENTA'!AL259,0)</f>
        <v>0</v>
      </c>
    </row>
    <row r="256" spans="22:40" hidden="1" x14ac:dyDescent="0.2">
      <c r="V256" s="254"/>
      <c r="W256" s="253">
        <f>IF('DATOS PARA DEPURAR'!E247="S",(G51+X256)*10%,0)</f>
        <v>0</v>
      </c>
      <c r="X256" s="184">
        <f>IF('DATOS PARA DEPURAR'!E106="S",SUM('DATOS PARA DEPURAR'!E52:E55),0)</f>
        <v>0</v>
      </c>
      <c r="AA256" s="275" t="s">
        <v>417</v>
      </c>
      <c r="AB256" s="184">
        <f>IF('DATOS PARA DEPURAR'!E14="S",'FORMULARIO 2023 RENTA'!AB253*2,0)</f>
        <v>0</v>
      </c>
      <c r="AK256" s="184">
        <f>IF('DATOS PARA DEPURAR'!E14="S",'FORMULARIO 2023 RENTA'!AK253*2,0)</f>
        <v>0</v>
      </c>
    </row>
    <row r="257" spans="22:38" ht="13.5" hidden="1" thickBot="1" x14ac:dyDescent="0.25">
      <c r="V257" s="254"/>
      <c r="W257" s="324">
        <f>MIN(W255:W256)</f>
        <v>0</v>
      </c>
      <c r="AB257" s="299">
        <f>+AN248</f>
        <v>470650</v>
      </c>
      <c r="AK257" s="377">
        <f>+AN248</f>
        <v>470650</v>
      </c>
    </row>
    <row r="258" spans="22:38" hidden="1" x14ac:dyDescent="0.2">
      <c r="V258" s="371">
        <f>+W267</f>
        <v>51442000</v>
      </c>
      <c r="W258" s="256" t="s">
        <v>8</v>
      </c>
      <c r="X258" s="257"/>
      <c r="Z258" s="258" t="s">
        <v>10</v>
      </c>
      <c r="AB258" s="184">
        <f>MAX(AB256:AB257)</f>
        <v>470650</v>
      </c>
      <c r="AK258" s="184">
        <f>MAX(AK256:AK257)</f>
        <v>470650</v>
      </c>
    </row>
    <row r="259" spans="22:38" ht="15.75" hidden="1" thickBot="1" x14ac:dyDescent="0.3">
      <c r="V259" s="254">
        <f>_xlfn.CEILING.PRECISE(J119,1000)</f>
        <v>2801000</v>
      </c>
      <c r="W259" s="1292">
        <f>+G81/Z259</f>
        <v>5387.6218758841833</v>
      </c>
      <c r="X259" s="1293"/>
      <c r="Z259" s="259">
        <f>+'DATOS PARA DEPURAR'!C24</f>
        <v>42412</v>
      </c>
      <c r="AD259" s="184">
        <f>IF(AB256&gt;0,AB258,AB255)</f>
        <v>470650</v>
      </c>
      <c r="AL259" s="184">
        <f>IF(AK256&gt;0,AK258,AK255)</f>
        <v>24945784.725000001</v>
      </c>
    </row>
    <row r="260" spans="22:38" ht="13.5" hidden="1" thickBot="1" x14ac:dyDescent="0.25">
      <c r="AA260" s="247" t="s">
        <v>428</v>
      </c>
      <c r="AK260" s="184">
        <f>IF(AD251&gt;0,AD259,AL259)</f>
        <v>24945784.725000001</v>
      </c>
    </row>
    <row r="261" spans="22:38" hidden="1" x14ac:dyDescent="0.2">
      <c r="W261" s="262">
        <v>0</v>
      </c>
      <c r="X261" s="263">
        <v>1090</v>
      </c>
      <c r="Z261" s="264" t="b">
        <f>IF(W259&lt;=1090,0)</f>
        <v>0</v>
      </c>
      <c r="AA261" s="184">
        <f>+'DATOS PARA DEPURAR'!E17</f>
        <v>44301</v>
      </c>
      <c r="AL261" s="184">
        <f>+AK260/0.1</f>
        <v>249457847.25</v>
      </c>
    </row>
    <row r="262" spans="22:38" ht="15" hidden="1" x14ac:dyDescent="0.25">
      <c r="W262" s="265" t="s">
        <v>169</v>
      </c>
      <c r="X262" s="266">
        <v>1700</v>
      </c>
      <c r="Z262" s="267">
        <f>IF(W259&gt;1090,(IF(W259&lt;=1700,ROUND((((+W259-1090)*19%)*Z259),-3),0)),FALSE)</f>
        <v>0</v>
      </c>
      <c r="AA262" s="184">
        <f>+'DATOS PARA DEPURAR'!C17</f>
        <v>45568</v>
      </c>
      <c r="AL262" s="298">
        <f>+AL261*AA264*5%</f>
        <v>-523861479.22500002</v>
      </c>
    </row>
    <row r="263" spans="22:38" ht="15" hidden="1" x14ac:dyDescent="0.25">
      <c r="W263" s="265" t="s">
        <v>170</v>
      </c>
      <c r="X263" s="266">
        <v>4100</v>
      </c>
      <c r="Z263" s="267">
        <f>IF(W259&gt;1700,IF(W259&lt;=4100,ROUND((((+W259-1700)*28%+116)*Z259),-3),0))</f>
        <v>0</v>
      </c>
      <c r="AA263" s="184">
        <f>+AA261-AA262</f>
        <v>-1267</v>
      </c>
      <c r="AL263" s="390">
        <f>IF(AL262&gt;AL261,AL261,AL262)</f>
        <v>-523861479.22500002</v>
      </c>
    </row>
    <row r="264" spans="22:38" ht="15" hidden="1" customHeight="1" thickBot="1" x14ac:dyDescent="0.3">
      <c r="V264" s="184">
        <f>SUM(V260:V263)</f>
        <v>0</v>
      </c>
      <c r="W264" s="270" t="s">
        <v>171</v>
      </c>
      <c r="X264" s="271"/>
      <c r="Z264" s="272">
        <f>IF(W259&gt;4100,ROUND((((+W259-4100)*33%)*Z259)+(788*Z259),-3),0)</f>
        <v>51442000</v>
      </c>
      <c r="AA264" s="184">
        <f>_xlfn.CEILING.PRECISE(AA263/30,1)</f>
        <v>-42</v>
      </c>
    </row>
    <row r="265" spans="22:38" ht="13.5" hidden="1" thickBot="1" x14ac:dyDescent="0.25">
      <c r="V265" s="184">
        <f>IF(V258&gt;V259,V258-V264,IF(V259&gt;V258,V259-V264,0))</f>
        <v>51442000</v>
      </c>
      <c r="AA265" s="247" t="s">
        <v>430</v>
      </c>
      <c r="AB265" s="184">
        <f>+AN250</f>
        <v>0</v>
      </c>
    </row>
    <row r="266" spans="22:38" hidden="1" x14ac:dyDescent="0.2">
      <c r="W266" s="1268" t="s">
        <v>172</v>
      </c>
      <c r="X266" s="1269"/>
      <c r="AA266" s="247" t="s">
        <v>415</v>
      </c>
      <c r="AB266" s="184">
        <f>IF('DATOS PARA DEPURAR'!C13="S",'FORMULARIO 2023 RENTA'!AK260,0)</f>
        <v>0</v>
      </c>
    </row>
    <row r="267" spans="22:38" ht="15.75" hidden="1" thickBot="1" x14ac:dyDescent="0.3">
      <c r="W267" s="1270">
        <f>IF(Z261=0,Z261,IF(Z262&gt;0,Z262,IF(Z263&gt;0,Z263,IF(Z264&gt;0,Z264))))</f>
        <v>51442000</v>
      </c>
      <c r="X267" s="1271"/>
      <c r="AA267" s="416" t="s">
        <v>431</v>
      </c>
      <c r="AB267" s="299">
        <f>IF('DATOS PARA DEPURAR'!C15="S",AL263,0)</f>
        <v>0</v>
      </c>
      <c r="AK267" s="184">
        <f>+'DATOS PARA DEPURAR'!E15</f>
        <v>0</v>
      </c>
    </row>
    <row r="268" spans="22:38" hidden="1" x14ac:dyDescent="0.2">
      <c r="AB268" s="184">
        <f>IF((AB265&lt;=0),AB266+AB267,IF(AB266&lt;=0,AB265,IF(SUM(AB265:AB266)&lt;=0,0,0)))</f>
        <v>0</v>
      </c>
      <c r="AK268" s="184">
        <f>IF(AK260&gt;0,AK267,0)</f>
        <v>0</v>
      </c>
    </row>
    <row r="269" spans="22:38" ht="13.5" hidden="1" thickBot="1" x14ac:dyDescent="0.25"/>
    <row r="270" spans="22:38" hidden="1" x14ac:dyDescent="0.2">
      <c r="W270" s="306" t="s">
        <v>182</v>
      </c>
      <c r="X270" s="307"/>
      <c r="Y270" s="307"/>
      <c r="Z270" s="307"/>
      <c r="AA270" s="308"/>
    </row>
    <row r="271" spans="22:38" hidden="1" x14ac:dyDescent="0.2">
      <c r="V271" s="184">
        <f>IF((W271)&gt;0,W271,0)</f>
        <v>0</v>
      </c>
      <c r="W271" s="309">
        <f>IF((X271*25%)&lt;=(2880*'DATOS PARA DEPURAR'!C24),(X271*25%),(2880*'DATOS PARA DEPURAR'!C24))</f>
        <v>-33793555.125</v>
      </c>
      <c r="X271" s="304">
        <f>G51-'DATOS PARA DEPURAR'!E44+W272-SUM('DATOS PARA DEPURAR'!E293:E298)-'DATOS PARA DEPURAR'!E240-'DATOS PARA DEPURAR'!E241-'DATOS PARA DEPURAR'!E242-'DATOS PARA DEPURAR'!E243-'DATOS PARA DEPURAR'!E245-'DATOS PARA DEPURAR'!E249-'DATOS PARA DEPURAR'!E258-'DATOS PARA DEPURAR'!E257-'DATOS PARA DEPURAR'!E251-'FORMULARIO 2023 RENTA'!G63-'DATOS PARA DEPURAR'!E286</f>
        <v>-135174220.5</v>
      </c>
      <c r="Y271" s="177"/>
      <c r="Z271" s="177"/>
      <c r="AA271" s="310"/>
    </row>
    <row r="272" spans="22:38" hidden="1" x14ac:dyDescent="0.2">
      <c r="W272" s="311">
        <f>IF(('DATOS PARA DEPURAR'!E106)="S",('DATOS PARA DEPURAR'!E52+'DATOS PARA DEPURAR'!E54),0)</f>
        <v>0</v>
      </c>
      <c r="X272" s="177">
        <f>50531/0.25</f>
        <v>202124</v>
      </c>
      <c r="Y272" s="177"/>
      <c r="Z272" s="1391" t="s">
        <v>595</v>
      </c>
      <c r="AA272" s="1392"/>
    </row>
    <row r="273" spans="22:27" hidden="1" x14ac:dyDescent="0.2">
      <c r="W273" s="311">
        <f>IF('DATOS PARA DEPURAR'!D62="N",'DATOS PARA DEPURAR'!E175,0)</f>
        <v>50000000</v>
      </c>
      <c r="X273" s="177">
        <f>+X272/2</f>
        <v>101062</v>
      </c>
      <c r="Y273" s="177"/>
      <c r="Z273" s="304">
        <f>IF((S34)&gt;0,S34,0)</f>
        <v>120801525</v>
      </c>
      <c r="AA273" s="310"/>
    </row>
    <row r="274" spans="22:27" hidden="1" x14ac:dyDescent="0.2">
      <c r="V274" s="184">
        <f>+AB268</f>
        <v>0</v>
      </c>
      <c r="W274" s="311">
        <f>IF('DATOS PARA DEPURAR'!D64="N",'DATOS PARA DEPURAR'!E176,0)</f>
        <v>50000000</v>
      </c>
      <c r="X274" s="177"/>
      <c r="Y274" s="177"/>
      <c r="Z274" s="304">
        <f>IF(((Z273)*('DEPURACION POR IMAS EMPLEADO'!K44)-('DATOS PARA DEPURAR'!E332))&gt;0,(Z273)*('DEPURACION POR IMAS EMPLEADO'!K44)-('DATOS PARA DEPURAR'!E332),0)</f>
        <v>71986143.75</v>
      </c>
      <c r="AA274" s="310"/>
    </row>
    <row r="275" spans="22:27" hidden="1" x14ac:dyDescent="0.2">
      <c r="W275" s="311"/>
      <c r="X275" s="177"/>
      <c r="Y275" s="177"/>
      <c r="Z275" s="177"/>
      <c r="AA275" s="312">
        <f>+Z274</f>
        <v>71986143.75</v>
      </c>
    </row>
    <row r="276" spans="22:27" hidden="1" x14ac:dyDescent="0.2">
      <c r="W276" s="311">
        <v>1</v>
      </c>
      <c r="X276" s="177"/>
      <c r="Y276" s="177"/>
      <c r="Z276" s="304">
        <f>IF((Z278)&gt;0,(Z278+Z273)/(2),0)</f>
        <v>60400763</v>
      </c>
      <c r="AA276" s="310">
        <f>IF((Z276*'DEPURACION POR IMAS EMPLEADO'!K44)-('DATOS PARA DEPURAR'!E332)&gt;0,(Z276*'DEPURACION POR IMAS EMPLEADO'!K44)-('DATOS PARA DEPURAR'!E332),0)</f>
        <v>26685572.25</v>
      </c>
    </row>
    <row r="277" spans="22:27" hidden="1" x14ac:dyDescent="0.2">
      <c r="W277" s="311"/>
      <c r="X277" s="177"/>
      <c r="Y277" s="177"/>
      <c r="Z277" s="304"/>
      <c r="AA277" s="310"/>
    </row>
    <row r="278" spans="22:27" hidden="1" x14ac:dyDescent="0.2">
      <c r="W278" s="311">
        <v>2</v>
      </c>
      <c r="X278" s="177"/>
      <c r="Y278" s="177"/>
      <c r="Z278" s="304">
        <f>+'DATOS PARA DEPURAR'!C21</f>
        <v>1</v>
      </c>
      <c r="AA278" s="312">
        <f>MIN(AA275:AA276)</f>
        <v>26685572.25</v>
      </c>
    </row>
    <row r="279" spans="22:27" hidden="1" x14ac:dyDescent="0.2">
      <c r="W279" s="311">
        <v>3</v>
      </c>
      <c r="X279" s="317">
        <f>+'DATOS PARA DEPURAR'!C25/'DATOS PARA DEPURAR'!C24</f>
        <v>82.25238140149014</v>
      </c>
      <c r="Y279" s="177"/>
      <c r="Z279" s="177">
        <f>LOOKUP(X279,W280:X286,Z280:Z286)</f>
        <v>1</v>
      </c>
      <c r="AA279" s="310">
        <f>IF((AA278)&gt;0,AA278,AA275)</f>
        <v>26685572.25</v>
      </c>
    </row>
    <row r="280" spans="22:27" hidden="1" x14ac:dyDescent="0.2">
      <c r="W280" s="311">
        <v>0</v>
      </c>
      <c r="X280" s="177">
        <f>350-0.01</f>
        <v>349.99</v>
      </c>
      <c r="Y280" s="177"/>
      <c r="Z280" s="305">
        <v>1</v>
      </c>
      <c r="AA280" s="310">
        <f>IF(X279&lt;=X280,Z279,0)</f>
        <v>1</v>
      </c>
    </row>
    <row r="281" spans="22:27" hidden="1" x14ac:dyDescent="0.2">
      <c r="W281" s="311">
        <v>350</v>
      </c>
      <c r="X281" s="177">
        <f>410-0.01</f>
        <v>409.99</v>
      </c>
      <c r="Y281" s="177"/>
      <c r="Z281" s="305">
        <v>0.9</v>
      </c>
      <c r="AA281" s="310"/>
    </row>
    <row r="282" spans="22:27" hidden="1" x14ac:dyDescent="0.2">
      <c r="W282" s="311">
        <v>410</v>
      </c>
      <c r="X282" s="177">
        <f>470-0.01</f>
        <v>469.99</v>
      </c>
      <c r="Y282" s="177"/>
      <c r="Z282" s="305">
        <v>0.8</v>
      </c>
      <c r="AA282" s="310"/>
    </row>
    <row r="283" spans="22:27" hidden="1" x14ac:dyDescent="0.2">
      <c r="W283" s="311">
        <v>470</v>
      </c>
      <c r="X283" s="177">
        <f>530-0.01</f>
        <v>529.99</v>
      </c>
      <c r="Y283" s="177"/>
      <c r="Z283" s="305">
        <v>0.6</v>
      </c>
      <c r="AA283" s="310"/>
    </row>
    <row r="284" spans="22:27" hidden="1" x14ac:dyDescent="0.2">
      <c r="W284" s="311">
        <v>530</v>
      </c>
      <c r="X284" s="177">
        <f>590-0.01</f>
        <v>589.99</v>
      </c>
      <c r="Y284" s="177"/>
      <c r="Z284" s="305">
        <v>0.4</v>
      </c>
      <c r="AA284" s="310"/>
    </row>
    <row r="285" spans="22:27" hidden="1" x14ac:dyDescent="0.2">
      <c r="W285" s="311">
        <v>590</v>
      </c>
      <c r="X285" s="177">
        <f>650-0.01</f>
        <v>649.99</v>
      </c>
      <c r="Y285" s="177"/>
      <c r="Z285" s="305">
        <v>0.2</v>
      </c>
      <c r="AA285" s="310"/>
    </row>
    <row r="286" spans="22:27" ht="13.5" hidden="1" thickBot="1" x14ac:dyDescent="0.25">
      <c r="W286" s="313">
        <v>650</v>
      </c>
      <c r="X286" s="314">
        <v>10000</v>
      </c>
      <c r="Y286" s="314"/>
      <c r="Z286" s="315">
        <v>0.1</v>
      </c>
      <c r="AA286" s="316"/>
    </row>
    <row r="287" spans="22:27" hidden="1" x14ac:dyDescent="0.2"/>
    <row r="288" spans="22:27" ht="15" hidden="1" x14ac:dyDescent="0.25">
      <c r="V288" s="294">
        <v>1547.99</v>
      </c>
      <c r="W288" s="295">
        <v>0</v>
      </c>
    </row>
    <row r="289" spans="21:23" ht="15" hidden="1" x14ac:dyDescent="0.25">
      <c r="U289" s="299"/>
      <c r="V289" s="296">
        <f>+U122-0.01</f>
        <v>1587.99</v>
      </c>
      <c r="W289" s="295">
        <v>1.05</v>
      </c>
    </row>
    <row r="290" spans="21:23" ht="15" hidden="1" x14ac:dyDescent="0.25">
      <c r="V290" s="296">
        <f t="shared" ref="V290:V353" si="10">+U123-0.01</f>
        <v>1628.99</v>
      </c>
      <c r="W290" s="295">
        <v>1.08</v>
      </c>
    </row>
    <row r="291" spans="21:23" ht="15" hidden="1" x14ac:dyDescent="0.25">
      <c r="U291" s="251"/>
      <c r="V291" s="296">
        <f t="shared" si="10"/>
        <v>1669.99</v>
      </c>
      <c r="W291" s="295">
        <v>1.1100000000000001</v>
      </c>
    </row>
    <row r="292" spans="21:23" ht="15" hidden="1" x14ac:dyDescent="0.25">
      <c r="V292" s="296">
        <f t="shared" si="10"/>
        <v>1709.99</v>
      </c>
      <c r="W292" s="295">
        <v>1.1399999999999999</v>
      </c>
    </row>
    <row r="293" spans="21:23" ht="15" hidden="1" x14ac:dyDescent="0.25">
      <c r="V293" s="296">
        <f t="shared" si="10"/>
        <v>1750.99</v>
      </c>
      <c r="W293" s="295">
        <v>1.1599999999999999</v>
      </c>
    </row>
    <row r="294" spans="21:23" ht="15" hidden="1" x14ac:dyDescent="0.25">
      <c r="V294" s="296">
        <f t="shared" si="10"/>
        <v>1791.99</v>
      </c>
      <c r="W294" s="295">
        <v>2.38</v>
      </c>
    </row>
    <row r="295" spans="21:23" ht="15" hidden="1" x14ac:dyDescent="0.25">
      <c r="V295" s="296">
        <f t="shared" si="10"/>
        <v>1832.99</v>
      </c>
      <c r="W295" s="295">
        <v>2.4300000000000002</v>
      </c>
    </row>
    <row r="296" spans="21:23" ht="15" hidden="1" x14ac:dyDescent="0.25">
      <c r="V296" s="296">
        <f t="shared" si="10"/>
        <v>1872.99</v>
      </c>
      <c r="W296" s="295">
        <v>2.4900000000000002</v>
      </c>
    </row>
    <row r="297" spans="21:23" ht="15" hidden="1" x14ac:dyDescent="0.25">
      <c r="V297" s="296">
        <f t="shared" si="10"/>
        <v>1913.99</v>
      </c>
      <c r="W297" s="295">
        <v>4.76</v>
      </c>
    </row>
    <row r="298" spans="21:23" ht="15" hidden="1" x14ac:dyDescent="0.25">
      <c r="V298" s="296">
        <f t="shared" si="10"/>
        <v>1954.99</v>
      </c>
      <c r="W298" s="295">
        <v>4.8600000000000003</v>
      </c>
    </row>
    <row r="299" spans="21:23" ht="15" hidden="1" x14ac:dyDescent="0.25">
      <c r="V299" s="296">
        <f t="shared" si="10"/>
        <v>1995.99</v>
      </c>
      <c r="W299" s="295">
        <v>4.96</v>
      </c>
    </row>
    <row r="300" spans="21:23" ht="15" hidden="1" x14ac:dyDescent="0.25">
      <c r="V300" s="296">
        <f t="shared" si="10"/>
        <v>2035.99</v>
      </c>
      <c r="W300" s="295">
        <v>8.43</v>
      </c>
    </row>
    <row r="301" spans="21:23" ht="15" hidden="1" x14ac:dyDescent="0.25">
      <c r="V301" s="296">
        <f t="shared" si="10"/>
        <v>2117.9899999999998</v>
      </c>
      <c r="W301" s="295">
        <v>8.7100000000000009</v>
      </c>
    </row>
    <row r="302" spans="21:23" ht="15" hidden="1" x14ac:dyDescent="0.25">
      <c r="V302" s="296">
        <f t="shared" si="10"/>
        <v>2198.9899999999998</v>
      </c>
      <c r="W302" s="295">
        <v>13.74</v>
      </c>
    </row>
    <row r="303" spans="21:23" ht="15" hidden="1" x14ac:dyDescent="0.25">
      <c r="V303" s="296">
        <f t="shared" si="10"/>
        <v>2280.9899999999998</v>
      </c>
      <c r="W303" s="295">
        <v>14.26</v>
      </c>
    </row>
    <row r="304" spans="21:23" ht="15" hidden="1" x14ac:dyDescent="0.25">
      <c r="V304" s="296">
        <f t="shared" si="10"/>
        <v>2361.9899999999998</v>
      </c>
      <c r="W304" s="295">
        <v>19.809999999999999</v>
      </c>
    </row>
    <row r="305" spans="22:23" ht="15" hidden="1" x14ac:dyDescent="0.25">
      <c r="V305" s="296">
        <f t="shared" si="10"/>
        <v>2442.9899999999998</v>
      </c>
      <c r="W305" s="295">
        <v>25.7</v>
      </c>
    </row>
    <row r="306" spans="22:23" ht="15" hidden="1" x14ac:dyDescent="0.25">
      <c r="V306" s="296">
        <f t="shared" si="10"/>
        <v>2524.9899999999998</v>
      </c>
      <c r="W306" s="295">
        <v>26.57</v>
      </c>
    </row>
    <row r="307" spans="22:23" ht="15" hidden="1" x14ac:dyDescent="0.25">
      <c r="V307" s="296">
        <f t="shared" si="10"/>
        <v>2605.9899999999998</v>
      </c>
      <c r="W307" s="295">
        <v>35.56</v>
      </c>
    </row>
    <row r="308" spans="22:23" ht="15" hidden="1" x14ac:dyDescent="0.25">
      <c r="V308" s="296">
        <f t="shared" si="10"/>
        <v>2687.99</v>
      </c>
      <c r="W308" s="295">
        <v>45.05</v>
      </c>
    </row>
    <row r="309" spans="22:23" ht="15" hidden="1" x14ac:dyDescent="0.25">
      <c r="V309" s="296">
        <f t="shared" si="10"/>
        <v>2768.99</v>
      </c>
      <c r="W309" s="295">
        <v>46.43</v>
      </c>
    </row>
    <row r="310" spans="22:23" ht="15" hidden="1" x14ac:dyDescent="0.25">
      <c r="V310" s="296">
        <f t="shared" si="10"/>
        <v>2850.99</v>
      </c>
      <c r="W310" s="295">
        <v>55.58</v>
      </c>
    </row>
    <row r="311" spans="22:23" ht="15" hidden="1" x14ac:dyDescent="0.25">
      <c r="V311" s="296">
        <f t="shared" si="10"/>
        <v>2931.99</v>
      </c>
      <c r="W311" s="295">
        <v>60.7</v>
      </c>
    </row>
    <row r="312" spans="22:23" ht="15" hidden="1" x14ac:dyDescent="0.25">
      <c r="V312" s="296">
        <f t="shared" si="10"/>
        <v>3013.99</v>
      </c>
      <c r="W312" s="295">
        <v>66.02</v>
      </c>
    </row>
    <row r="313" spans="22:23" ht="15" hidden="1" x14ac:dyDescent="0.25">
      <c r="V313" s="296">
        <f t="shared" si="10"/>
        <v>3094.99</v>
      </c>
      <c r="W313" s="295">
        <v>71.540000000000006</v>
      </c>
    </row>
    <row r="314" spans="22:23" ht="15" hidden="1" x14ac:dyDescent="0.25">
      <c r="V314" s="296">
        <f t="shared" si="10"/>
        <v>3176.99</v>
      </c>
      <c r="W314" s="295">
        <v>77.239999999999995</v>
      </c>
    </row>
    <row r="315" spans="22:23" ht="15" hidden="1" x14ac:dyDescent="0.25">
      <c r="V315" s="296">
        <f t="shared" si="10"/>
        <v>3257.99</v>
      </c>
      <c r="W315" s="295">
        <v>83.14</v>
      </c>
    </row>
    <row r="316" spans="22:23" ht="15" hidden="1" x14ac:dyDescent="0.25">
      <c r="V316" s="296">
        <f t="shared" si="10"/>
        <v>3338.99</v>
      </c>
      <c r="W316" s="295">
        <v>89.23</v>
      </c>
    </row>
    <row r="317" spans="22:23" ht="15" hidden="1" x14ac:dyDescent="0.25">
      <c r="V317" s="296">
        <f t="shared" si="10"/>
        <v>3420.99</v>
      </c>
      <c r="W317" s="295">
        <v>95.51</v>
      </c>
    </row>
    <row r="318" spans="22:23" ht="15" hidden="1" x14ac:dyDescent="0.25">
      <c r="V318" s="296">
        <f t="shared" si="10"/>
        <v>3501.99</v>
      </c>
      <c r="W318" s="295">
        <v>101.98</v>
      </c>
    </row>
    <row r="319" spans="22:23" ht="15" hidden="1" x14ac:dyDescent="0.25">
      <c r="V319" s="296">
        <f t="shared" si="10"/>
        <v>3583.99</v>
      </c>
      <c r="W319" s="295">
        <v>108.64</v>
      </c>
    </row>
    <row r="320" spans="22:23" ht="15" hidden="1" x14ac:dyDescent="0.25">
      <c r="V320" s="296">
        <f t="shared" si="10"/>
        <v>3664.99</v>
      </c>
      <c r="W320" s="295">
        <v>115.49</v>
      </c>
    </row>
    <row r="321" spans="22:23" ht="15" hidden="1" x14ac:dyDescent="0.25">
      <c r="V321" s="296">
        <f t="shared" si="10"/>
        <v>3746.99</v>
      </c>
      <c r="W321" s="295">
        <v>122.54</v>
      </c>
    </row>
    <row r="322" spans="22:23" ht="15" hidden="1" x14ac:dyDescent="0.25">
      <c r="V322" s="296">
        <f t="shared" si="10"/>
        <v>3827.99</v>
      </c>
      <c r="W322" s="295">
        <v>129.76</v>
      </c>
    </row>
    <row r="323" spans="22:23" ht="15" hidden="1" x14ac:dyDescent="0.25">
      <c r="V323" s="296">
        <f t="shared" si="10"/>
        <v>3909.99</v>
      </c>
      <c r="W323" s="295">
        <v>137.18</v>
      </c>
    </row>
    <row r="324" spans="22:23" ht="15" hidden="1" x14ac:dyDescent="0.25">
      <c r="V324" s="296">
        <f t="shared" si="10"/>
        <v>3990.99</v>
      </c>
      <c r="W324" s="295">
        <v>144.78</v>
      </c>
    </row>
    <row r="325" spans="22:23" ht="15" hidden="1" x14ac:dyDescent="0.25">
      <c r="V325" s="296">
        <f t="shared" si="10"/>
        <v>4071.99</v>
      </c>
      <c r="W325" s="295">
        <v>152.58000000000001</v>
      </c>
    </row>
    <row r="326" spans="22:23" ht="15" hidden="1" x14ac:dyDescent="0.25">
      <c r="V326" s="296">
        <f t="shared" si="10"/>
        <v>4275.99</v>
      </c>
      <c r="W326" s="295">
        <v>168.71</v>
      </c>
    </row>
    <row r="327" spans="22:23" ht="15" hidden="1" x14ac:dyDescent="0.25">
      <c r="V327" s="296">
        <f t="shared" si="10"/>
        <v>4479.99</v>
      </c>
      <c r="W327" s="295">
        <v>189.92</v>
      </c>
    </row>
    <row r="328" spans="22:23" ht="15" hidden="1" x14ac:dyDescent="0.25">
      <c r="V328" s="296">
        <f t="shared" si="10"/>
        <v>4682.99</v>
      </c>
      <c r="W328" s="295">
        <v>212.27</v>
      </c>
    </row>
    <row r="329" spans="22:23" ht="15" hidden="1" x14ac:dyDescent="0.25">
      <c r="V329" s="296">
        <f t="shared" si="10"/>
        <v>4886.99</v>
      </c>
      <c r="W329" s="295">
        <v>235.75</v>
      </c>
    </row>
    <row r="330" spans="22:23" ht="15" hidden="1" x14ac:dyDescent="0.25">
      <c r="V330" s="296">
        <f t="shared" si="10"/>
        <v>5090.99</v>
      </c>
      <c r="W330" s="295">
        <v>260.33999999999997</v>
      </c>
    </row>
    <row r="331" spans="22:23" ht="15" hidden="1" x14ac:dyDescent="0.25">
      <c r="V331" s="296">
        <f t="shared" si="10"/>
        <v>5293.99</v>
      </c>
      <c r="W331" s="295">
        <v>286.02999999999997</v>
      </c>
    </row>
    <row r="332" spans="22:23" ht="15" hidden="1" x14ac:dyDescent="0.25">
      <c r="V332" s="296">
        <f t="shared" si="10"/>
        <v>5497.99</v>
      </c>
      <c r="W332" s="295">
        <v>312.81</v>
      </c>
    </row>
    <row r="333" spans="22:23" ht="15" hidden="1" x14ac:dyDescent="0.25">
      <c r="V333" s="296">
        <f t="shared" si="10"/>
        <v>5700.99</v>
      </c>
      <c r="W333" s="295">
        <v>340.66</v>
      </c>
    </row>
    <row r="334" spans="22:23" ht="15" hidden="1" x14ac:dyDescent="0.25">
      <c r="V334" s="296">
        <f t="shared" si="10"/>
        <v>5904.99</v>
      </c>
      <c r="W334" s="295">
        <v>369.57</v>
      </c>
    </row>
    <row r="335" spans="22:23" ht="15" hidden="1" x14ac:dyDescent="0.25">
      <c r="V335" s="296">
        <f t="shared" si="10"/>
        <v>6108.99</v>
      </c>
      <c r="W335" s="295">
        <v>399.52</v>
      </c>
    </row>
    <row r="336" spans="22:23" ht="15" hidden="1" x14ac:dyDescent="0.25">
      <c r="V336" s="296">
        <f t="shared" si="10"/>
        <v>6311.99</v>
      </c>
      <c r="W336" s="295">
        <v>430.49</v>
      </c>
    </row>
    <row r="337" spans="22:23" ht="15" hidden="1" x14ac:dyDescent="0.25">
      <c r="V337" s="296">
        <f t="shared" si="10"/>
        <v>6515.99</v>
      </c>
      <c r="W337" s="295">
        <v>462.46</v>
      </c>
    </row>
    <row r="338" spans="22:23" ht="15" hidden="1" x14ac:dyDescent="0.25">
      <c r="V338" s="296">
        <f t="shared" si="10"/>
        <v>6719.99</v>
      </c>
      <c r="W338" s="295">
        <v>495.43</v>
      </c>
    </row>
    <row r="339" spans="22:23" ht="15" hidden="1" x14ac:dyDescent="0.25">
      <c r="V339" s="296">
        <f t="shared" si="10"/>
        <v>6922.99</v>
      </c>
      <c r="W339" s="295">
        <v>529.36</v>
      </c>
    </row>
    <row r="340" spans="22:23" ht="15" hidden="1" x14ac:dyDescent="0.25">
      <c r="V340" s="296">
        <f t="shared" si="10"/>
        <v>7126.99</v>
      </c>
      <c r="W340" s="295">
        <v>564.23</v>
      </c>
    </row>
    <row r="341" spans="22:23" ht="15" hidden="1" x14ac:dyDescent="0.25">
      <c r="V341" s="296">
        <f t="shared" si="10"/>
        <v>7329.99</v>
      </c>
      <c r="W341" s="295">
        <v>600.04</v>
      </c>
    </row>
    <row r="342" spans="22:23" ht="15" hidden="1" x14ac:dyDescent="0.25">
      <c r="V342" s="296">
        <f t="shared" si="10"/>
        <v>7533.99</v>
      </c>
      <c r="W342" s="295">
        <v>636.75</v>
      </c>
    </row>
    <row r="343" spans="22:23" ht="15" hidden="1" x14ac:dyDescent="0.25">
      <c r="V343" s="296">
        <f t="shared" si="10"/>
        <v>7737.99</v>
      </c>
      <c r="W343" s="295">
        <v>674.35</v>
      </c>
    </row>
    <row r="344" spans="22:23" ht="15" hidden="1" x14ac:dyDescent="0.25">
      <c r="V344" s="296">
        <f t="shared" si="10"/>
        <v>7940.99</v>
      </c>
      <c r="W344" s="295">
        <v>712.8</v>
      </c>
    </row>
    <row r="345" spans="22:23" ht="15" hidden="1" x14ac:dyDescent="0.25">
      <c r="V345" s="296">
        <f t="shared" si="10"/>
        <v>8144.99</v>
      </c>
      <c r="W345" s="295">
        <v>752.1</v>
      </c>
    </row>
    <row r="346" spans="22:23" ht="15" hidden="1" x14ac:dyDescent="0.25">
      <c r="V346" s="296">
        <f t="shared" si="10"/>
        <v>8348.99</v>
      </c>
      <c r="W346" s="295">
        <v>792.22</v>
      </c>
    </row>
    <row r="347" spans="22:23" ht="15" hidden="1" x14ac:dyDescent="0.25">
      <c r="V347" s="296">
        <f t="shared" si="10"/>
        <v>8551.99</v>
      </c>
      <c r="W347" s="295">
        <v>833.12</v>
      </c>
    </row>
    <row r="348" spans="22:23" ht="15" hidden="1" x14ac:dyDescent="0.25">
      <c r="V348" s="296">
        <f t="shared" si="10"/>
        <v>8755.99</v>
      </c>
      <c r="W348" s="295">
        <v>874.79</v>
      </c>
    </row>
    <row r="349" spans="22:23" ht="15" hidden="1" x14ac:dyDescent="0.25">
      <c r="V349" s="296">
        <f t="shared" si="10"/>
        <v>8958.99</v>
      </c>
      <c r="W349" s="295">
        <v>917.21</v>
      </c>
    </row>
    <row r="350" spans="22:23" ht="15" hidden="1" x14ac:dyDescent="0.25">
      <c r="V350" s="296">
        <f t="shared" si="10"/>
        <v>9162.99</v>
      </c>
      <c r="W350" s="295">
        <v>960.34</v>
      </c>
    </row>
    <row r="351" spans="22:23" ht="15" hidden="1" x14ac:dyDescent="0.25">
      <c r="V351" s="296">
        <f t="shared" si="10"/>
        <v>9366.99</v>
      </c>
      <c r="W351" s="303">
        <v>1004.16</v>
      </c>
    </row>
    <row r="352" spans="22:23" ht="15" hidden="1" x14ac:dyDescent="0.25">
      <c r="V352" s="296">
        <f t="shared" si="10"/>
        <v>9569.99</v>
      </c>
      <c r="W352" s="303">
        <v>1048.6400000000001</v>
      </c>
    </row>
    <row r="353" spans="22:23" ht="15" hidden="1" x14ac:dyDescent="0.25">
      <c r="V353" s="296">
        <f t="shared" si="10"/>
        <v>9773.99</v>
      </c>
      <c r="W353" s="303">
        <v>1093.75</v>
      </c>
    </row>
    <row r="354" spans="22:23" ht="15" hidden="1" x14ac:dyDescent="0.25">
      <c r="V354" s="296">
        <f t="shared" ref="V354:V371" si="11">+U187-0.01</f>
        <v>9977.99</v>
      </c>
      <c r="W354" s="303">
        <v>1139.48</v>
      </c>
    </row>
    <row r="355" spans="22:23" ht="15" hidden="1" x14ac:dyDescent="0.25">
      <c r="V355" s="296">
        <f t="shared" si="11"/>
        <v>10180.99</v>
      </c>
      <c r="W355" s="303">
        <v>1185.78</v>
      </c>
    </row>
    <row r="356" spans="22:23" ht="15" hidden="1" x14ac:dyDescent="0.25">
      <c r="V356" s="296">
        <f t="shared" si="11"/>
        <v>10384.99</v>
      </c>
      <c r="W356" s="303">
        <v>1232.6199999999999</v>
      </c>
    </row>
    <row r="357" spans="22:23" ht="15" hidden="1" x14ac:dyDescent="0.25">
      <c r="V357" s="296">
        <f t="shared" si="11"/>
        <v>10587.99</v>
      </c>
      <c r="W357" s="303">
        <v>1279.99</v>
      </c>
    </row>
    <row r="358" spans="22:23" ht="15" hidden="1" x14ac:dyDescent="0.25">
      <c r="V358" s="296">
        <f t="shared" si="11"/>
        <v>10791.99</v>
      </c>
      <c r="W358" s="303">
        <v>1327.85</v>
      </c>
    </row>
    <row r="359" spans="22:23" ht="15" hidden="1" x14ac:dyDescent="0.25">
      <c r="V359" s="296">
        <f t="shared" si="11"/>
        <v>10995.99</v>
      </c>
      <c r="W359" s="303">
        <v>1376.16</v>
      </c>
    </row>
    <row r="360" spans="22:23" ht="15" hidden="1" x14ac:dyDescent="0.25">
      <c r="V360" s="296">
        <f t="shared" si="11"/>
        <v>11198.99</v>
      </c>
      <c r="W360" s="303">
        <v>1424.9</v>
      </c>
    </row>
    <row r="361" spans="22:23" ht="15" hidden="1" x14ac:dyDescent="0.25">
      <c r="V361" s="296">
        <f t="shared" si="11"/>
        <v>11402.99</v>
      </c>
      <c r="W361" s="303">
        <v>1474.04</v>
      </c>
    </row>
    <row r="362" spans="22:23" ht="15" hidden="1" x14ac:dyDescent="0.25">
      <c r="V362" s="296">
        <f t="shared" si="11"/>
        <v>11606.99</v>
      </c>
      <c r="W362" s="303">
        <v>1523.54</v>
      </c>
    </row>
    <row r="363" spans="22:23" ht="15" hidden="1" x14ac:dyDescent="0.25">
      <c r="V363" s="296">
        <f t="shared" si="11"/>
        <v>11809.99</v>
      </c>
      <c r="W363" s="303">
        <v>1573.37</v>
      </c>
    </row>
    <row r="364" spans="22:23" ht="15" hidden="1" x14ac:dyDescent="0.25">
      <c r="V364" s="296">
        <f t="shared" si="11"/>
        <v>12013.99</v>
      </c>
      <c r="W364" s="303">
        <v>1623.49</v>
      </c>
    </row>
    <row r="365" spans="22:23" ht="15" hidden="1" x14ac:dyDescent="0.25">
      <c r="V365" s="296">
        <f t="shared" si="11"/>
        <v>12216.99</v>
      </c>
      <c r="W365" s="303">
        <v>1673.89</v>
      </c>
    </row>
    <row r="366" spans="22:23" ht="15" hidden="1" x14ac:dyDescent="0.25">
      <c r="V366" s="296">
        <f t="shared" si="11"/>
        <v>12420.99</v>
      </c>
      <c r="W366" s="303">
        <v>1724.51</v>
      </c>
    </row>
    <row r="367" spans="22:23" ht="15" hidden="1" x14ac:dyDescent="0.25">
      <c r="V367" s="296">
        <f t="shared" si="11"/>
        <v>12624.99</v>
      </c>
      <c r="W367" s="303">
        <v>1775.33</v>
      </c>
    </row>
    <row r="368" spans="22:23" ht="15" hidden="1" x14ac:dyDescent="0.25">
      <c r="V368" s="296">
        <f t="shared" si="11"/>
        <v>12827.99</v>
      </c>
      <c r="W368" s="303">
        <v>1826.31</v>
      </c>
    </row>
    <row r="369" spans="22:23" ht="15" hidden="1" x14ac:dyDescent="0.25">
      <c r="V369" s="296">
        <f t="shared" si="11"/>
        <v>13031.99</v>
      </c>
      <c r="W369" s="303">
        <v>1877.42</v>
      </c>
    </row>
    <row r="370" spans="22:23" ht="15" hidden="1" x14ac:dyDescent="0.25">
      <c r="V370" s="296">
        <f t="shared" si="11"/>
        <v>13235.99</v>
      </c>
      <c r="W370" s="303">
        <v>1928.63</v>
      </c>
    </row>
    <row r="371" spans="22:23" ht="15" hidden="1" x14ac:dyDescent="0.25">
      <c r="V371" s="296">
        <f t="shared" si="11"/>
        <v>13438.99</v>
      </c>
      <c r="W371" s="303">
        <v>1979.89</v>
      </c>
    </row>
    <row r="372" spans="22:23" ht="15" hidden="1" x14ac:dyDescent="0.25">
      <c r="V372" s="296">
        <f>13643-0.01</f>
        <v>13642.99</v>
      </c>
      <c r="W372" s="303">
        <v>2031.18</v>
      </c>
    </row>
    <row r="373" spans="22:23" ht="15" hidden="1" x14ac:dyDescent="0.25">
      <c r="V373" s="294"/>
      <c r="W373" s="295" t="s">
        <v>81</v>
      </c>
    </row>
    <row r="374" spans="22:23" hidden="1" x14ac:dyDescent="0.2"/>
    <row r="375" spans="22:23" hidden="1" x14ac:dyDescent="0.2"/>
    <row r="376" spans="22:23" hidden="1" x14ac:dyDescent="0.2"/>
    <row r="377" spans="22:23" hidden="1" x14ac:dyDescent="0.2"/>
    <row r="378" spans="22:23" hidden="1" x14ac:dyDescent="0.2"/>
    <row r="379" spans="22:23" hidden="1" x14ac:dyDescent="0.2"/>
    <row r="380" spans="22:23" hidden="1" x14ac:dyDescent="0.2"/>
    <row r="381" spans="22:23" hidden="1" x14ac:dyDescent="0.2"/>
    <row r="382" spans="22:23" hidden="1" x14ac:dyDescent="0.2"/>
    <row r="383" spans="22:23" hidden="1" x14ac:dyDescent="0.2"/>
    <row r="384" spans="22:23" hidden="1" x14ac:dyDescent="0.2"/>
    <row r="385" spans="22:23" hidden="1" x14ac:dyDescent="0.2"/>
    <row r="386" spans="22:23" hidden="1" x14ac:dyDescent="0.2">
      <c r="V386" s="470"/>
      <c r="W386" s="470"/>
    </row>
    <row r="387" spans="22:23" hidden="1" x14ac:dyDescent="0.2">
      <c r="V387" s="470"/>
      <c r="W387" s="470"/>
    </row>
    <row r="388" spans="22:23" hidden="1" x14ac:dyDescent="0.2">
      <c r="V388" s="470"/>
      <c r="W388" s="470"/>
    </row>
    <row r="389" spans="22:23" hidden="1" x14ac:dyDescent="0.2">
      <c r="V389" s="473" t="s">
        <v>10</v>
      </c>
      <c r="W389" s="470"/>
    </row>
    <row r="390" spans="22:23" hidden="1" x14ac:dyDescent="0.2">
      <c r="V390" s="474">
        <f>+'DATOS PARA DEPURAR'!C24</f>
        <v>42412</v>
      </c>
      <c r="W390" s="470"/>
    </row>
    <row r="391" spans="22:23" ht="13.5" hidden="1" thickBot="1" x14ac:dyDescent="0.25">
      <c r="V391" s="470"/>
      <c r="W391" s="470"/>
    </row>
    <row r="392" spans="22:23" hidden="1" x14ac:dyDescent="0.2">
      <c r="V392" s="477">
        <f>IF(J222&lt;=1090,0)</f>
        <v>0</v>
      </c>
      <c r="W392" s="470"/>
    </row>
    <row r="393" spans="22:23" ht="15" hidden="1" x14ac:dyDescent="0.25">
      <c r="V393" s="480" t="b">
        <f>IF(J222&gt;1090,(IF(J222&lt;=1700,ROUND((((+J222-1090)*19%)*V390),-3),0)),FALSE)</f>
        <v>0</v>
      </c>
      <c r="W393" s="470"/>
    </row>
    <row r="394" spans="22:23" ht="15" hidden="1" x14ac:dyDescent="0.25">
      <c r="V394" s="480" t="b">
        <f>IF(J222&gt;1700,IF(J222&lt;=4100,ROUND((((+J222-1700)*28%+116)*V390),-3),0))</f>
        <v>0</v>
      </c>
      <c r="W394" s="470"/>
    </row>
    <row r="395" spans="22:23" ht="15.75" hidden="1" thickBot="1" x14ac:dyDescent="0.3">
      <c r="V395" s="483">
        <f>IF(J222&gt;4100,ROUND((((+J222-4100)*33%)*V390)+(788*V390),-3),0)</f>
        <v>0</v>
      </c>
      <c r="W395" s="470"/>
    </row>
    <row r="396" spans="22:23" hidden="1" x14ac:dyDescent="0.2">
      <c r="V396" s="485"/>
      <c r="W396" s="470"/>
    </row>
    <row r="397" spans="22:23" ht="13.5" hidden="1" thickBot="1" x14ac:dyDescent="0.25">
      <c r="V397" s="485"/>
      <c r="W397" s="470"/>
    </row>
    <row r="398" spans="22:23" hidden="1" x14ac:dyDescent="0.2">
      <c r="V398" s="1310" t="s">
        <v>172</v>
      </c>
      <c r="W398" s="1311"/>
    </row>
    <row r="399" spans="22:23" ht="13.5" hidden="1" thickBot="1" x14ac:dyDescent="0.25">
      <c r="V399" s="1312">
        <f>IF(V392=0,V392,IF(V393&gt;0,V393,IF(V394&gt;0,V394,IF(V395&gt;0,V395))))</f>
        <v>0</v>
      </c>
      <c r="W399" s="1313"/>
    </row>
    <row r="400" spans="22:23" hidden="1" x14ac:dyDescent="0.2">
      <c r="V400" s="470"/>
      <c r="W400" s="470"/>
    </row>
    <row r="401" spans="22:23" hidden="1" x14ac:dyDescent="0.2">
      <c r="V401" s="470"/>
      <c r="W401" s="470"/>
    </row>
    <row r="402" spans="22:23" hidden="1" x14ac:dyDescent="0.2">
      <c r="V402" s="470"/>
      <c r="W402" s="470"/>
    </row>
    <row r="403" spans="22:23" hidden="1" x14ac:dyDescent="0.2">
      <c r="V403" s="470"/>
      <c r="W403" s="470"/>
    </row>
  </sheetData>
  <sheetProtection algorithmName="SHA-512" hashValue="7uAXv0hXmjkuE+c+ccLxvy3RLFMmS7MELntURU187TonzB0QpVS3vfi0B9TIRlR9D9N6hVV6xAQ6ww1+WDwZ6A==" saltValue="aAek6MYUyN2H67DZpAw0ZA==" spinCount="100000" sheet="1" objects="1" scenarios="1"/>
  <mergeCells count="245">
    <mergeCell ref="A45:U45"/>
    <mergeCell ref="F44:G44"/>
    <mergeCell ref="A44:C44"/>
    <mergeCell ref="I44:J44"/>
    <mergeCell ref="S44:U44"/>
    <mergeCell ref="K44:L44"/>
    <mergeCell ref="N44:P44"/>
    <mergeCell ref="N43:P43"/>
    <mergeCell ref="S43:U43"/>
    <mergeCell ref="E43:F43"/>
    <mergeCell ref="A43:C43"/>
    <mergeCell ref="G43:H43"/>
    <mergeCell ref="N32:O32"/>
    <mergeCell ref="M32:M33"/>
    <mergeCell ref="M34:Q34"/>
    <mergeCell ref="N33:O33"/>
    <mergeCell ref="R32:S32"/>
    <mergeCell ref="R33:S33"/>
    <mergeCell ref="J36:K36"/>
    <mergeCell ref="J37:K37"/>
    <mergeCell ref="S34:U34"/>
    <mergeCell ref="S35:U35"/>
    <mergeCell ref="S36:U36"/>
    <mergeCell ref="S37:U37"/>
    <mergeCell ref="J39:K39"/>
    <mergeCell ref="J40:K40"/>
    <mergeCell ref="J41:K41"/>
    <mergeCell ref="J42:K42"/>
    <mergeCell ref="B34:H34"/>
    <mergeCell ref="M26:M31"/>
    <mergeCell ref="B32:H32"/>
    <mergeCell ref="B33:H33"/>
    <mergeCell ref="A38:H38"/>
    <mergeCell ref="M36:Q36"/>
    <mergeCell ref="M37:Q37"/>
    <mergeCell ref="M38:Q38"/>
    <mergeCell ref="M39:Q39"/>
    <mergeCell ref="M40:Q40"/>
    <mergeCell ref="M41:Q41"/>
    <mergeCell ref="A39:A42"/>
    <mergeCell ref="B35:H35"/>
    <mergeCell ref="B36:H36"/>
    <mergeCell ref="B37:H37"/>
    <mergeCell ref="A31:A37"/>
    <mergeCell ref="J26:K26"/>
    <mergeCell ref="M35:Q35"/>
    <mergeCell ref="N28:Q28"/>
    <mergeCell ref="N29:Q29"/>
    <mergeCell ref="S38:U38"/>
    <mergeCell ref="S39:U39"/>
    <mergeCell ref="S40:U40"/>
    <mergeCell ref="S41:U41"/>
    <mergeCell ref="S25:U25"/>
    <mergeCell ref="S4:U4"/>
    <mergeCell ref="S11:U11"/>
    <mergeCell ref="S12:U12"/>
    <mergeCell ref="S13:U13"/>
    <mergeCell ref="R5:U5"/>
    <mergeCell ref="S14:U14"/>
    <mergeCell ref="S15:U15"/>
    <mergeCell ref="S16:U16"/>
    <mergeCell ref="S17:U17"/>
    <mergeCell ref="S26:U26"/>
    <mergeCell ref="S27:U27"/>
    <mergeCell ref="S28:U28"/>
    <mergeCell ref="S29:U29"/>
    <mergeCell ref="S30:U30"/>
    <mergeCell ref="S31:U31"/>
    <mergeCell ref="N6:Q6"/>
    <mergeCell ref="J22:L22"/>
    <mergeCell ref="N7:Q7"/>
    <mergeCell ref="N8:Q8"/>
    <mergeCell ref="N9:Q9"/>
    <mergeCell ref="N10:Q10"/>
    <mergeCell ref="N11:Q11"/>
    <mergeCell ref="N12:Q12"/>
    <mergeCell ref="N13:Q13"/>
    <mergeCell ref="N14:Q14"/>
    <mergeCell ref="Z272:AA272"/>
    <mergeCell ref="C81:E81"/>
    <mergeCell ref="W259:X259"/>
    <mergeCell ref="V399:W399"/>
    <mergeCell ref="M4:Q4"/>
    <mergeCell ref="B6:E6"/>
    <mergeCell ref="B7:E7"/>
    <mergeCell ref="B8:E8"/>
    <mergeCell ref="B9:E9"/>
    <mergeCell ref="I94:J94"/>
    <mergeCell ref="E144:F144"/>
    <mergeCell ref="E157:F157"/>
    <mergeCell ref="E164:F164"/>
    <mergeCell ref="E165:F165"/>
    <mergeCell ref="V398:W398"/>
    <mergeCell ref="B87:E87"/>
    <mergeCell ref="I87:J87"/>
    <mergeCell ref="B88:E88"/>
    <mergeCell ref="I89:J89"/>
    <mergeCell ref="I92:J92"/>
    <mergeCell ref="I93:J93"/>
    <mergeCell ref="B82:E82"/>
    <mergeCell ref="C68:E68"/>
    <mergeCell ref="N16:Q16"/>
    <mergeCell ref="W266:X266"/>
    <mergeCell ref="W267:X267"/>
    <mergeCell ref="C76:E76"/>
    <mergeCell ref="C77:E77"/>
    <mergeCell ref="B85:E85"/>
    <mergeCell ref="B86:E86"/>
    <mergeCell ref="I86:J86"/>
    <mergeCell ref="C78:E78"/>
    <mergeCell ref="C79:E79"/>
    <mergeCell ref="C80:E80"/>
    <mergeCell ref="B83:E83"/>
    <mergeCell ref="B84:E84"/>
    <mergeCell ref="I84:J84"/>
    <mergeCell ref="H66:H96"/>
    <mergeCell ref="C67:E67"/>
    <mergeCell ref="C69:E69"/>
    <mergeCell ref="B70:B81"/>
    <mergeCell ref="B50:E50"/>
    <mergeCell ref="B49:E49"/>
    <mergeCell ref="H48:J48"/>
    <mergeCell ref="B48:E48"/>
    <mergeCell ref="A48:A50"/>
    <mergeCell ref="A51:A88"/>
    <mergeCell ref="B51:B57"/>
    <mergeCell ref="C51:E51"/>
    <mergeCell ref="C52:E52"/>
    <mergeCell ref="C53:E53"/>
    <mergeCell ref="C54:E54"/>
    <mergeCell ref="C55:E55"/>
    <mergeCell ref="C56:E56"/>
    <mergeCell ref="C57:E57"/>
    <mergeCell ref="B58:B69"/>
    <mergeCell ref="C64:E64"/>
    <mergeCell ref="C65:E65"/>
    <mergeCell ref="C66:E66"/>
    <mergeCell ref="B1:H1"/>
    <mergeCell ref="I1:U2"/>
    <mergeCell ref="B2:H2"/>
    <mergeCell ref="G18:H18"/>
    <mergeCell ref="I5:L5"/>
    <mergeCell ref="J4:L4"/>
    <mergeCell ref="J6:L6"/>
    <mergeCell ref="J8:L8"/>
    <mergeCell ref="J9:L9"/>
    <mergeCell ref="J10:L10"/>
    <mergeCell ref="J11:L11"/>
    <mergeCell ref="J12:L12"/>
    <mergeCell ref="J13:L13"/>
    <mergeCell ref="J14:L14"/>
    <mergeCell ref="J15:L15"/>
    <mergeCell ref="M5:Q5"/>
    <mergeCell ref="F5:H5"/>
    <mergeCell ref="G6:H6"/>
    <mergeCell ref="J16:L16"/>
    <mergeCell ref="J17:L17"/>
    <mergeCell ref="N15:Q15"/>
    <mergeCell ref="G16:H16"/>
    <mergeCell ref="G17:H17"/>
    <mergeCell ref="S18:U18"/>
    <mergeCell ref="N30:Q30"/>
    <mergeCell ref="N26:Q26"/>
    <mergeCell ref="N27:Q27"/>
    <mergeCell ref="B31:H31"/>
    <mergeCell ref="S19:U19"/>
    <mergeCell ref="S20:U20"/>
    <mergeCell ref="S21:U21"/>
    <mergeCell ref="S22:U22"/>
    <mergeCell ref="S24:U24"/>
    <mergeCell ref="L24:P24"/>
    <mergeCell ref="L25:P25"/>
    <mergeCell ref="N31:Q31"/>
    <mergeCell ref="B5:E5"/>
    <mergeCell ref="J18:L18"/>
    <mergeCell ref="J19:L19"/>
    <mergeCell ref="J20:L20"/>
    <mergeCell ref="J21:L21"/>
    <mergeCell ref="J23:U23"/>
    <mergeCell ref="N18:Q18"/>
    <mergeCell ref="N19:Q19"/>
    <mergeCell ref="N20:Q20"/>
    <mergeCell ref="N21:Q21"/>
    <mergeCell ref="B12:B14"/>
    <mergeCell ref="C12:E12"/>
    <mergeCell ref="C13:E13"/>
    <mergeCell ref="C14:E14"/>
    <mergeCell ref="B15:B17"/>
    <mergeCell ref="C15:E15"/>
    <mergeCell ref="C16:E16"/>
    <mergeCell ref="N17:Q17"/>
    <mergeCell ref="S6:U6"/>
    <mergeCell ref="S7:U7"/>
    <mergeCell ref="S8:U8"/>
    <mergeCell ref="S9:U9"/>
    <mergeCell ref="S10:U10"/>
    <mergeCell ref="G15:H15"/>
    <mergeCell ref="A3:K3"/>
    <mergeCell ref="B26:H26"/>
    <mergeCell ref="A26:A30"/>
    <mergeCell ref="G22:H22"/>
    <mergeCell ref="B23:I23"/>
    <mergeCell ref="A5:A25"/>
    <mergeCell ref="B18:E18"/>
    <mergeCell ref="B19:E19"/>
    <mergeCell ref="B20:E20"/>
    <mergeCell ref="B21:E21"/>
    <mergeCell ref="B22:E22"/>
    <mergeCell ref="G12:H12"/>
    <mergeCell ref="G13:H13"/>
    <mergeCell ref="G14:H14"/>
    <mergeCell ref="H24:I24"/>
    <mergeCell ref="H25:I25"/>
    <mergeCell ref="C17:E17"/>
    <mergeCell ref="A4:D4"/>
    <mergeCell ref="B24:C24"/>
    <mergeCell ref="B25:C25"/>
    <mergeCell ref="G8:H8"/>
    <mergeCell ref="G10:H10"/>
    <mergeCell ref="B10:E10"/>
    <mergeCell ref="B11:E11"/>
    <mergeCell ref="L42:U42"/>
    <mergeCell ref="L26:L41"/>
    <mergeCell ref="K43:L43"/>
    <mergeCell ref="J38:K38"/>
    <mergeCell ref="R3:U3"/>
    <mergeCell ref="M3:Q3"/>
    <mergeCell ref="B39:H39"/>
    <mergeCell ref="B40:H40"/>
    <mergeCell ref="B41:H41"/>
    <mergeCell ref="B42:H42"/>
    <mergeCell ref="J27:K27"/>
    <mergeCell ref="J28:K28"/>
    <mergeCell ref="J29:K29"/>
    <mergeCell ref="J30:K30"/>
    <mergeCell ref="J31:K31"/>
    <mergeCell ref="J32:K32"/>
    <mergeCell ref="J33:K33"/>
    <mergeCell ref="J34:K34"/>
    <mergeCell ref="J35:K35"/>
    <mergeCell ref="B27:H27"/>
    <mergeCell ref="B28:H28"/>
    <mergeCell ref="B29:H29"/>
    <mergeCell ref="N22:Q22"/>
    <mergeCell ref="B30:H30"/>
  </mergeCells>
  <hyperlinks>
    <hyperlink ref="A45" r:id="rId1" xr:uid="{A04A35FF-4AB3-444C-8B67-03CC95EF81CD}"/>
  </hyperlinks>
  <printOptions horizontalCentered="1"/>
  <pageMargins left="3.937007874015748E-2" right="3.937007874015748E-2" top="0.19685039370078741" bottom="0.15748031496062992" header="0.31496062992125984" footer="0.31496062992125984"/>
  <pageSetup scale="64" orientation="portrait" verticalDpi="4294967293" r:id="rId2"/>
  <ignoredErrors>
    <ignoredError sqref="J8:J9 J14" 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VENCIMIENTO</vt:lpstr>
      <vt:lpstr>IMAS TRABAJADOR POR CTA PROPIA</vt:lpstr>
      <vt:lpstr>DEPURACION ORDINARIO 2017</vt:lpstr>
      <vt:lpstr>ART 241 E.T. 2023</vt:lpstr>
      <vt:lpstr>Num. 2 ART 241 E.T. 2019</vt:lpstr>
      <vt:lpstr>Num. 2 ART 241 E.T. 2018</vt:lpstr>
      <vt:lpstr>FORMULARIO 2019 RENTA CEDULA</vt:lpstr>
      <vt:lpstr>DIVIDENDOS INC 2 ART 242 E.T.</vt:lpstr>
      <vt:lpstr>FORMULARIO 2023 RENTA</vt:lpstr>
      <vt:lpstr>NUM 3 ART 336 E.T.</vt:lpstr>
      <vt:lpstr>SANCIONES</vt:lpstr>
      <vt:lpstr>DESC. TRIB. DIVIDENDOS</vt:lpstr>
      <vt:lpstr>PATRIMONIO BRUTO</vt:lpstr>
      <vt:lpstr>FORMULARIO 2018 RENTA CEDULAR</vt:lpstr>
      <vt:lpstr>DATOS PARA DEPURAR</vt:lpstr>
      <vt:lpstr>RENTA TRABAJO</vt:lpstr>
      <vt:lpstr>RELACION DEPENDIENTES</vt:lpstr>
      <vt:lpstr>RENTA INGRESOS SIN RELACION LAB</vt:lpstr>
      <vt:lpstr>RENTA GENERAL NO LABORAL</vt:lpstr>
      <vt:lpstr>RENTA GENERAL CAPITAL</vt:lpstr>
      <vt:lpstr>RENTA CEDULAR DIVIDENDOS</vt:lpstr>
      <vt:lpstr>GANANCIA OCASIONAL</vt:lpstr>
      <vt:lpstr>DEPURACION POR IMAS EMPLEADO</vt:lpstr>
      <vt:lpstr>IMPUESTO DIVIDENDOS</vt:lpstr>
      <vt:lpstr>RENTA CEDULAR PENSION</vt:lpstr>
      <vt:lpstr>DIV. Y PARTICIPACIONES 2016 ANT</vt:lpstr>
      <vt:lpstr>'DATOS PARA DEPURAR'!Área_de_impresión</vt:lpstr>
      <vt:lpstr>'FORMULARIO 2018 RENTA CEDULAR'!Área_de_impresión</vt:lpstr>
      <vt:lpstr>'FORMULARIO 2019 RENTA CEDULA'!Área_de_impresión</vt:lpstr>
      <vt:lpstr>'FORMULARIO 2023 RENTA'!Área_de_impresión</vt:lpstr>
      <vt:lpstr>'PATRIMONIO BRUTO'!Área_de_impresión</vt:lpstr>
      <vt:lpstr>'RENTA GENERAL CAPITAL'!Área_de_impresión</vt:lpstr>
      <vt:lpstr>'RENTA INGRESOS SIN RELACION LAB'!Área_de_impresión</vt:lpstr>
      <vt:lpstr>'RENTA TRABAJO'!Área_de_impresión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yoiber</dc:creator>
  <cp:lastModifiedBy>USUARIO</cp:lastModifiedBy>
  <cp:lastPrinted>2024-06-29T02:18:07Z</cp:lastPrinted>
  <dcterms:created xsi:type="dcterms:W3CDTF">2009-05-12T18:31:57Z</dcterms:created>
  <dcterms:modified xsi:type="dcterms:W3CDTF">2024-07-04T21:44:18Z</dcterms:modified>
</cp:coreProperties>
</file>